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3200" windowHeight="2070" firstSheet="6" activeTab="8"/>
  </bookViews>
  <sheets>
    <sheet name="Readme" sheetId="4" r:id="rId1"/>
    <sheet name="SetDisclosureInformation" sheetId="5" r:id="rId2"/>
    <sheet name="SetPrepaymentPenalty" sheetId="6" r:id="rId3"/>
    <sheet name="InterestOnly" sheetId="7" r:id="rId4"/>
    <sheet name="SetLateCharge" sheetId="8" r:id="rId5"/>
    <sheet name="SetARM" sheetId="10" r:id="rId6"/>
    <sheet name="SetAIR" sheetId="11" r:id="rId7"/>
    <sheet name="SetConstruction" sheetId="9" r:id="rId8"/>
    <sheet name="SetHELOCDetails" sheetId="15" r:id="rId9"/>
    <sheet name="VerifyProjectedPayment" sheetId="12" r:id="rId10"/>
    <sheet name="SetMiandPiDetails" sheetId="13" r:id="rId11"/>
    <sheet name="VerifyAdjustablePayment" sheetId="14" r:id="rId12"/>
    <sheet name="Regz_CD" sheetId="16" r:id="rId13"/>
  </sheets>
  <calcPr calcId="152511"/>
</workbook>
</file>

<file path=xl/calcChain.xml><?xml version="1.0" encoding="utf-8"?>
<calcChain xmlns="http://schemas.openxmlformats.org/spreadsheetml/2006/main">
  <c r="AH20" i="15" l="1"/>
  <c r="AH21" i="15" s="1"/>
  <c r="R20" i="15"/>
  <c r="R21" i="15" s="1"/>
  <c r="AH18" i="15"/>
  <c r="AH19" i="15" s="1"/>
  <c r="R18" i="15"/>
  <c r="R19" i="15" s="1"/>
  <c r="AH16" i="15"/>
  <c r="AH17" i="15" s="1"/>
  <c r="R16" i="15"/>
  <c r="R17" i="15" s="1"/>
  <c r="AH14" i="15"/>
  <c r="AH15" i="15" s="1"/>
  <c r="R14" i="15"/>
  <c r="R15" i="15" s="1"/>
  <c r="AH12" i="15"/>
  <c r="AH13" i="15" s="1"/>
  <c r="R12" i="15"/>
  <c r="R13" i="15" s="1"/>
  <c r="AH10" i="15"/>
  <c r="AH11" i="15" s="1"/>
  <c r="R10" i="15"/>
  <c r="R11" i="15" s="1"/>
  <c r="AH8" i="15"/>
  <c r="AH9" i="15" s="1"/>
  <c r="R8" i="15"/>
  <c r="R9" i="15" s="1"/>
  <c r="AH6" i="15"/>
  <c r="AH7" i="15" s="1"/>
  <c r="R6" i="15"/>
  <c r="R7" i="15" s="1"/>
  <c r="AH4" i="15"/>
  <c r="AH5" i="15" s="1"/>
  <c r="R4" i="15"/>
  <c r="R5" i="15" s="1"/>
  <c r="AH2" i="15"/>
  <c r="AH3" i="15" s="1"/>
  <c r="R2" i="15"/>
  <c r="R3" i="15" s="1"/>
  <c r="O71" i="9" l="1"/>
  <c r="AB22" i="12" l="1"/>
  <c r="AA22" i="12"/>
  <c r="S22" i="12"/>
  <c r="R22" i="12"/>
  <c r="J22" i="12"/>
  <c r="I22" i="12"/>
  <c r="AB26" i="12"/>
  <c r="S26" i="12"/>
  <c r="R26" i="12"/>
  <c r="J26" i="12"/>
  <c r="I26" i="12"/>
  <c r="AB25" i="12"/>
  <c r="S25" i="12"/>
  <c r="J25" i="12"/>
  <c r="I25" i="12"/>
  <c r="AB19" i="12"/>
  <c r="S19" i="12"/>
  <c r="R19" i="12"/>
  <c r="J19" i="12"/>
  <c r="I19" i="12"/>
  <c r="AB18" i="12"/>
  <c r="S18" i="12"/>
  <c r="J18" i="12"/>
  <c r="AB15" i="12"/>
  <c r="AA15" i="12"/>
  <c r="S15" i="12"/>
  <c r="R15" i="12"/>
  <c r="J15" i="12"/>
  <c r="I15" i="12"/>
  <c r="AB14" i="12"/>
  <c r="AA14" i="12"/>
  <c r="S14" i="12"/>
  <c r="R14" i="12"/>
  <c r="J14" i="12"/>
  <c r="N15" i="12" l="1"/>
  <c r="O70" i="9" l="1"/>
  <c r="C38" i="5" l="1"/>
  <c r="B37" i="5" l="1"/>
  <c r="O69" i="9" l="1"/>
  <c r="BG60" i="9" l="1"/>
  <c r="BG59" i="9"/>
  <c r="BF58" i="9"/>
  <c r="BE60" i="9"/>
  <c r="BE59" i="9"/>
  <c r="BE58" i="9"/>
  <c r="BD60" i="9"/>
  <c r="BD59" i="9"/>
  <c r="BD58" i="9"/>
  <c r="B35" i="5" l="1"/>
  <c r="B34" i="5" l="1"/>
  <c r="C24" i="5" l="1"/>
  <c r="BJ66" i="9" l="1"/>
  <c r="BJ65" i="9"/>
  <c r="BJ64" i="9"/>
  <c r="BJ17" i="9"/>
  <c r="BJ18" i="9"/>
  <c r="BJ19" i="9"/>
  <c r="BJ20" i="9"/>
  <c r="BJ21" i="9"/>
  <c r="BJ22" i="9"/>
  <c r="BJ23" i="9"/>
  <c r="BJ16" i="9"/>
  <c r="Y66" i="9"/>
  <c r="Y65" i="9"/>
  <c r="Y64" i="9"/>
  <c r="N55" i="9" l="1"/>
  <c r="O55" i="9"/>
  <c r="O62" i="9" l="1"/>
  <c r="O12" i="9" l="1"/>
  <c r="C33" i="5" l="1"/>
  <c r="B33" i="5"/>
  <c r="O28" i="9" l="1"/>
  <c r="O29" i="9"/>
  <c r="O27" i="9" l="1"/>
  <c r="X20" i="9" l="1"/>
  <c r="X21" i="9"/>
  <c r="C26" i="5" l="1"/>
  <c r="B32" i="5" l="1"/>
  <c r="B29" i="5"/>
  <c r="G26" i="12" l="1"/>
  <c r="B31" i="5" l="1"/>
  <c r="J20" i="12" l="1"/>
  <c r="N18" i="12"/>
  <c r="AL22" i="12" l="1"/>
  <c r="AL21" i="12"/>
  <c r="AL20" i="12"/>
  <c r="AL15" i="12"/>
  <c r="AL14" i="12"/>
  <c r="AL13" i="12"/>
  <c r="AL12" i="12"/>
  <c r="AL11" i="12"/>
  <c r="AK22" i="12"/>
  <c r="AK21" i="12"/>
  <c r="AK20" i="12"/>
  <c r="AK15" i="12"/>
  <c r="AK14" i="12"/>
  <c r="AK13" i="12"/>
  <c r="AK12" i="12"/>
  <c r="AK11" i="12"/>
  <c r="AG22" i="12"/>
  <c r="AG21" i="12"/>
  <c r="AG20" i="12"/>
  <c r="AG15" i="12"/>
  <c r="AG14" i="12"/>
  <c r="AG13" i="12"/>
  <c r="AG12" i="12"/>
  <c r="AG11" i="12"/>
  <c r="AG26" i="12"/>
  <c r="AG25" i="12"/>
  <c r="AF22" i="12"/>
  <c r="AF21" i="12"/>
  <c r="AF20" i="12"/>
  <c r="AF15" i="12"/>
  <c r="AF14" i="12"/>
  <c r="AF13" i="12"/>
  <c r="AF12" i="12"/>
  <c r="AF11" i="12"/>
  <c r="AB21" i="12"/>
  <c r="AB20" i="12"/>
  <c r="AB13" i="12"/>
  <c r="AB12" i="12"/>
  <c r="AB11" i="12"/>
  <c r="AB24" i="12"/>
  <c r="AA21" i="12"/>
  <c r="AA20" i="12"/>
  <c r="AA13" i="12"/>
  <c r="AA12" i="12"/>
  <c r="AA11" i="12"/>
  <c r="W22" i="12"/>
  <c r="W21" i="12"/>
  <c r="W20" i="12"/>
  <c r="W19" i="12"/>
  <c r="W18" i="12"/>
  <c r="W15" i="12"/>
  <c r="W14" i="12"/>
  <c r="W13" i="12"/>
  <c r="W12" i="12"/>
  <c r="W11" i="12"/>
  <c r="W26" i="12"/>
  <c r="W25" i="12"/>
  <c r="W24" i="12"/>
  <c r="V22" i="12"/>
  <c r="V21" i="12"/>
  <c r="V20" i="12"/>
  <c r="V15" i="12"/>
  <c r="V14" i="12"/>
  <c r="V13" i="12"/>
  <c r="V12" i="12"/>
  <c r="V11" i="12"/>
  <c r="S24" i="12"/>
  <c r="S21" i="12"/>
  <c r="S20" i="12"/>
  <c r="S16" i="12"/>
  <c r="S13" i="12"/>
  <c r="S11" i="12"/>
  <c r="S12" i="12"/>
  <c r="R24" i="12"/>
  <c r="S23" i="12"/>
  <c r="R21" i="12"/>
  <c r="R20" i="12"/>
  <c r="R13" i="12"/>
  <c r="R12" i="12"/>
  <c r="R11" i="12"/>
  <c r="N26" i="12"/>
  <c r="N24" i="12"/>
  <c r="N22" i="12"/>
  <c r="N20" i="12"/>
  <c r="N19" i="12"/>
  <c r="N21" i="12"/>
  <c r="N14" i="12"/>
  <c r="N13" i="12"/>
  <c r="N12" i="12"/>
  <c r="N11" i="12"/>
  <c r="M12" i="12"/>
  <c r="M26" i="12"/>
  <c r="M25" i="12"/>
  <c r="M24" i="12"/>
  <c r="M23" i="12"/>
  <c r="M22" i="12"/>
  <c r="M21" i="12"/>
  <c r="M20" i="12"/>
  <c r="M19" i="12"/>
  <c r="M14" i="12"/>
  <c r="M13" i="12"/>
  <c r="J23" i="12"/>
  <c r="J24" i="12"/>
  <c r="J21" i="12"/>
  <c r="J17" i="12"/>
  <c r="J13" i="12"/>
  <c r="I24" i="12"/>
  <c r="I21" i="12"/>
  <c r="I17" i="12"/>
  <c r="I13" i="12"/>
  <c r="D26" i="12"/>
  <c r="D19" i="12"/>
  <c r="D22" i="12"/>
  <c r="D20" i="12"/>
  <c r="D18" i="12"/>
  <c r="D16" i="12"/>
  <c r="D24" i="12"/>
  <c r="D21" i="12"/>
  <c r="D17" i="12"/>
  <c r="D14" i="12"/>
  <c r="D13" i="12"/>
  <c r="D25" i="12"/>
  <c r="D23" i="12"/>
  <c r="D12" i="12"/>
  <c r="C26" i="12"/>
  <c r="C15" i="12"/>
  <c r="C12" i="12"/>
  <c r="C13" i="12"/>
  <c r="C14" i="12"/>
  <c r="C16" i="12"/>
  <c r="C19" i="12"/>
  <c r="I16" i="12"/>
  <c r="I23" i="12"/>
  <c r="I20" i="12"/>
  <c r="C25" i="12"/>
  <c r="C24" i="12"/>
  <c r="C23" i="12"/>
  <c r="C22" i="12"/>
  <c r="C21" i="12"/>
  <c r="C20" i="12"/>
  <c r="C18" i="12"/>
  <c r="R17" i="12"/>
  <c r="M17" i="12"/>
  <c r="C17" i="12"/>
  <c r="AB17" i="12"/>
  <c r="W17" i="12"/>
  <c r="S17" i="12"/>
  <c r="M15" i="12"/>
  <c r="D15" i="12"/>
  <c r="N17" i="12"/>
  <c r="B30" i="5" l="1"/>
  <c r="C28" i="5"/>
  <c r="B28" i="5" l="1"/>
  <c r="B27" i="5" l="1"/>
  <c r="B26" i="5" l="1"/>
  <c r="B10" i="5" l="1"/>
  <c r="Y24" i="9" l="1"/>
  <c r="B24" i="5" l="1"/>
  <c r="Y19" i="9" l="1"/>
  <c r="Y20" i="9"/>
  <c r="Y21" i="9"/>
  <c r="Y22" i="9"/>
  <c r="Y23" i="9"/>
  <c r="Y17" i="9"/>
  <c r="Y16" i="9"/>
  <c r="X22" i="9"/>
  <c r="X17" i="9"/>
  <c r="X19" i="9"/>
  <c r="X16" i="9"/>
  <c r="B23" i="5" l="1"/>
  <c r="B22" i="5" l="1"/>
  <c r="B21" i="5"/>
  <c r="B20" i="5"/>
  <c r="B19" i="5"/>
  <c r="B18" i="5"/>
  <c r="B17" i="5"/>
  <c r="B16" i="5" l="1"/>
  <c r="C16" i="5"/>
  <c r="C15" i="5" l="1"/>
  <c r="B15" i="5" l="1"/>
  <c r="B14" i="5" l="1"/>
  <c r="B13" i="5"/>
  <c r="B12" i="5" l="1"/>
  <c r="B11" i="5" l="1"/>
  <c r="C4" i="5" l="1"/>
  <c r="O11" i="9" l="1"/>
  <c r="O10" i="9" l="1"/>
  <c r="O8" i="9" l="1"/>
  <c r="B9" i="5" l="1"/>
  <c r="B8" i="5" l="1"/>
  <c r="O7" i="9" l="1"/>
  <c r="N7" i="9" l="1"/>
  <c r="O6" i="9" l="1"/>
  <c r="N6" i="9"/>
  <c r="B7" i="5" l="1"/>
  <c r="O4" i="9" l="1"/>
  <c r="N4" i="9"/>
  <c r="R2" i="9" l="1"/>
  <c r="C6" i="5" l="1"/>
  <c r="B6" i="5"/>
  <c r="B5" i="5" l="1"/>
  <c r="B3" i="5" l="1"/>
</calcChain>
</file>

<file path=xl/sharedStrings.xml><?xml version="1.0" encoding="utf-8"?>
<sst xmlns="http://schemas.openxmlformats.org/spreadsheetml/2006/main" count="962" uniqueCount="501">
  <si>
    <t>Note:</t>
  </si>
  <si>
    <t>RowID</t>
  </si>
  <si>
    <t>1stPaymentDate</t>
  </si>
  <si>
    <t>1stPrepaymentPeriod</t>
  </si>
  <si>
    <t>1stPrepaymentPercentage</t>
  </si>
  <si>
    <t>PenaltyBasedOn</t>
  </si>
  <si>
    <t>Unpaid Balance</t>
  </si>
  <si>
    <t>Please use "Shared_RowID" as much as possible, and if your data is specific, naming conventions and style should be "Story_XXXXX"</t>
  </si>
  <si>
    <t>Shared_DisclosureInfo1</t>
  </si>
  <si>
    <t>Shared_Prepayment1</t>
  </si>
  <si>
    <t>26089_DisclosureInfo</t>
  </si>
  <si>
    <t>months</t>
  </si>
  <si>
    <t>Qualify</t>
  </si>
  <si>
    <t>Balloon</t>
  </si>
  <si>
    <t>Biweekly</t>
  </si>
  <si>
    <t>26089_numbersofday</t>
  </si>
  <si>
    <t>#1</t>
  </si>
  <si>
    <t>numbersofdayIndex</t>
  </si>
  <si>
    <t>E2E_DisclosureTracking</t>
  </si>
  <si>
    <t>25367_DisclosureInfo</t>
  </si>
  <si>
    <t>25367_numbersofday</t>
  </si>
  <si>
    <t>27176_DisclosureInfo</t>
  </si>
  <si>
    <t>27176_numbersofday</t>
  </si>
  <si>
    <t>LateChargePercentage</t>
  </si>
  <si>
    <t>27176_LateCharge</t>
  </si>
  <si>
    <t>LateChargePercentageOf</t>
  </si>
  <si>
    <t>of the payment</t>
  </si>
  <si>
    <t>LEIssuedDate</t>
  </si>
  <si>
    <t>Constr.FstIntChgAdj</t>
  </si>
  <si>
    <t>SYS.X6_Est.InterestOn</t>
  </si>
  <si>
    <t>1962_NumberofDays</t>
  </si>
  <si>
    <t>1176_Period</t>
  </si>
  <si>
    <t>1677_InterestRate</t>
  </si>
  <si>
    <t>2820_RateType</t>
  </si>
  <si>
    <t>3899_InspectionFee</t>
  </si>
  <si>
    <t>1964_InitialAcquisitionofLand</t>
  </si>
  <si>
    <t>Refinance</t>
  </si>
  <si>
    <t>682_FirstPaymentDate</t>
  </si>
  <si>
    <t>1961_FinalPaymentDate</t>
  </si>
  <si>
    <t>1963_1stAmort.Date</t>
  </si>
  <si>
    <t>4080_OccupancyCertDate</t>
  </si>
  <si>
    <t>1265_RequiredReserves</t>
  </si>
  <si>
    <t xml:space="preserve">4086_RequiredInterestReserve </t>
  </si>
  <si>
    <t>4087_CreditorProhibitsBorrower</t>
  </si>
  <si>
    <t>4088_EstimatedConstructionInterest</t>
  </si>
  <si>
    <t>1404_Description</t>
  </si>
  <si>
    <t>763_Est.ClosingDate</t>
  </si>
  <si>
    <t>27208_setdata1</t>
  </si>
  <si>
    <t>27208_setdata2</t>
  </si>
  <si>
    <t>23</t>
  </si>
  <si>
    <t>27606_ARM_TestData3</t>
  </si>
  <si>
    <t>697_1stAdjCap</t>
  </si>
  <si>
    <t>696_1stChange</t>
  </si>
  <si>
    <t>695_AdjCap</t>
  </si>
  <si>
    <t>694_AdjPeriod</t>
  </si>
  <si>
    <t>247_LifeCap</t>
  </si>
  <si>
    <t>689_Margin</t>
  </si>
  <si>
    <t>688_Index</t>
  </si>
  <si>
    <t>27606_ARM_TestData4</t>
  </si>
  <si>
    <t>28239_numbersofday</t>
  </si>
  <si>
    <t>#3</t>
  </si>
  <si>
    <t>28239_ConstMortTable</t>
  </si>
  <si>
    <t>Constr First Pmt Date</t>
  </si>
  <si>
    <t>360/360</t>
  </si>
  <si>
    <t>Note Interest Rate</t>
  </si>
  <si>
    <t>28494_DisclosureInfo</t>
  </si>
  <si>
    <t>28494_numbersofday</t>
  </si>
  <si>
    <t>28494_LateCharge</t>
  </si>
  <si>
    <t>Period</t>
  </si>
  <si>
    <t>28531_SetARMData</t>
  </si>
  <si>
    <t>E2E_PipelineLoanSteps</t>
  </si>
  <si>
    <t>27201_ConstMortTable</t>
  </si>
  <si>
    <t>A (Half Loan)</t>
  </si>
  <si>
    <t>28236_ConstMortTable</t>
  </si>
  <si>
    <t>28161_SetARMData</t>
  </si>
  <si>
    <t>29483_ConstMortTable</t>
  </si>
  <si>
    <t>1401_LoanProgram</t>
  </si>
  <si>
    <t>CIBZ837_SetARMData</t>
  </si>
  <si>
    <t>E2E_DisclosureTracking_Step1</t>
  </si>
  <si>
    <t>30073_DisclosureInfo</t>
  </si>
  <si>
    <t>30073_numbersofday</t>
  </si>
  <si>
    <t>30073_LateCharge</t>
  </si>
  <si>
    <t>30073_1stPaymentDate</t>
  </si>
  <si>
    <t>CFUN81_LateCharge</t>
  </si>
  <si>
    <t>CBIZ2517_ConstMortTable</t>
  </si>
  <si>
    <t>TC1_CBIZ2158_ConstMort</t>
  </si>
  <si>
    <t>TC2_CBIZ2158_ConstMort</t>
  </si>
  <si>
    <t>B (Full Loan)</t>
  </si>
  <si>
    <t>TC3_CBIZ2158_ConstMort</t>
  </si>
  <si>
    <t>26089_LateCharge</t>
  </si>
  <si>
    <t>694_ARMRateAdjPeriod</t>
  </si>
  <si>
    <t>697_ARMFirstRateAdjCap</t>
  </si>
  <si>
    <t>695_ARMRateCap</t>
  </si>
  <si>
    <t>ARMIndexType</t>
  </si>
  <si>
    <t>LIBOR - 12 month</t>
  </si>
  <si>
    <t>IndexNMargin</t>
  </si>
  <si>
    <t>ArmMargin</t>
  </si>
  <si>
    <t>2.250</t>
  </si>
  <si>
    <t>2625_MaxLifeInterestRate</t>
  </si>
  <si>
    <t>1785_ClosingCost</t>
  </si>
  <si>
    <t>VA Purchase BASELINE</t>
  </si>
  <si>
    <t>PTAC-178</t>
  </si>
  <si>
    <t>PTAC-191</t>
  </si>
  <si>
    <t>PTAC-190</t>
  </si>
  <si>
    <t>PTAC-200</t>
  </si>
  <si>
    <t>HP_Core2p_Int</t>
  </si>
  <si>
    <t>E2E_HPQualification1</t>
  </si>
  <si>
    <t>PTAC-207</t>
  </si>
  <si>
    <t>PTAC-214</t>
  </si>
  <si>
    <t>PTAC-221</t>
  </si>
  <si>
    <t>PTAC-227</t>
  </si>
  <si>
    <t>PTAC-233</t>
  </si>
  <si>
    <t>PTAC-239</t>
  </si>
  <si>
    <t>PTAC-245</t>
  </si>
  <si>
    <t>1176_Period_GreaterThan12</t>
  </si>
  <si>
    <t>1176_Period_LessThan12</t>
  </si>
  <si>
    <t>1176_Period_EqualTo12</t>
  </si>
  <si>
    <t>E2E_Integration</t>
  </si>
  <si>
    <t>PTAC-1402_ConstPerm_LoanTerms</t>
  </si>
  <si>
    <t>PTAC-1352_1308_ConstructionOnly</t>
  </si>
  <si>
    <t>18,12,10</t>
  </si>
  <si>
    <t>PTAC-1352_1402_ConstPerm9_MonthlyPI</t>
  </si>
  <si>
    <t>ON</t>
  </si>
  <si>
    <t>PTAC-1352_LEandCD_Amortization_12P</t>
  </si>
  <si>
    <t>PTAC-1352_LEandCD_Amortization_13P</t>
  </si>
  <si>
    <t>PTAC-1352_LEandCD_Amortization_14P</t>
  </si>
  <si>
    <t>PTAC-1352_LEandCD_Amortization_24P</t>
  </si>
  <si>
    <t>PTAC-1352_LEandCD_Amortization_25P</t>
  </si>
  <si>
    <t>PTAC-1352_LEandCD_Amortization_6P</t>
  </si>
  <si>
    <t>LE1.X5_IntrestOnlyorProduct</t>
  </si>
  <si>
    <t>PTAC-1352_LEandCD_AmortizationARM_6P</t>
  </si>
  <si>
    <t>PTAC-1352_LEandCD_Amortization_15P</t>
  </si>
  <si>
    <t>PTAC-1352_LEandCD_Amortization_17P</t>
  </si>
  <si>
    <t>PTAC-1352_LEandCD_Amortization_ARM4</t>
  </si>
  <si>
    <t>LE1.X5_ARMIntrestOnlyorProduct</t>
  </si>
  <si>
    <t>1 Year Interest Only, 1 mo./1 mo. Adjustable Rate</t>
  </si>
  <si>
    <t>TypeOfPrepay</t>
  </si>
  <si>
    <t>PTAC-667</t>
  </si>
  <si>
    <t>Hard</t>
  </si>
  <si>
    <t>PTAC-1278_ClosingCostTables</t>
  </si>
  <si>
    <t>4085_MonthlyPrincipalInterest</t>
  </si>
  <si>
    <t>4085_MonthlyPrincipalInterest_A</t>
  </si>
  <si>
    <t>4085_MonthlyPrincipalInterest_B</t>
  </si>
  <si>
    <t>Borrower_LoanAmount</t>
  </si>
  <si>
    <t>PTAC-1352_Purchase_LEandCD</t>
  </si>
  <si>
    <t>PTAC-1352_ConstructionPerm_LEandCD</t>
  </si>
  <si>
    <t>SYS.X6_Est.InterestOn_B</t>
  </si>
  <si>
    <t>LE1.X41_Year</t>
  </si>
  <si>
    <t>LE1.X42_MinPI</t>
  </si>
  <si>
    <t>LE1.X44_InterestOnly</t>
  </si>
  <si>
    <t>LE1.X46_Est.Escrow</t>
  </si>
  <si>
    <t>LE1.X47_MinEst.BiWeeklyorMonPay.</t>
  </si>
  <si>
    <t>LE1.X48_MaxEst.BiWeeklyorMonPay.</t>
  </si>
  <si>
    <t>LE1.X49_Year</t>
  </si>
  <si>
    <t>LE1.X50_Year</t>
  </si>
  <si>
    <t>LE1.X52_MaxPI</t>
  </si>
  <si>
    <t>LE1.X53_InterestOnly</t>
  </si>
  <si>
    <t>LE1.X55_Est.Escrow</t>
  </si>
  <si>
    <t>LE1.X43_MaxPI</t>
  </si>
  <si>
    <t>LE1.X56_MinEst.BiWeekMon</t>
  </si>
  <si>
    <t>LE1.X58_Years</t>
  </si>
  <si>
    <t>LE1.X59_Years</t>
  </si>
  <si>
    <t>LE1.X61_MaxPI</t>
  </si>
  <si>
    <t>LE1.X63_Mort.Insurance</t>
  </si>
  <si>
    <t>LE1.X64_Est.Escrow</t>
  </si>
  <si>
    <t>LE1.X66_EstBiweekMonPay</t>
  </si>
  <si>
    <t>LE1.X57_MaxEst.BiWeekMon</t>
  </si>
  <si>
    <t>LE1.X62_InterestOnly</t>
  </si>
  <si>
    <t>LE1.X51_MinPI</t>
  </si>
  <si>
    <t>PTAC-1352_ConstrPerm_ProjectedPayment_4</t>
  </si>
  <si>
    <t>TotalPayment</t>
  </si>
  <si>
    <t>PTAC-1352_FixedtoARM_ProjectedPayment_4</t>
  </si>
  <si>
    <t>PTAC-1352_FixedToFixed_ProjectedPayment_1</t>
  </si>
  <si>
    <t>PTAC-1352_FixedToFixed_ProjectedPayment_2</t>
  </si>
  <si>
    <t>PTAC-1352_FixedToFixed_ProjectedPayment_3</t>
  </si>
  <si>
    <t>PTAC-1352_FixedtoARM_ProjectedPayment_1</t>
  </si>
  <si>
    <t>LE1.X67_Years</t>
  </si>
  <si>
    <t>LE1.X68_Years</t>
  </si>
  <si>
    <t>LE1.X69_MinEst.BiWeekMon</t>
  </si>
  <si>
    <t>LE1.X70_MaxEst.BiWeekMon</t>
  </si>
  <si>
    <t>LE1.X71__InterestOnly</t>
  </si>
  <si>
    <t>LE1.X72_Mort.Insurance</t>
  </si>
  <si>
    <t>LE1.X73_Est.Escrow</t>
  </si>
  <si>
    <t>LE1.X74_MinEstBiweekMonPay</t>
  </si>
  <si>
    <t>LE1.X75_MaxEstBiweekMonPay</t>
  </si>
  <si>
    <t>PTAC-1352_FixedtoARM_ProjectedPayment_2</t>
  </si>
  <si>
    <t>PTAC-1352_FixedtoARM_ProjectedPayment_3</t>
  </si>
  <si>
    <t>LE1.X60_MinPI</t>
  </si>
  <si>
    <t>PTAC-1352_1402_LoanTermsTable</t>
  </si>
  <si>
    <t>PTAC-1352_1402_LEValidate</t>
  </si>
  <si>
    <t>PTAC-1352_1402_LoanTermsTable_01</t>
  </si>
  <si>
    <t>1177_InterestOnly</t>
  </si>
  <si>
    <t>PTAC-1352_1402_LEValidate_01</t>
  </si>
  <si>
    <t>E2E_CONVPURARM</t>
  </si>
  <si>
    <t>E2E_ConvNoRefiARM</t>
  </si>
  <si>
    <t>PTAC-1873_LoanTermsTable</t>
  </si>
  <si>
    <t>PrepaymentMayorWillnot</t>
  </si>
  <si>
    <t>may</t>
  </si>
  <si>
    <t>E2E_FHAPURARM</t>
  </si>
  <si>
    <t>PTAC-1352_ConstructionPerm</t>
  </si>
  <si>
    <t>655_PrePayment</t>
  </si>
  <si>
    <t>will not</t>
  </si>
  <si>
    <t>1352_ConstrMgmt_9MoNoInterest_5MoInterest</t>
  </si>
  <si>
    <t>InterestRateAdj</t>
  </si>
  <si>
    <t>InitialIntRate</t>
  </si>
  <si>
    <t>IntRateChangeLimit</t>
  </si>
  <si>
    <t>1352_ConstrMgmt_9MoNoInterest_7MoInterest</t>
  </si>
  <si>
    <t>1352_ConstnMgmt_12MoNoInterest_5InterestMo</t>
  </si>
  <si>
    <t>InterestRateAdjTxt</t>
  </si>
  <si>
    <t>Interest Rate Adjustments</t>
  </si>
  <si>
    <t>1177_InterestOnlyAIR</t>
  </si>
  <si>
    <t>8,9,10,11,12,13,14,15,16</t>
  </si>
  <si>
    <t>LE2.X99_Intonly9IntFreq</t>
  </si>
  <si>
    <t>LE2.X99_Intonly10IntFreq</t>
  </si>
  <si>
    <t>LE2.X99_Intonly11IntFreq</t>
  </si>
  <si>
    <t>LE2.X99_Intonly12IntFreq</t>
  </si>
  <si>
    <t>LE2.X99_Intonly13IntFreq</t>
  </si>
  <si>
    <t>LE2.X99_Intonly14IntFreq</t>
  </si>
  <si>
    <t>LE2.X99_Intonly15IntFreq</t>
  </si>
  <si>
    <t>LE2.X99_Intonly16IntFreq</t>
  </si>
  <si>
    <t>LE2.X99_Intonly8IntFreq</t>
  </si>
  <si>
    <t>LE2.X99_BeginingIntFreq</t>
  </si>
  <si>
    <t>1352_ConstrPerm_ARM_1stAmortDT</t>
  </si>
  <si>
    <t>1352_ConstrPerm_LEandCD_A714</t>
  </si>
  <si>
    <t>1352_ConstrPerm_LEandCD_A714Validate</t>
  </si>
  <si>
    <t>MPI_DueDateInterestOnly(a)</t>
  </si>
  <si>
    <t>MPI_DueDateInterestOnly(b)</t>
  </si>
  <si>
    <t>1352_ConstrPerm_LEandCD_A794</t>
  </si>
  <si>
    <t>1352_ConstrPerm_LEandCD_A794Validate</t>
  </si>
  <si>
    <t>MaxPossibleAdjAmt</t>
  </si>
  <si>
    <t>12,17,24</t>
  </si>
  <si>
    <t>MaxPossibleAdjAmt(c)</t>
  </si>
  <si>
    <t>MPI_DueDateInterestOnly(c)</t>
  </si>
  <si>
    <t>4085_MonthlyPrincipalInt(a)</t>
  </si>
  <si>
    <t>4085_MonthlyPrincipalInt(b)</t>
  </si>
  <si>
    <t>MPI_DueDateInterestOnly(d)</t>
  </si>
  <si>
    <t>1352_ConstrPerm_LEandCD_A798</t>
  </si>
  <si>
    <t>1352_ConstrPerm_LEandCD_A798Validate</t>
  </si>
  <si>
    <t>MPIYesorNo</t>
  </si>
  <si>
    <t>Yes</t>
  </si>
  <si>
    <t>MPIFrequency</t>
  </si>
  <si>
    <t>Month</t>
  </si>
  <si>
    <t>MPIFrequency_A</t>
  </si>
  <si>
    <t>Year</t>
  </si>
  <si>
    <t>9,12,17,24</t>
  </si>
  <si>
    <t>1352_ConstrPerm_LEandCD_A902</t>
  </si>
  <si>
    <t>1352_ConstrPerm_LEandCD_A902Validate</t>
  </si>
  <si>
    <t>MPI_Bullet3Txt</t>
  </si>
  <si>
    <t>See AP Table on page 2 for details.</t>
  </si>
  <si>
    <t>SYS.X6_Est.InterestOn(a)</t>
  </si>
  <si>
    <t>1352_ConstrPerm_LEandCD_A783</t>
  </si>
  <si>
    <t>1352_ConstrPerm_LEandCD_A783Validate</t>
  </si>
  <si>
    <t>12,13</t>
  </si>
  <si>
    <t>1352_ConstrPerm_LEandCD_A784</t>
  </si>
  <si>
    <t>1959_ARMIndexType</t>
  </si>
  <si>
    <t>1 Year US Treasury CM (daily)</t>
  </si>
  <si>
    <t>1352_ConstrPerm_LEandCD_A784Validate</t>
  </si>
  <si>
    <t>1352_ConstrPerm_LEandCD_A792</t>
  </si>
  <si>
    <t>1352_ConstrPerm_LEandCD_A792Validate</t>
  </si>
  <si>
    <t>CONST.X1ConstrPeriodInc</t>
  </si>
  <si>
    <t>Y</t>
  </si>
  <si>
    <t>1177_InterestOnly(a)</t>
  </si>
  <si>
    <t>MaxPossibleAdjAmt(a)</t>
  </si>
  <si>
    <t>MaxPossibleAdjAmt(b)</t>
  </si>
  <si>
    <t>MPI_Bullet3Txt_A</t>
  </si>
  <si>
    <t>See AP Table on page 4 for details.</t>
  </si>
  <si>
    <t>E2E_VAPURARM</t>
  </si>
  <si>
    <t>4085_MonthlyPrincipalInt(c)</t>
  </si>
  <si>
    <t>4085_MonthlyPrincipalInt(d)</t>
  </si>
  <si>
    <t>4085_MonthlyPrincipalInt(e)</t>
  </si>
  <si>
    <t>2145_Alerts_InitialDisclosures</t>
  </si>
  <si>
    <t>PTAC-2256</t>
  </si>
  <si>
    <t>1352_ConstrPerm_NonUSDA</t>
  </si>
  <si>
    <t>1352_ConstrPerm_USDA</t>
  </si>
  <si>
    <t>PTAC-1485</t>
  </si>
  <si>
    <t>Shared_ConstrPerm_EstEscrow</t>
  </si>
  <si>
    <t>PTAC-1577</t>
  </si>
  <si>
    <t>3291_PaymentFrequency</t>
  </si>
  <si>
    <t>Monthly</t>
  </si>
  <si>
    <t>PTAC-1578</t>
  </si>
  <si>
    <t>PTAC-1583</t>
  </si>
  <si>
    <t>PTAC-2278_WorkflowInterest</t>
  </si>
  <si>
    <t>CD1.X24_ThirdPayYear</t>
  </si>
  <si>
    <t>1352_ConstrMgmt_F2F_ProjPayTable_774_Step1</t>
  </si>
  <si>
    <t>1352_ConstrMgmt_F2F_ProjPayTable_774_Step2</t>
  </si>
  <si>
    <t>1107_MIP/Funding/Guarantee</t>
  </si>
  <si>
    <t>1198_Months</t>
  </si>
  <si>
    <t>1199_Interest Rate</t>
  </si>
  <si>
    <t>1209_Cancelat</t>
  </si>
  <si>
    <t>1352_ConstrMgmt_F2F_ProjPayTable_774_Step4</t>
  </si>
  <si>
    <t>1352_ConstrMgmt_F2F_ProjPayTable_774_Step3</t>
  </si>
  <si>
    <t xml:space="preserve">-             </t>
  </si>
  <si>
    <t>1352_ConstrMgmt_F2A_ProjPayTable_862_Step3</t>
  </si>
  <si>
    <t>1352_ConstrMgmt_F2A_ProjPayTable_862_Step4</t>
  </si>
  <si>
    <t>1352_ConstrMgmt_F2A_ProjPayTable_862_Step6</t>
  </si>
  <si>
    <t>1352_ConstrMgmt_F2A_ProjPayTable_862_Step7</t>
  </si>
  <si>
    <t>1352_ConstrMgmt_F2A_ProjPayTable_862_Step2</t>
  </si>
  <si>
    <t>1352_ConstrMgmt_F2A_ProjPayTable_862_Step5</t>
  </si>
  <si>
    <t>1352_ConstrMgmt_F2A_ProjPayTable_862_Step1</t>
  </si>
  <si>
    <t>1352_ConstrMgmt_F2F_ProjPayTable_703_Step3</t>
  </si>
  <si>
    <t>1352_ConstrMgmt_F2F_ProjPayTable_703_Step4</t>
  </si>
  <si>
    <t>1352_ConstrMgmt_F2F_ProjPayTable_703_Step1</t>
  </si>
  <si>
    <t>1352_ConstrMgmt_F2F_ProjPayTable_703_Step2</t>
  </si>
  <si>
    <t>949_PrepaidFinance</t>
  </si>
  <si>
    <t>1352_ConstOnly_Fixed_01</t>
  </si>
  <si>
    <t>1352_ConstOnly_Fixed_02</t>
  </si>
  <si>
    <t>1352_ConstOnly_Fixed_03</t>
  </si>
  <si>
    <t>365/365</t>
  </si>
  <si>
    <t>365/360</t>
  </si>
  <si>
    <t>4088_EstimatedConstInterest</t>
  </si>
  <si>
    <t>E2E_FHANoCHOTRefiFix</t>
  </si>
  <si>
    <t>CD1.X42_MortIns</t>
  </si>
  <si>
    <t>LE1.X65_EstBiweekMonPay</t>
  </si>
  <si>
    <t>LE1.X45_MortInsurance</t>
  </si>
  <si>
    <t>LE1.X54_Mort.Insurance</t>
  </si>
  <si>
    <t>PTAC-2280</t>
  </si>
  <si>
    <t>StandardLEFormName</t>
  </si>
  <si>
    <t>StandardCDFormName</t>
  </si>
  <si>
    <t>Loan Estimate</t>
  </si>
  <si>
    <t>Closing Disclosure</t>
  </si>
  <si>
    <t>E2E_FHACORefiARM</t>
  </si>
  <si>
    <t>E2E_VANoCORefiARM</t>
  </si>
  <si>
    <t>VA IRRL Refinance-BASELINE</t>
  </si>
  <si>
    <t>E2E_FHAPURCASHFIX</t>
  </si>
  <si>
    <t>E2E_WrkFlow_2015_FundWrkSheet</t>
  </si>
  <si>
    <t>E2E_CONVCASHOUTREFFIX</t>
  </si>
  <si>
    <t>1398_LoanTermsTable</t>
  </si>
  <si>
    <t>PTAC-3100</t>
  </si>
  <si>
    <t>Purchase-BASELINE</t>
  </si>
  <si>
    <t>1873_LoanTerms_Override</t>
  </si>
  <si>
    <t>1873_LoanTerms_DropDown_CD</t>
  </si>
  <si>
    <t>LIBOR - 6 month</t>
  </si>
  <si>
    <t>1352_ConstrMgmt_EscrowMI78</t>
  </si>
  <si>
    <t>PTAC-3103</t>
  </si>
  <si>
    <t>Mortgage Insurance + 256 + 171 + - + -</t>
  </si>
  <si>
    <t>MortgagaeInsurance_PDF</t>
  </si>
  <si>
    <t>EstimatedEscrow_PDF</t>
  </si>
  <si>
    <t>Estimated Escrow + 185 + 185 + 185 + 185</t>
  </si>
  <si>
    <t>2 Year Interest Only, Fixed Rate</t>
  </si>
  <si>
    <t>PTAC-1352_LEandCD_Amortization_ARM</t>
  </si>
  <si>
    <t>PTAC-1352_LEandCD_Amortization_FC2_15P</t>
  </si>
  <si>
    <t>PTAC-1352_LEandCD_Amortization_FC3_17P</t>
  </si>
  <si>
    <t>1 Year Interest Only, Fixed Rate</t>
  </si>
  <si>
    <t>LoanProduct_PartA</t>
  </si>
  <si>
    <t>LoanProduct_PartB</t>
  </si>
  <si>
    <t xml:space="preserve"> mo./1 mo. Adjustable Rate</t>
  </si>
  <si>
    <t>2770_WorkFlow_2015Item_FundingSheet</t>
  </si>
  <si>
    <t>PTAC-1352_LEandCD_Amortization_FC12_6P</t>
  </si>
  <si>
    <t>PTAC3673_VerifyDisclosureTrackingRecord</t>
  </si>
  <si>
    <t>PTAC-988</t>
  </si>
  <si>
    <t>SYS.X2NoofDays</t>
  </si>
  <si>
    <t>PTAC-1074</t>
  </si>
  <si>
    <t>PTAC-3681_PaymentDate</t>
  </si>
  <si>
    <t>2770_WorkFlow_2015Item_FundingSheet_2284</t>
  </si>
  <si>
    <t>SetFirstPaymentDate</t>
  </si>
  <si>
    <t>CBIZ-11355</t>
  </si>
  <si>
    <t>CTA-134</t>
  </si>
  <si>
    <t>Soft</t>
  </si>
  <si>
    <t>E2E_DT_NONRESC_PAIR1</t>
  </si>
  <si>
    <t>Amortization_Conv_ARM</t>
  </si>
  <si>
    <t>Amortization_VA_ARM</t>
  </si>
  <si>
    <t>InterestOnlyFlag</t>
  </si>
  <si>
    <t>OptionalFlag</t>
  </si>
  <si>
    <t>StepFlag</t>
  </si>
  <si>
    <t>SeasonalFlag</t>
  </si>
  <si>
    <t>Seasonal</t>
  </si>
  <si>
    <t>CD4.X46_InterestOnlyFirst</t>
  </si>
  <si>
    <t>1712_OptionalFirst</t>
  </si>
  <si>
    <t>CD4.X26_StepFirst</t>
  </si>
  <si>
    <t>CD4.X30_FirstChangeAmt</t>
  </si>
  <si>
    <t>CD4.X33_SubsequestChanges</t>
  </si>
  <si>
    <t>CD4.X34_MaximumPayment</t>
  </si>
  <si>
    <t>ConstructionManagement_13MoNoInterest</t>
  </si>
  <si>
    <t>ConstructionManagement_12MoNoInterest</t>
  </si>
  <si>
    <t>ConstructionManagement_9MoNoInterest</t>
  </si>
  <si>
    <t>ConstructionManagement_9Mo60Interest</t>
  </si>
  <si>
    <t>No</t>
  </si>
  <si>
    <t>$955 at 14th payment</t>
  </si>
  <si>
    <t>No subsequent changes</t>
  </si>
  <si>
    <t>ConstructionManagement_12Mo6MInterest</t>
  </si>
  <si>
    <t>ConstructionManagement_13Mo6MInterest</t>
  </si>
  <si>
    <t>ConstructionManagement_9Mo6MInterest_withMortage</t>
  </si>
  <si>
    <t>ConstructionManagement_13Mo60MInterest240Ballons_withMortage</t>
  </si>
  <si>
    <t>$955 at 13th payment</t>
  </si>
  <si>
    <t>$955 at 10th payment</t>
  </si>
  <si>
    <t>$667 at 10th payment</t>
  </si>
  <si>
    <t>$667 at 13th payment</t>
  </si>
  <si>
    <t>$667 at 14th payment</t>
  </si>
  <si>
    <t>$955 starting at 14th payment</t>
  </si>
  <si>
    <t>$955 starting at 13th payment</t>
  </si>
  <si>
    <t>$955 starting at 10th payment</t>
  </si>
  <si>
    <t>$963 starting at 19th payment</t>
  </si>
  <si>
    <t>$963 starting at 20th payment</t>
  </si>
  <si>
    <t>$1,500 at 10th payment</t>
  </si>
  <si>
    <t>$1,615 starting at 16th payment</t>
  </si>
  <si>
    <t>$1,500 at 13th payment</t>
  </si>
  <si>
    <t>$1,646 starting at 49th payment</t>
  </si>
  <si>
    <t>$1,500 at 14th payment</t>
  </si>
  <si>
    <t>$1,678 starting at 74th payment</t>
  </si>
  <si>
    <t>$1,056 starting at 70th payment</t>
  </si>
  <si>
    <t>ConstructionManagement_12Mo36MInterest240Ballons_withMortage</t>
  </si>
  <si>
    <t>CBIZ_12551</t>
  </si>
  <si>
    <t>E2E_HELOC_InitialPayment</t>
  </si>
  <si>
    <t>4464_RateChkBox</t>
  </si>
  <si>
    <t>4467_AdditnlRateEdit</t>
  </si>
  <si>
    <t>4468_IntOnlyChkBox</t>
  </si>
  <si>
    <t>4464_FractionOfBalChk</t>
  </si>
  <si>
    <t>4469_Edit</t>
  </si>
  <si>
    <t>4470_Edit</t>
  </si>
  <si>
    <t>4464_PerOfBalChk</t>
  </si>
  <si>
    <t>4471_Edit</t>
  </si>
  <si>
    <t>1483_MinPmntEdit</t>
  </si>
  <si>
    <t>4472_MinPmntChkbox</t>
  </si>
  <si>
    <t>4473_QualBalList</t>
  </si>
  <si>
    <t>4474_QualTermEdit</t>
  </si>
  <si>
    <t>1888_InitDrawEdit</t>
  </si>
  <si>
    <t>1724_FirstQualPmntEdit</t>
  </si>
  <si>
    <t>4475_SelRateChk</t>
  </si>
  <si>
    <t>4476_RateTypelist</t>
  </si>
  <si>
    <t>4477_OperateRateList</t>
  </si>
  <si>
    <t>4478_AdtnlRateEdit</t>
  </si>
  <si>
    <t>4479_PIChk</t>
  </si>
  <si>
    <t>4475_FracBalChkBox</t>
  </si>
  <si>
    <t>4480_FracEdit</t>
  </si>
  <si>
    <t>4481_FracEdit</t>
  </si>
  <si>
    <t>4475_PerBalChkBox</t>
  </si>
  <si>
    <t>4482_PerBalEdit</t>
  </si>
  <si>
    <t>4483_MinPmntChkbox</t>
  </si>
  <si>
    <t>4484_BalusedList</t>
  </si>
  <si>
    <t>4485_IntTermList</t>
  </si>
  <si>
    <t>4465_RateList</t>
  </si>
  <si>
    <t>4466_AddSubList</t>
  </si>
  <si>
    <t>5_HelocInitPmntEdit</t>
  </si>
  <si>
    <t>1962_NumOfDaysEdit</t>
  </si>
  <si>
    <t>Note Rate</t>
  </si>
  <si>
    <t>2.000</t>
  </si>
  <si>
    <t>Initial Draw</t>
  </si>
  <si>
    <t>-</t>
  </si>
  <si>
    <t>20000</t>
  </si>
  <si>
    <t>+</t>
  </si>
  <si>
    <t>E2E_HELOC_InitialPayment_IniDrawRate_1</t>
  </si>
  <si>
    <t>E2E_HELOC_InitialPayment_IniDrawRate_2</t>
  </si>
  <si>
    <t>Margin + Index</t>
  </si>
  <si>
    <t>1.000</t>
  </si>
  <si>
    <t>Maximum Balance</t>
  </si>
  <si>
    <t>E2E_HELOC_InitialPayment_IniDrawRate_3</t>
  </si>
  <si>
    <t>100.00</t>
  </si>
  <si>
    <t>550.00</t>
  </si>
  <si>
    <t>E2E_HELOC_InitialPayment_IniDrawRate_4</t>
  </si>
  <si>
    <t>E2E_HELOC_InitialPayment_IniDrawRate_5</t>
  </si>
  <si>
    <t>E2E_HELOC_InitialPayment_IniDrawRate_6</t>
  </si>
  <si>
    <t>Teaser Rate</t>
  </si>
  <si>
    <t>0.500</t>
  </si>
  <si>
    <t>350.00</t>
  </si>
  <si>
    <t>OFF</t>
  </si>
  <si>
    <t>E2E_HELOC_InitialPayment_IniDrawRate_7</t>
  </si>
  <si>
    <t>E2E_HELOC_InitialPayment_IniDrawRate_8</t>
  </si>
  <si>
    <t>Index</t>
  </si>
  <si>
    <t>50.00</t>
  </si>
  <si>
    <t>E2E_HELOC_InitialPayment_IniDrawRate_9</t>
  </si>
  <si>
    <t>120</t>
  </si>
  <si>
    <t>E2E_HELOC_InitialPayment_IniDrawRate_10</t>
  </si>
  <si>
    <t>E2E_HELOC_InitialPayment_IniDrawRate_11</t>
  </si>
  <si>
    <t>E2E_HELOC_InitialPayment_IniDrawRate_12</t>
  </si>
  <si>
    <t>220</t>
  </si>
  <si>
    <t>500.00</t>
  </si>
  <si>
    <t>E2E_HELOC_InitialPayment_IniDrawRate_13</t>
  </si>
  <si>
    <t>E2E_HELOC_InitialPayment_IniDrawRate_14</t>
  </si>
  <si>
    <t>4.000</t>
  </si>
  <si>
    <t>590.00</t>
  </si>
  <si>
    <t>E2E_HELOC_InitialPayment_IniDrawRate_15</t>
  </si>
  <si>
    <t>E2E_HELOC_InitialPayment_IniDrawRate_16</t>
  </si>
  <si>
    <t>4491_NumOfDaysList</t>
  </si>
  <si>
    <t>4590.00</t>
  </si>
  <si>
    <t>1482_TeaserRateEdit</t>
  </si>
  <si>
    <t>2.5</t>
  </si>
  <si>
    <t>0.00</t>
  </si>
  <si>
    <t>Disb_Date</t>
  </si>
  <si>
    <t>FirstPayment_Date</t>
  </si>
  <si>
    <t>98.00</t>
  </si>
  <si>
    <t>501.00</t>
  </si>
  <si>
    <t>3.00</t>
  </si>
  <si>
    <t>1145.00</t>
  </si>
  <si>
    <t>180</t>
  </si>
  <si>
    <t>230</t>
  </si>
  <si>
    <t>1500.00</t>
  </si>
  <si>
    <t>6.000</t>
  </si>
  <si>
    <t>7.000</t>
  </si>
  <si>
    <t>14590.00</t>
  </si>
  <si>
    <t>1483_InitMinPmntEdit</t>
  </si>
  <si>
    <t>21000</t>
  </si>
  <si>
    <t>E2E_HELOC_InitialPayment_IniDrawRate_17</t>
  </si>
  <si>
    <t>240</t>
  </si>
  <si>
    <t>E2E_HELOC_InitialPayment_IniDrawRate_18</t>
  </si>
  <si>
    <t>142.00</t>
  </si>
  <si>
    <t>E2E_HELOC_InitialPayment_IniDrawRate_19</t>
  </si>
  <si>
    <t>0.900</t>
  </si>
  <si>
    <t>4.5</t>
  </si>
  <si>
    <t>E2E_HELOC_InitialPayment_IniDrawRate_20</t>
  </si>
  <si>
    <t>1420.00</t>
  </si>
  <si>
    <t>5190.00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</si>
</sst>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[Red]0.00"/>
    <numFmt numFmtId="165" formatCode="#,##0.00;[Red]#,##0.00"/>
    <numFmt numFmtId="166" formatCode="0;[Red]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  <xf numFmtId="0" fontId="0" fillId="0" borderId="0" xfId="0" quotePrefix="1" applyNumberFormat="1"/>
    <xf numFmtId="0" fontId="3" fillId="0" borderId="0" xfId="0" applyFont="1"/>
    <xf numFmtId="4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5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Alignment="1"/>
    <xf numFmtId="165" fontId="0" fillId="0" borderId="0" xfId="0" applyNumberFormat="1" applyAlignment="1"/>
    <xf numFmtId="0" fontId="0" fillId="0" borderId="1" xfId="0" applyBorder="1"/>
    <xf numFmtId="0" fontId="0" fillId="0" borderId="0" xfId="0" applyFill="1" applyBorder="1"/>
    <xf numFmtId="0" fontId="6" fillId="0" borderId="0" xfId="0" applyFont="1"/>
    <xf numFmtId="0" fontId="0" fillId="0" borderId="0" xfId="0" applyFill="1"/>
    <xf numFmtId="1" fontId="0" fillId="0" borderId="0" xfId="0" applyNumberFormat="1"/>
    <xf numFmtId="0" fontId="3" fillId="0" borderId="0" xfId="0" applyFont="1" applyFill="1"/>
    <xf numFmtId="0" fontId="0" fillId="0" borderId="0" xfId="0" applyFill="1" applyAlignment="1"/>
    <xf numFmtId="4" fontId="0" fillId="0" borderId="0" xfId="0" applyNumberFormat="1" applyAlignment="1"/>
    <xf numFmtId="3" fontId="0" fillId="0" borderId="0" xfId="0" applyNumberFormat="1" applyAlignment="1"/>
    <xf numFmtId="3" fontId="0" fillId="0" borderId="0" xfId="0" applyNumberFormat="1" applyFill="1" applyAlignment="1"/>
    <xf numFmtId="4" fontId="0" fillId="0" borderId="0" xfId="0" applyNumberFormat="1" applyFill="1" applyAlignment="1"/>
    <xf numFmtId="3" fontId="0" fillId="0" borderId="0" xfId="0" applyNumberFormat="1" applyFill="1" applyAlignment="1">
      <alignment horizontal="right"/>
    </xf>
    <xf numFmtId="4" fontId="0" fillId="0" borderId="0" xfId="0" applyNumberFormat="1" applyFill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right"/>
    </xf>
    <xf numFmtId="166" fontId="0" fillId="0" borderId="0" xfId="0" applyNumberFormat="1" applyFill="1" applyAlignment="1"/>
    <xf numFmtId="0" fontId="0" fillId="0" borderId="0" xfId="0" applyFont="1" applyAlignment="1"/>
    <xf numFmtId="0" fontId="0" fillId="0" borderId="0" xfId="0" quotePrefix="1"/>
    <xf numFmtId="0" fontId="0" fillId="0" borderId="0" xfId="0" applyAlignment="1">
      <alignment horizontal="left"/>
    </xf>
    <xf numFmtId="2" fontId="0" fillId="0" borderId="0" xfId="0" quotePrefix="1" applyNumberFormat="1"/>
    <xf numFmtId="4" fontId="0" fillId="0" borderId="0" xfId="0" applyNumberFormat="1" applyAlignment="1">
      <alignment horizontal="left"/>
    </xf>
    <xf numFmtId="165" fontId="0" fillId="0" borderId="0" xfId="0" applyNumberFormat="1"/>
    <xf numFmtId="39" fontId="0" fillId="0" borderId="0" xfId="0" applyNumberForma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/>
  </sheetViews>
  <sheetFormatPr defaultRowHeight="15" x14ac:dyDescent="0.25"/>
  <cols>
    <col min="1" max="1" width="10.42578125" bestFit="1" customWidth="1"/>
  </cols>
  <sheetData>
    <row r="11" spans="5:6" x14ac:dyDescent="0.25">
      <c r="E11" t="s">
        <v>0</v>
      </c>
      <c r="F11" s="1" t="s">
        <v>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"/>
  <sheetViews>
    <sheetView workbookViewId="0">
      <selection sqref="A1:C4"/>
    </sheetView>
  </sheetViews>
  <sheetFormatPr defaultColWidth="9.140625" defaultRowHeight="16.5" customHeight="1" x14ac:dyDescent="0.25"/>
  <cols>
    <col min="1" max="1" width="44.42578125" style="13" bestFit="1" customWidth="1"/>
    <col min="2" max="2" width="12.42578125" style="13" bestFit="1" customWidth="1"/>
    <col min="3" max="3" width="16.5703125" style="13" customWidth="1"/>
    <col min="4" max="4" width="14" style="13" bestFit="1" customWidth="1"/>
    <col min="5" max="5" width="14" style="13" customWidth="1"/>
    <col min="6" max="6" width="20" style="13" bestFit="1" customWidth="1"/>
    <col min="7" max="7" width="22" style="13" bestFit="1" customWidth="1"/>
    <col min="8" max="8" width="18.140625" style="13" bestFit="1" customWidth="1"/>
    <col min="9" max="9" width="34.42578125" style="13" bestFit="1" customWidth="1"/>
    <col min="10" max="10" width="34.7109375" style="13" bestFit="1" customWidth="1"/>
    <col min="11" max="12" width="12.5703125" style="13" bestFit="1" customWidth="1"/>
    <col min="13" max="13" width="16.5703125" style="13" customWidth="1"/>
    <col min="14" max="14" width="14.28515625" style="13" bestFit="1" customWidth="1"/>
    <col min="15" max="15" width="20" style="13" bestFit="1" customWidth="1"/>
    <col min="16" max="17" width="22.5703125" style="13" bestFit="1" customWidth="1"/>
    <col min="18" max="18" width="27" style="13" bestFit="1" customWidth="1"/>
    <col min="19" max="19" width="27.28515625" style="13" bestFit="1" customWidth="1"/>
    <col min="20" max="20" width="13" style="13" customWidth="1"/>
    <col min="21" max="21" width="13.5703125" style="13" bestFit="1" customWidth="1"/>
    <col min="22" max="22" width="13.5703125" style="13" customWidth="1"/>
    <col min="23" max="23" width="14.28515625" style="13" bestFit="1" customWidth="1"/>
    <col min="24" max="24" width="20" style="13" bestFit="1" customWidth="1"/>
    <col min="25" max="25" width="22.5703125" style="13" bestFit="1" customWidth="1"/>
    <col min="26" max="26" width="18.140625" style="13" bestFit="1" customWidth="1"/>
    <col min="27" max="27" width="29.140625" style="13" bestFit="1" customWidth="1"/>
    <col min="28" max="28" width="25.5703125" style="13" bestFit="1" customWidth="1"/>
    <col min="29" max="29" width="13.42578125" style="13" bestFit="1" customWidth="1"/>
    <col min="30" max="31" width="13.5703125" style="13" bestFit="1" customWidth="1"/>
    <col min="32" max="32" width="27" style="13" bestFit="1" customWidth="1"/>
    <col min="33" max="33" width="27.28515625" style="13" bestFit="1" customWidth="1"/>
    <col min="34" max="34" width="21" style="13" bestFit="1" customWidth="1"/>
    <col min="35" max="35" width="22.5703125" style="13" bestFit="1" customWidth="1"/>
    <col min="36" max="36" width="18.140625" style="13" bestFit="1" customWidth="1"/>
    <col min="37" max="37" width="29.140625" style="13" bestFit="1" customWidth="1"/>
    <col min="38" max="38" width="29.42578125" style="13" bestFit="1" customWidth="1"/>
    <col min="39" max="39" width="24.7109375" style="13" bestFit="1" customWidth="1"/>
    <col min="40" max="40" width="23.5703125" style="13" bestFit="1" customWidth="1"/>
    <col min="41" max="41" width="21.140625" style="13" bestFit="1" customWidth="1"/>
    <col min="42" max="42" width="19" style="13" bestFit="1" customWidth="1"/>
    <col min="43" max="43" width="27.42578125" style="13" bestFit="1" customWidth="1"/>
    <col min="44" max="44" width="34.140625" style="13" bestFit="1" customWidth="1"/>
    <col min="45" max="45" width="36.7109375" style="13" bestFit="1" customWidth="1"/>
    <col min="46" max="16384" width="9.140625" style="13"/>
  </cols>
  <sheetData>
    <row r="1" spans="1:45" s="12" customFormat="1" ht="16.5" customHeight="1" x14ac:dyDescent="0.25">
      <c r="A1" s="12" t="s">
        <v>1</v>
      </c>
      <c r="B1" s="12" t="s">
        <v>147</v>
      </c>
      <c r="C1" s="12" t="s">
        <v>148</v>
      </c>
      <c r="D1" s="12" t="s">
        <v>158</v>
      </c>
      <c r="E1" s="12" t="s">
        <v>311</v>
      </c>
      <c r="F1" s="12" t="s">
        <v>149</v>
      </c>
      <c r="G1" s="12" t="s">
        <v>313</v>
      </c>
      <c r="H1" s="12" t="s">
        <v>150</v>
      </c>
      <c r="I1" s="12" t="s">
        <v>151</v>
      </c>
      <c r="J1" s="12" t="s">
        <v>152</v>
      </c>
      <c r="K1" s="12" t="s">
        <v>153</v>
      </c>
      <c r="L1" s="12" t="s">
        <v>154</v>
      </c>
      <c r="M1" s="12" t="s">
        <v>168</v>
      </c>
      <c r="N1" s="12" t="s">
        <v>155</v>
      </c>
      <c r="O1" s="12" t="s">
        <v>156</v>
      </c>
      <c r="P1" s="12" t="s">
        <v>314</v>
      </c>
      <c r="Q1" s="12" t="s">
        <v>157</v>
      </c>
      <c r="R1" s="12" t="s">
        <v>159</v>
      </c>
      <c r="S1" s="12" t="s">
        <v>166</v>
      </c>
      <c r="T1" s="12" t="s">
        <v>160</v>
      </c>
      <c r="U1" s="12" t="s">
        <v>161</v>
      </c>
      <c r="V1" s="12" t="s">
        <v>187</v>
      </c>
      <c r="W1" s="12" t="s">
        <v>162</v>
      </c>
      <c r="X1" s="12" t="s">
        <v>167</v>
      </c>
      <c r="Y1" s="12" t="s">
        <v>163</v>
      </c>
      <c r="Z1" s="12" t="s">
        <v>164</v>
      </c>
      <c r="AA1" s="12" t="s">
        <v>312</v>
      </c>
      <c r="AB1" s="12" t="s">
        <v>165</v>
      </c>
      <c r="AC1" s="12" t="s">
        <v>170</v>
      </c>
      <c r="AD1" s="12" t="s">
        <v>176</v>
      </c>
      <c r="AE1" s="12" t="s">
        <v>177</v>
      </c>
      <c r="AF1" s="12" t="s">
        <v>178</v>
      </c>
      <c r="AG1" s="12" t="s">
        <v>179</v>
      </c>
      <c r="AH1" s="12" t="s">
        <v>180</v>
      </c>
      <c r="AI1" s="12" t="s">
        <v>181</v>
      </c>
      <c r="AJ1" s="12" t="s">
        <v>182</v>
      </c>
      <c r="AK1" s="12" t="s">
        <v>183</v>
      </c>
      <c r="AL1" s="12" t="s">
        <v>184</v>
      </c>
      <c r="AM1" s="12" t="s">
        <v>196</v>
      </c>
      <c r="AN1" s="12" t="s">
        <v>277</v>
      </c>
      <c r="AO1" s="12" t="s">
        <v>282</v>
      </c>
      <c r="AP1" s="12" t="s">
        <v>303</v>
      </c>
      <c r="AQ1" s="12" t="s">
        <v>309</v>
      </c>
      <c r="AR1" s="12" t="s">
        <v>335</v>
      </c>
      <c r="AS1" s="12" t="s">
        <v>336</v>
      </c>
    </row>
    <row r="2" spans="1:45" ht="16.5" customHeight="1" x14ac:dyDescent="0.25">
      <c r="A2" s="13" t="s">
        <v>172</v>
      </c>
      <c r="B2" s="13">
        <v>1</v>
      </c>
      <c r="C2" s="13">
        <v>333</v>
      </c>
      <c r="D2" s="13">
        <v>955</v>
      </c>
      <c r="F2" s="13">
        <v>1</v>
      </c>
      <c r="G2" s="13">
        <v>0</v>
      </c>
      <c r="H2" s="13">
        <v>0</v>
      </c>
      <c r="I2" s="13">
        <v>333</v>
      </c>
      <c r="J2" s="13">
        <v>955</v>
      </c>
      <c r="K2" s="13">
        <v>2</v>
      </c>
      <c r="L2" s="13">
        <v>31</v>
      </c>
      <c r="N2" s="13">
        <v>954.83</v>
      </c>
      <c r="O2" s="13">
        <v>0</v>
      </c>
      <c r="P2" s="13">
        <v>0</v>
      </c>
      <c r="Q2" s="13">
        <v>0</v>
      </c>
      <c r="R2" s="13">
        <v>954.83</v>
      </c>
    </row>
    <row r="3" spans="1:45" ht="16.5" customHeight="1" x14ac:dyDescent="0.25">
      <c r="A3" s="13" t="s">
        <v>173</v>
      </c>
      <c r="B3" s="13">
        <v>1</v>
      </c>
      <c r="C3" s="13">
        <v>333</v>
      </c>
      <c r="D3" s="13">
        <v>667</v>
      </c>
      <c r="F3" s="13">
        <v>1</v>
      </c>
      <c r="G3" s="13">
        <v>0</v>
      </c>
      <c r="H3" s="13">
        <v>100</v>
      </c>
      <c r="I3" s="13">
        <v>433</v>
      </c>
      <c r="J3" s="13">
        <v>767</v>
      </c>
      <c r="K3" s="13">
        <v>2</v>
      </c>
      <c r="L3" s="13">
        <v>6</v>
      </c>
      <c r="M3" s="13">
        <v>667</v>
      </c>
      <c r="N3" s="13">
        <v>1056</v>
      </c>
      <c r="O3" s="13">
        <v>1</v>
      </c>
      <c r="P3" s="13">
        <v>0</v>
      </c>
      <c r="Q3" s="13">
        <v>100</v>
      </c>
      <c r="R3" s="13">
        <v>767</v>
      </c>
      <c r="S3" s="13">
        <v>1156</v>
      </c>
      <c r="T3" s="13">
        <v>7</v>
      </c>
      <c r="U3" s="13">
        <v>31</v>
      </c>
      <c r="W3" s="13">
        <v>1055.67</v>
      </c>
      <c r="X3" s="13">
        <v>0</v>
      </c>
      <c r="Y3" s="13">
        <v>0</v>
      </c>
      <c r="Z3" s="13">
        <v>100</v>
      </c>
      <c r="AB3" s="13">
        <v>1156</v>
      </c>
    </row>
    <row r="4" spans="1:45" ht="16.5" customHeight="1" x14ac:dyDescent="0.25">
      <c r="A4" s="13" t="s">
        <v>174</v>
      </c>
      <c r="B4" s="13">
        <v>1</v>
      </c>
      <c r="C4" s="13">
        <v>333</v>
      </c>
      <c r="D4" s="13">
        <v>955</v>
      </c>
      <c r="F4" s="13">
        <v>1</v>
      </c>
      <c r="G4" s="13">
        <v>166.67</v>
      </c>
      <c r="H4" s="13">
        <v>100</v>
      </c>
      <c r="I4" s="13">
        <v>600</v>
      </c>
      <c r="J4" s="13">
        <v>1222</v>
      </c>
      <c r="K4" s="13">
        <v>2</v>
      </c>
      <c r="L4" s="13">
        <v>10</v>
      </c>
      <c r="M4" s="13">
        <v>954.83</v>
      </c>
      <c r="O4" s="13">
        <v>0</v>
      </c>
      <c r="P4" s="13">
        <v>166.67</v>
      </c>
      <c r="Q4" s="13">
        <v>100</v>
      </c>
      <c r="S4" s="13">
        <v>1222</v>
      </c>
      <c r="T4" s="13">
        <v>11</v>
      </c>
      <c r="U4" s="13">
        <v>16</v>
      </c>
      <c r="W4" s="13">
        <v>954.83</v>
      </c>
      <c r="X4" s="13">
        <v>0</v>
      </c>
      <c r="Y4" s="13">
        <v>0</v>
      </c>
      <c r="Z4" s="13">
        <v>100</v>
      </c>
      <c r="AB4" s="13">
        <v>1054.83</v>
      </c>
      <c r="AC4" s="14">
        <v>130040.69</v>
      </c>
    </row>
    <row r="5" spans="1:45" ht="16.5" customHeight="1" x14ac:dyDescent="0.25">
      <c r="A5" s="13" t="s">
        <v>169</v>
      </c>
      <c r="B5" s="13">
        <v>1</v>
      </c>
      <c r="C5" s="32">
        <v>750</v>
      </c>
      <c r="D5" s="13">
        <v>1500</v>
      </c>
      <c r="F5" s="13">
        <v>1</v>
      </c>
      <c r="G5" s="13">
        <v>166.67</v>
      </c>
      <c r="H5" s="13">
        <v>100</v>
      </c>
      <c r="I5" s="13">
        <v>1017</v>
      </c>
      <c r="J5" s="13">
        <v>1767</v>
      </c>
      <c r="K5" s="13">
        <v>2</v>
      </c>
      <c r="L5" s="13">
        <v>10</v>
      </c>
      <c r="M5" s="13">
        <v>1500</v>
      </c>
      <c r="N5" s="13">
        <v>1615</v>
      </c>
      <c r="O5" s="13">
        <v>1</v>
      </c>
      <c r="P5" s="13">
        <v>166.67</v>
      </c>
      <c r="Q5" s="13">
        <v>100</v>
      </c>
      <c r="R5" s="13">
        <v>1767</v>
      </c>
      <c r="S5" s="13">
        <v>1882</v>
      </c>
      <c r="T5" s="13">
        <v>3</v>
      </c>
      <c r="U5" s="13">
        <v>21</v>
      </c>
      <c r="W5" s="13">
        <v>1614.64</v>
      </c>
      <c r="X5" s="13">
        <v>0</v>
      </c>
      <c r="Y5" s="13">
        <v>166.67</v>
      </c>
      <c r="Z5" s="13">
        <v>100</v>
      </c>
      <c r="AB5" s="13">
        <v>1881.31</v>
      </c>
      <c r="AC5" s="13">
        <v>129075.02</v>
      </c>
    </row>
    <row r="6" spans="1:45" ht="16.5" customHeight="1" x14ac:dyDescent="0.25">
      <c r="A6" s="13" t="s">
        <v>175</v>
      </c>
      <c r="B6" s="13">
        <v>1</v>
      </c>
      <c r="C6" s="13">
        <v>333</v>
      </c>
      <c r="D6" s="13">
        <v>955</v>
      </c>
      <c r="F6" s="13">
        <v>1</v>
      </c>
      <c r="G6" s="13">
        <v>0</v>
      </c>
      <c r="H6" s="13">
        <v>0</v>
      </c>
      <c r="I6" s="13">
        <v>333</v>
      </c>
      <c r="J6" s="13">
        <v>955</v>
      </c>
      <c r="K6" s="13">
        <v>2</v>
      </c>
      <c r="M6" s="13">
        <v>768</v>
      </c>
      <c r="N6" s="13">
        <v>1194</v>
      </c>
      <c r="O6" s="13">
        <v>0</v>
      </c>
      <c r="P6" s="13">
        <v>0</v>
      </c>
      <c r="Q6" s="13">
        <v>0</v>
      </c>
      <c r="R6" s="13">
        <v>768</v>
      </c>
      <c r="S6" s="13">
        <v>1194</v>
      </c>
      <c r="T6" s="13">
        <v>3</v>
      </c>
      <c r="V6" s="13">
        <v>768</v>
      </c>
      <c r="W6" s="13">
        <v>1452</v>
      </c>
      <c r="X6" s="13">
        <v>0</v>
      </c>
      <c r="Y6" s="13">
        <v>0</v>
      </c>
      <c r="Z6" s="13">
        <v>0</v>
      </c>
      <c r="AA6" s="13">
        <v>768</v>
      </c>
      <c r="AB6" s="13">
        <v>1452</v>
      </c>
      <c r="AD6" s="13">
        <v>4</v>
      </c>
      <c r="AE6" s="13">
        <v>31</v>
      </c>
      <c r="AF6" s="13">
        <v>768</v>
      </c>
      <c r="AG6" s="13">
        <v>2290</v>
      </c>
      <c r="AH6" s="13">
        <v>0</v>
      </c>
      <c r="AI6" s="13">
        <v>0</v>
      </c>
      <c r="AJ6" s="13">
        <v>0</v>
      </c>
      <c r="AK6" s="13">
        <v>768</v>
      </c>
      <c r="AL6" s="13">
        <v>2290</v>
      </c>
    </row>
    <row r="7" spans="1:45" ht="16.5" customHeight="1" x14ac:dyDescent="0.25">
      <c r="A7" s="13" t="s">
        <v>185</v>
      </c>
      <c r="B7" s="13">
        <v>1</v>
      </c>
      <c r="C7" s="13">
        <v>333</v>
      </c>
      <c r="D7" s="13">
        <v>667</v>
      </c>
      <c r="F7" s="13">
        <v>1</v>
      </c>
      <c r="G7" s="13">
        <v>0</v>
      </c>
      <c r="H7" s="13">
        <v>100</v>
      </c>
      <c r="I7" s="13">
        <v>443</v>
      </c>
      <c r="J7" s="13">
        <v>767</v>
      </c>
      <c r="K7" s="13">
        <v>2</v>
      </c>
      <c r="M7" s="13">
        <v>375</v>
      </c>
      <c r="N7" s="13">
        <v>1000</v>
      </c>
      <c r="O7" s="13">
        <v>1</v>
      </c>
      <c r="P7" s="13">
        <v>0</v>
      </c>
      <c r="Q7" s="13">
        <v>100</v>
      </c>
      <c r="R7" s="13">
        <v>475</v>
      </c>
      <c r="S7" s="13">
        <v>1100</v>
      </c>
      <c r="T7" s="13">
        <v>3</v>
      </c>
      <c r="V7" s="13">
        <v>375</v>
      </c>
      <c r="W7" s="13">
        <v>1333</v>
      </c>
      <c r="X7" s="13">
        <v>1</v>
      </c>
      <c r="Y7" s="13">
        <v>0</v>
      </c>
      <c r="Z7" s="13">
        <v>100</v>
      </c>
      <c r="AA7" s="13">
        <v>475</v>
      </c>
      <c r="AB7" s="13">
        <v>1433</v>
      </c>
      <c r="AD7" s="13">
        <v>4</v>
      </c>
      <c r="AE7" s="13">
        <v>31</v>
      </c>
      <c r="AF7" s="13">
        <v>375</v>
      </c>
      <c r="AG7" s="13">
        <v>2408</v>
      </c>
      <c r="AH7" s="13">
        <v>1</v>
      </c>
      <c r="AI7" s="13">
        <v>0</v>
      </c>
      <c r="AJ7" s="13">
        <v>100</v>
      </c>
      <c r="AK7" s="13">
        <v>475</v>
      </c>
      <c r="AL7" s="13">
        <v>2508</v>
      </c>
    </row>
    <row r="8" spans="1:45" ht="16.5" customHeight="1" x14ac:dyDescent="0.25">
      <c r="A8" s="13" t="s">
        <v>186</v>
      </c>
      <c r="B8" s="13">
        <v>1</v>
      </c>
      <c r="C8" s="13">
        <v>333</v>
      </c>
      <c r="D8" s="13">
        <v>955</v>
      </c>
      <c r="F8" s="13">
        <v>1</v>
      </c>
      <c r="G8" s="13">
        <v>167</v>
      </c>
      <c r="H8" s="13">
        <v>100</v>
      </c>
      <c r="I8" s="13">
        <v>600</v>
      </c>
      <c r="J8" s="13">
        <v>1222</v>
      </c>
      <c r="K8" s="13">
        <v>2</v>
      </c>
      <c r="M8" s="13">
        <v>768</v>
      </c>
      <c r="N8" s="13">
        <v>1194</v>
      </c>
      <c r="O8" s="13">
        <v>0</v>
      </c>
      <c r="P8" s="13">
        <v>167</v>
      </c>
      <c r="Q8" s="13">
        <v>100</v>
      </c>
      <c r="R8" s="13">
        <v>1035</v>
      </c>
      <c r="S8" s="13">
        <v>1461</v>
      </c>
      <c r="T8" s="13">
        <v>3</v>
      </c>
      <c r="U8" s="13">
        <v>16</v>
      </c>
      <c r="V8" s="13">
        <v>768</v>
      </c>
      <c r="W8" s="13">
        <v>2290</v>
      </c>
      <c r="X8" s="13">
        <v>0</v>
      </c>
      <c r="Y8" s="13">
        <v>167</v>
      </c>
      <c r="Z8" s="13">
        <v>100</v>
      </c>
      <c r="AA8" s="13">
        <v>1035</v>
      </c>
      <c r="AB8" s="13">
        <v>2557</v>
      </c>
    </row>
    <row r="9" spans="1:45" ht="16.5" customHeight="1" x14ac:dyDescent="0.25">
      <c r="A9" s="13" t="s">
        <v>171</v>
      </c>
    </row>
    <row r="10" spans="1:45" ht="16.5" customHeight="1" x14ac:dyDescent="0.25">
      <c r="A10" s="6" t="s">
        <v>330</v>
      </c>
      <c r="AM10" s="13" t="s">
        <v>197</v>
      </c>
    </row>
    <row r="11" spans="1:45" ht="16.5" customHeight="1" x14ac:dyDescent="0.25">
      <c r="A11" s="13" t="s">
        <v>276</v>
      </c>
      <c r="B11" s="13">
        <v>1</v>
      </c>
      <c r="C11" s="23">
        <v>500</v>
      </c>
      <c r="D11" s="23">
        <v>833</v>
      </c>
      <c r="E11" s="23"/>
      <c r="F11" s="13">
        <v>1</v>
      </c>
      <c r="G11" s="13">
        <v>0</v>
      </c>
      <c r="H11" s="23">
        <v>100</v>
      </c>
      <c r="I11" s="13">
        <v>600</v>
      </c>
      <c r="J11" s="13">
        <v>933</v>
      </c>
      <c r="K11" s="13">
        <v>2</v>
      </c>
      <c r="M11" s="23">
        <v>375</v>
      </c>
      <c r="N11" s="28" t="str">
        <f>TEXT(1167,"#,##0")</f>
        <v>1,167</v>
      </c>
      <c r="O11" s="13">
        <v>1</v>
      </c>
      <c r="P11" s="23">
        <v>0</v>
      </c>
      <c r="Q11" s="23">
        <v>100</v>
      </c>
      <c r="R11" s="28" t="str">
        <f>TEXT(475,"#,##0")</f>
        <v>475</v>
      </c>
      <c r="S11" s="28" t="str">
        <f>TEXT(1267,"#,##0")</f>
        <v>1,267</v>
      </c>
      <c r="T11" s="13">
        <v>3</v>
      </c>
      <c r="V11" s="28" t="str">
        <f>TEXT(375,"#,##0")</f>
        <v>375</v>
      </c>
      <c r="W11" s="26" t="str">
        <f>TEXT(1500,"#,##0")</f>
        <v>1,500</v>
      </c>
      <c r="X11" s="13">
        <v>1</v>
      </c>
      <c r="Y11" s="13">
        <v>0</v>
      </c>
      <c r="Z11" s="13">
        <v>100</v>
      </c>
      <c r="AA11" s="28" t="str">
        <f>TEXT(475,"#,##0")</f>
        <v>475</v>
      </c>
      <c r="AB11" s="28" t="str">
        <f>TEXT(1600,"#,##0")</f>
        <v>1,600</v>
      </c>
      <c r="AD11" s="13">
        <v>4</v>
      </c>
      <c r="AE11" s="13">
        <v>30</v>
      </c>
      <c r="AF11" s="28" t="str">
        <f>TEXT(375,"#,##0")</f>
        <v>375</v>
      </c>
      <c r="AG11" s="28" t="str">
        <f>TEXT(2408,"#,##0")</f>
        <v>2,408</v>
      </c>
      <c r="AH11" s="13">
        <v>1</v>
      </c>
      <c r="AI11" s="13">
        <v>0</v>
      </c>
      <c r="AJ11" s="13">
        <v>100</v>
      </c>
      <c r="AK11" s="28" t="str">
        <f>TEXT(475,"#,##0")</f>
        <v>475</v>
      </c>
      <c r="AL11" s="28" t="str">
        <f>TEXT(2508,"#,##0")</f>
        <v>2,508</v>
      </c>
      <c r="AN11" s="13" t="s">
        <v>278</v>
      </c>
    </row>
    <row r="12" spans="1:45" s="21" customFormat="1" ht="16.5" customHeight="1" x14ac:dyDescent="0.25">
      <c r="A12" s="6" t="s">
        <v>283</v>
      </c>
      <c r="B12" s="21">
        <v>1</v>
      </c>
      <c r="C12" s="26" t="str">
        <f>TEXT(333,"#,##0")</f>
        <v>333</v>
      </c>
      <c r="D12" s="26" t="str">
        <f>TEXT(955,"#,##0")</f>
        <v>955</v>
      </c>
      <c r="E12" s="26"/>
      <c r="F12" s="21">
        <v>1</v>
      </c>
      <c r="G12" s="21">
        <v>0</v>
      </c>
      <c r="H12" s="24">
        <v>0</v>
      </c>
      <c r="K12" s="21">
        <v>2</v>
      </c>
      <c r="M12" s="26" t="str">
        <f>TEXT(768,"#,##0")</f>
        <v>768</v>
      </c>
      <c r="N12" s="26" t="str">
        <f>TEXT(1194,"#,##0")</f>
        <v>1,194</v>
      </c>
      <c r="O12" s="21">
        <v>0</v>
      </c>
      <c r="P12" s="24">
        <v>0</v>
      </c>
      <c r="Q12" s="24">
        <v>0</v>
      </c>
      <c r="R12" s="26" t="str">
        <f>TEXT(768,"#,##0")</f>
        <v>768</v>
      </c>
      <c r="S12" s="26" t="str">
        <f>TEXT(1194,"#,##0")</f>
        <v>1,194</v>
      </c>
      <c r="V12" s="26" t="str">
        <f>TEXT(768,"#,##0")</f>
        <v>768</v>
      </c>
      <c r="W12" s="26" t="str">
        <f>TEXT(1452,"#,##0")</f>
        <v>1,452</v>
      </c>
      <c r="X12" s="21">
        <v>0</v>
      </c>
      <c r="Y12" s="21">
        <v>0</v>
      </c>
      <c r="Z12" s="21">
        <v>0</v>
      </c>
      <c r="AA12" s="26" t="str">
        <f>TEXT(768,"#,##0")</f>
        <v>768</v>
      </c>
      <c r="AB12" s="26" t="str">
        <f>TEXT(1452,"#,##0")</f>
        <v>1,452</v>
      </c>
      <c r="AD12" s="21">
        <v>4</v>
      </c>
      <c r="AE12" s="21">
        <v>31</v>
      </c>
      <c r="AF12" s="26" t="str">
        <f>TEXT(768,"#,##0")</f>
        <v>768</v>
      </c>
      <c r="AG12" s="26" t="str">
        <f>TEXT(2290,"#,##0")</f>
        <v>2,290</v>
      </c>
      <c r="AH12" s="21">
        <v>0</v>
      </c>
      <c r="AI12" s="21">
        <v>0</v>
      </c>
      <c r="AJ12" s="21">
        <v>0</v>
      </c>
      <c r="AK12" s="26" t="str">
        <f>TEXT(768,"#,##0")</f>
        <v>768</v>
      </c>
      <c r="AL12" s="26" t="str">
        <f>TEXT(2290,"#,##0")</f>
        <v>2,290</v>
      </c>
    </row>
    <row r="13" spans="1:45" s="21" customFormat="1" ht="16.5" customHeight="1" x14ac:dyDescent="0.25">
      <c r="A13" s="6" t="s">
        <v>284</v>
      </c>
      <c r="B13" s="21">
        <v>1</v>
      </c>
      <c r="C13" s="26" t="str">
        <f>TEXT(333,"#,##0")</f>
        <v>333</v>
      </c>
      <c r="D13" s="26" t="str">
        <f>TEXT(667,"#,##0")</f>
        <v>667</v>
      </c>
      <c r="E13" s="26"/>
      <c r="F13" s="21">
        <v>1</v>
      </c>
      <c r="G13" s="21">
        <v>0</v>
      </c>
      <c r="H13" s="24">
        <v>100</v>
      </c>
      <c r="I13" s="26" t="str">
        <f>TEXT(433,"#,##0")</f>
        <v>433</v>
      </c>
      <c r="J13" s="26" t="str">
        <f>TEXT(767,"#,##0")</f>
        <v>767</v>
      </c>
      <c r="K13" s="21">
        <v>2</v>
      </c>
      <c r="M13" s="26" t="str">
        <f>TEXT(375,"#,##0")</f>
        <v>375</v>
      </c>
      <c r="N13" s="26" t="str">
        <f>TEXT(1000,"#,##0")</f>
        <v>1,000</v>
      </c>
      <c r="O13" s="21">
        <v>1</v>
      </c>
      <c r="P13" s="24">
        <v>0</v>
      </c>
      <c r="Q13" s="24">
        <v>100</v>
      </c>
      <c r="R13" s="26" t="str">
        <f>TEXT(475,"#,##0")</f>
        <v>475</v>
      </c>
      <c r="S13" s="26" t="str">
        <f>TEXT(1100,"#,##0")</f>
        <v>1,100</v>
      </c>
      <c r="T13" s="21">
        <v>3</v>
      </c>
      <c r="V13" s="28" t="str">
        <f>TEXT(375,"#,##0")</f>
        <v>375</v>
      </c>
      <c r="W13" s="26" t="str">
        <f>TEXT(1333,"#,##0")</f>
        <v>1,333</v>
      </c>
      <c r="X13" s="21">
        <v>1</v>
      </c>
      <c r="Y13" s="21">
        <v>0</v>
      </c>
      <c r="Z13" s="21">
        <v>100</v>
      </c>
      <c r="AA13" s="28" t="str">
        <f>TEXT(475,"#,##0")</f>
        <v>475</v>
      </c>
      <c r="AB13" s="26" t="str">
        <f>TEXT(1433,"#,##0")</f>
        <v>1,433</v>
      </c>
      <c r="AD13" s="21">
        <v>4</v>
      </c>
      <c r="AE13" s="21">
        <v>31</v>
      </c>
      <c r="AF13" s="28" t="str">
        <f>TEXT(375,"#,##0")</f>
        <v>375</v>
      </c>
      <c r="AG13" s="26" t="str">
        <f>TEXT(2408,"#,##0")</f>
        <v>2,408</v>
      </c>
      <c r="AH13" s="21">
        <v>1</v>
      </c>
      <c r="AI13" s="21">
        <v>0</v>
      </c>
      <c r="AJ13" s="21">
        <v>100</v>
      </c>
      <c r="AK13" s="28" t="str">
        <f>TEXT(475,"#,##0")</f>
        <v>475</v>
      </c>
      <c r="AL13" s="26" t="str">
        <f>TEXT(2508,"#,##0")</f>
        <v>2,508</v>
      </c>
    </row>
    <row r="14" spans="1:45" ht="16.5" customHeight="1" x14ac:dyDescent="0.25">
      <c r="A14" s="6" t="s">
        <v>290</v>
      </c>
      <c r="B14" s="21">
        <v>1</v>
      </c>
      <c r="C14" s="26" t="str">
        <f>TEXT(333,"#,##0")</f>
        <v>333</v>
      </c>
      <c r="D14" s="26" t="str">
        <f>TEXT(955,"#,##0")</f>
        <v>955</v>
      </c>
      <c r="E14" s="26"/>
      <c r="F14" s="21">
        <v>1</v>
      </c>
      <c r="G14" s="24">
        <v>167</v>
      </c>
      <c r="H14" s="24">
        <v>100</v>
      </c>
      <c r="I14" s="26">
        <v>600</v>
      </c>
      <c r="J14" s="26" t="str">
        <f>TEXT(1222,"#,##0")</f>
        <v>1,222</v>
      </c>
      <c r="K14" s="21">
        <v>2</v>
      </c>
      <c r="M14" s="26" t="str">
        <f>TEXT(768,"#,##0")</f>
        <v>768</v>
      </c>
      <c r="N14" s="26" t="str">
        <f>TEXT(1194,"#,##0")</f>
        <v>1,194</v>
      </c>
      <c r="O14" s="21">
        <v>0</v>
      </c>
      <c r="P14" s="24">
        <v>167</v>
      </c>
      <c r="Q14" s="24">
        <v>100</v>
      </c>
      <c r="R14" s="26" t="str">
        <f>TEXT(1035,"#,##0")</f>
        <v>1,035</v>
      </c>
      <c r="S14" s="26" t="str">
        <f>TEXT(1461,"#,##0")</f>
        <v>1,461</v>
      </c>
      <c r="T14" s="21">
        <v>3</v>
      </c>
      <c r="U14" s="21">
        <v>16</v>
      </c>
      <c r="V14" s="26" t="str">
        <f>TEXT(768,"#,##0")</f>
        <v>768</v>
      </c>
      <c r="W14" s="26" t="str">
        <f>TEXT(2290,"#,##0")</f>
        <v>2,290</v>
      </c>
      <c r="X14" s="21">
        <v>0</v>
      </c>
      <c r="Y14" s="21">
        <v>167</v>
      </c>
      <c r="Z14" s="21">
        <v>100</v>
      </c>
      <c r="AA14" s="26" t="str">
        <f>TEXT(1035,"#,##0")</f>
        <v>1,035</v>
      </c>
      <c r="AB14" s="26" t="str">
        <f>TEXT(2557,"#,##0")</f>
        <v>2,557</v>
      </c>
      <c r="AF14" s="26" t="str">
        <f>TEXT(117990,"#,##0")</f>
        <v>117,990</v>
      </c>
      <c r="AG14" s="26" t="str">
        <f>TEXT(174234,"#,##0")</f>
        <v>174,234</v>
      </c>
      <c r="AH14" s="21">
        <v>0</v>
      </c>
      <c r="AI14" s="21" t="s">
        <v>291</v>
      </c>
      <c r="AJ14" s="13" t="s">
        <v>291</v>
      </c>
      <c r="AK14" s="26" t="str">
        <f>TEXT(117990,"#,##0")</f>
        <v>117,990</v>
      </c>
      <c r="AL14" s="26" t="str">
        <f>TEXT(174234,"#,##0")</f>
        <v>174,234</v>
      </c>
    </row>
    <row r="15" spans="1:45" ht="16.5" customHeight="1" x14ac:dyDescent="0.25">
      <c r="A15" s="6" t="s">
        <v>289</v>
      </c>
      <c r="B15" s="21">
        <v>1</v>
      </c>
      <c r="C15" s="26" t="str">
        <f>TEXT(750,"#,##0")</f>
        <v>750</v>
      </c>
      <c r="D15" s="26" t="str">
        <f>TEXT(1500,"#,##0")</f>
        <v>1,500</v>
      </c>
      <c r="E15" s="26"/>
      <c r="F15" s="21">
        <v>1</v>
      </c>
      <c r="G15" s="24">
        <v>167</v>
      </c>
      <c r="H15" s="24">
        <v>100</v>
      </c>
      <c r="I15" s="26" t="str">
        <f>TEXT(1017,"#,##0")</f>
        <v>1,017</v>
      </c>
      <c r="J15" s="26" t="str">
        <f>TEXT(1767,"#,##0")</f>
        <v>1,767</v>
      </c>
      <c r="K15" s="21">
        <v>2</v>
      </c>
      <c r="M15" s="26" t="str">
        <f>TEXT(1339,"#,##0")</f>
        <v>1,339</v>
      </c>
      <c r="N15" s="26" t="str">
        <f>TEXT(1908,"#,##0")</f>
        <v>1,908</v>
      </c>
      <c r="O15" s="21">
        <v>1</v>
      </c>
      <c r="P15" s="24">
        <v>167</v>
      </c>
      <c r="Q15" s="24">
        <v>100</v>
      </c>
      <c r="R15" s="26" t="str">
        <f>TEXT(1606,"#,##0")</f>
        <v>1,606</v>
      </c>
      <c r="S15" s="26" t="str">
        <f>TEXT(2175,"#,##0")</f>
        <v>2,175</v>
      </c>
      <c r="T15" s="21">
        <v>3</v>
      </c>
      <c r="U15" s="21">
        <v>21</v>
      </c>
      <c r="V15" s="26" t="str">
        <f>TEXT(797,"#,##0")</f>
        <v>797</v>
      </c>
      <c r="W15" s="26" t="str">
        <f>TEXT(3146,"#,##0")</f>
        <v>3,146</v>
      </c>
      <c r="X15" s="21">
        <v>0</v>
      </c>
      <c r="Y15" s="21">
        <v>167</v>
      </c>
      <c r="Z15" s="21">
        <v>100</v>
      </c>
      <c r="AA15" s="26" t="str">
        <f>TEXT(1064,"#,##0")</f>
        <v>1,064</v>
      </c>
      <c r="AB15" s="26" t="str">
        <f>TEXT(3413,"#,##0")</f>
        <v>3,413</v>
      </c>
      <c r="AF15" s="26" t="str">
        <f>TEXT(86376,"#,##0")</f>
        <v>86,376</v>
      </c>
      <c r="AG15" s="26" t="str">
        <f>TEXT(171662,"#,##0")</f>
        <v>171,662</v>
      </c>
      <c r="AH15" s="21">
        <v>0</v>
      </c>
      <c r="AI15" s="13" t="s">
        <v>291</v>
      </c>
      <c r="AJ15" s="13" t="s">
        <v>291</v>
      </c>
      <c r="AK15" s="26" t="str">
        <f>TEXT(86376,"#,##0")</f>
        <v>86,376</v>
      </c>
      <c r="AL15" s="26" t="str">
        <f>TEXT(171662,"#,##0")</f>
        <v>171,662</v>
      </c>
    </row>
    <row r="16" spans="1:45" ht="16.5" customHeight="1" x14ac:dyDescent="0.25">
      <c r="A16" s="16" t="s">
        <v>298</v>
      </c>
      <c r="B16" s="21">
        <v>1</v>
      </c>
      <c r="C16" s="26" t="str">
        <f>TEXT(333,"#,##0")</f>
        <v>333</v>
      </c>
      <c r="D16" s="26" t="str">
        <f>TEXT(968,"#,##0")</f>
        <v>968</v>
      </c>
      <c r="E16" s="26"/>
      <c r="F16" s="21">
        <v>1</v>
      </c>
      <c r="G16" s="21">
        <v>0</v>
      </c>
      <c r="H16" s="24">
        <v>0</v>
      </c>
      <c r="I16" s="26" t="str">
        <f>TEXT(333,"#,##0")</f>
        <v>333</v>
      </c>
      <c r="J16" s="24">
        <v>968</v>
      </c>
      <c r="K16" s="21">
        <v>2</v>
      </c>
      <c r="L16" s="21">
        <v>30</v>
      </c>
      <c r="M16" s="23"/>
      <c r="N16" s="25">
        <v>967.55</v>
      </c>
      <c r="O16" s="21">
        <v>0</v>
      </c>
      <c r="P16" s="24">
        <v>0</v>
      </c>
      <c r="Q16" s="24">
        <v>0</v>
      </c>
      <c r="R16" s="23"/>
      <c r="S16" s="29" t="str">
        <f>TEXT(967.55,"#,##0.00")</f>
        <v>967.55</v>
      </c>
      <c r="V16" s="23"/>
      <c r="AB16" s="9"/>
      <c r="AG16" s="9"/>
      <c r="AK16" s="28"/>
      <c r="AL16" s="28"/>
    </row>
    <row r="17" spans="1:45" ht="16.5" customHeight="1" x14ac:dyDescent="0.25">
      <c r="A17" s="16" t="s">
        <v>296</v>
      </c>
      <c r="B17" s="21">
        <v>1</v>
      </c>
      <c r="C17" s="26" t="str">
        <f>TEXT(333,"#,##0")</f>
        <v>333</v>
      </c>
      <c r="D17" s="26" t="str">
        <f>TEXT(667,"#,##0")</f>
        <v>667</v>
      </c>
      <c r="E17" s="26"/>
      <c r="F17" s="21">
        <v>1</v>
      </c>
      <c r="G17" s="21">
        <v>0</v>
      </c>
      <c r="H17" s="24">
        <v>100</v>
      </c>
      <c r="I17" s="26" t="str">
        <f>TEXT(433,"#,##0")</f>
        <v>433</v>
      </c>
      <c r="J17" s="26" t="str">
        <f>TEXT(767,"#,##0")</f>
        <v>767</v>
      </c>
      <c r="K17" s="21">
        <v>2</v>
      </c>
      <c r="L17" s="21">
        <v>6</v>
      </c>
      <c r="M17" s="26" t="str">
        <f>TEXT(667,"#,##0")</f>
        <v>667</v>
      </c>
      <c r="N17" s="26" t="str">
        <f>TEXT(1075,"#,##0")</f>
        <v>1,075</v>
      </c>
      <c r="O17" s="21">
        <v>1</v>
      </c>
      <c r="P17" s="24">
        <v>0</v>
      </c>
      <c r="Q17" s="24">
        <v>100</v>
      </c>
      <c r="R17" s="26" t="str">
        <f>TEXT(767,"#,##0")</f>
        <v>767</v>
      </c>
      <c r="S17" s="26" t="str">
        <f>TEXT(1175,"#,##0")</f>
        <v>1,175</v>
      </c>
      <c r="T17" s="21">
        <v>7</v>
      </c>
      <c r="U17" s="21">
        <v>30</v>
      </c>
      <c r="V17" s="23"/>
      <c r="W17" s="27" t="str">
        <f>TEXT(1074.74,"#,##0.00")</f>
        <v>1,074.74</v>
      </c>
      <c r="X17" s="13">
        <v>0</v>
      </c>
      <c r="Y17" s="13">
        <v>0</v>
      </c>
      <c r="Z17" s="13">
        <v>100</v>
      </c>
      <c r="AB17" s="28" t="str">
        <f>TEXT(1175,"#,##0")</f>
        <v>1,175</v>
      </c>
      <c r="AG17" s="9"/>
      <c r="AK17" s="28"/>
      <c r="AL17" s="28"/>
    </row>
    <row r="18" spans="1:45" ht="16.5" customHeight="1" x14ac:dyDescent="0.25">
      <c r="A18" s="16" t="s">
        <v>292</v>
      </c>
      <c r="B18" s="21">
        <v>1</v>
      </c>
      <c r="C18" s="26" t="str">
        <f>TEXT(333,"#,##0")</f>
        <v>333</v>
      </c>
      <c r="D18" s="26" t="str">
        <f>TEXT(968,"#,##0")</f>
        <v>968</v>
      </c>
      <c r="E18" s="26"/>
      <c r="F18" s="21">
        <v>1</v>
      </c>
      <c r="G18" s="24">
        <v>167</v>
      </c>
      <c r="H18" s="24">
        <v>100</v>
      </c>
      <c r="I18" s="26">
        <v>600</v>
      </c>
      <c r="J18" s="26" t="str">
        <f>TEXT(1235,"#,##0")</f>
        <v>1,235</v>
      </c>
      <c r="K18" s="21">
        <v>2</v>
      </c>
      <c r="L18" s="21">
        <v>10</v>
      </c>
      <c r="M18" s="23"/>
      <c r="N18" s="26" t="str">
        <f>TEXT(967.55,"#,##0.00")</f>
        <v>967.55</v>
      </c>
      <c r="O18" s="21">
        <v>0</v>
      </c>
      <c r="P18" s="24">
        <v>167</v>
      </c>
      <c r="Q18" s="24">
        <v>100</v>
      </c>
      <c r="R18" s="23"/>
      <c r="S18" s="26" t="str">
        <f>TEXT(1235,"#,##0")</f>
        <v>1,235</v>
      </c>
      <c r="T18" s="21">
        <v>11</v>
      </c>
      <c r="U18" s="21">
        <v>15</v>
      </c>
      <c r="V18" s="23"/>
      <c r="W18" s="27" t="str">
        <f>TEXT(967.55,"#,##0.00")</f>
        <v>967.55</v>
      </c>
      <c r="X18" s="13">
        <v>0</v>
      </c>
      <c r="Y18" s="21" t="s">
        <v>291</v>
      </c>
      <c r="Z18" s="13">
        <v>100</v>
      </c>
      <c r="AB18" s="28" t="str">
        <f>TEXT(1068,"#,##0")</f>
        <v>1,068</v>
      </c>
      <c r="AG18" s="9"/>
      <c r="AK18" s="28"/>
      <c r="AL18" s="28"/>
    </row>
    <row r="19" spans="1:45" ht="16.5" customHeight="1" x14ac:dyDescent="0.25">
      <c r="A19" s="16" t="s">
        <v>293</v>
      </c>
      <c r="B19" s="21">
        <v>1</v>
      </c>
      <c r="C19" s="26" t="str">
        <f>TEXT(750,"#,##0")</f>
        <v>750</v>
      </c>
      <c r="D19" s="26" t="str">
        <f>TEXT(1500,"#,##0")</f>
        <v>1,500</v>
      </c>
      <c r="E19" s="26">
        <v>1</v>
      </c>
      <c r="F19" s="21">
        <v>1</v>
      </c>
      <c r="G19" s="24">
        <v>167</v>
      </c>
      <c r="H19" s="24">
        <v>100</v>
      </c>
      <c r="I19" s="26" t="str">
        <f>TEXT(1017,"#,##0")</f>
        <v>1,017</v>
      </c>
      <c r="J19" s="26" t="str">
        <f>TEXT(1767,"#,##0")</f>
        <v>1,767</v>
      </c>
      <c r="K19" s="21">
        <v>2</v>
      </c>
      <c r="M19" s="26" t="str">
        <f>TEXT(1500,"#,##0")</f>
        <v>1,500</v>
      </c>
      <c r="N19" s="26" t="str">
        <f>TEXT(1623,"#,##0")</f>
        <v>1,623</v>
      </c>
      <c r="O19" s="21">
        <v>1</v>
      </c>
      <c r="P19" s="24">
        <v>167</v>
      </c>
      <c r="Q19" s="24">
        <v>100</v>
      </c>
      <c r="R19" s="26" t="str">
        <f>TEXT(1767,"#,##0")</f>
        <v>1,767</v>
      </c>
      <c r="S19" s="26" t="str">
        <f>TEXT(1890,"#,##0")</f>
        <v>1,890</v>
      </c>
      <c r="T19" s="21">
        <v>3</v>
      </c>
      <c r="U19" s="21">
        <v>20</v>
      </c>
      <c r="V19" s="23"/>
      <c r="W19" s="27" t="str">
        <f>TEXT(1623.27,"#,##0.00")</f>
        <v>1,623.27</v>
      </c>
      <c r="X19" s="21">
        <v>0</v>
      </c>
      <c r="Y19" s="21">
        <v>167</v>
      </c>
      <c r="Z19" s="21">
        <v>100</v>
      </c>
      <c r="AB19" s="26" t="str">
        <f>TEXT(1890,"#,##0")</f>
        <v>1,890</v>
      </c>
      <c r="AG19" s="9"/>
      <c r="AK19" s="28"/>
      <c r="AL19" s="28"/>
    </row>
    <row r="20" spans="1:45" ht="16.5" customHeight="1" x14ac:dyDescent="0.25">
      <c r="A20" s="16" t="s">
        <v>297</v>
      </c>
      <c r="B20" s="21">
        <v>1</v>
      </c>
      <c r="C20" s="26" t="str">
        <f t="shared" ref="C20:C25" si="0">TEXT(333,"#,##0")</f>
        <v>333</v>
      </c>
      <c r="D20" s="26" t="str">
        <f>TEXT(968,"#,##0")</f>
        <v>968</v>
      </c>
      <c r="E20" s="26"/>
      <c r="F20" s="21">
        <v>1</v>
      </c>
      <c r="G20" s="21">
        <v>0</v>
      </c>
      <c r="H20" s="24">
        <v>0</v>
      </c>
      <c r="I20" s="26" t="str">
        <f>TEXT(333,"#,##0")</f>
        <v>333</v>
      </c>
      <c r="J20" s="26" t="str">
        <f>TEXT(968,"#,##0")</f>
        <v>968</v>
      </c>
      <c r="K20" s="21">
        <v>2</v>
      </c>
      <c r="M20" s="26" t="str">
        <f>TEXT(782,"#,##0")</f>
        <v>782</v>
      </c>
      <c r="N20" s="26" t="str">
        <f>TEXT(1205,"#,##0")</f>
        <v>1,205</v>
      </c>
      <c r="O20" s="21">
        <v>0</v>
      </c>
      <c r="P20" s="24">
        <v>0</v>
      </c>
      <c r="Q20" s="24">
        <v>0</v>
      </c>
      <c r="R20" s="26" t="str">
        <f>TEXT(782,"#,##0")</f>
        <v>782</v>
      </c>
      <c r="S20" s="26" t="str">
        <f>TEXT(1205,"#,##0")</f>
        <v>1,205</v>
      </c>
      <c r="T20" s="21">
        <v>3</v>
      </c>
      <c r="V20" s="26" t="str">
        <f>TEXT(782,"#,##0")</f>
        <v>782</v>
      </c>
      <c r="W20" s="26" t="str">
        <f>TEXT(1460,"#,##0")</f>
        <v>1,460</v>
      </c>
      <c r="X20" s="21">
        <v>0</v>
      </c>
      <c r="Y20" s="21">
        <v>0</v>
      </c>
      <c r="Z20" s="21">
        <v>0</v>
      </c>
      <c r="AA20" s="29" t="str">
        <f>TEXT(782,"#,##0")</f>
        <v>782</v>
      </c>
      <c r="AB20" s="26" t="str">
        <f>TEXT(1460,"#,##0")</f>
        <v>1,460</v>
      </c>
      <c r="AD20" s="13">
        <v>4</v>
      </c>
      <c r="AE20" s="13">
        <v>30</v>
      </c>
      <c r="AF20" s="28" t="str">
        <f>TEXT(782,"#,##0")</f>
        <v>782</v>
      </c>
      <c r="AG20" s="28" t="str">
        <f>TEXT(2290,"#,##0")</f>
        <v>2,290</v>
      </c>
      <c r="AH20" s="13">
        <v>0</v>
      </c>
      <c r="AI20" s="13">
        <v>0</v>
      </c>
      <c r="AJ20" s="13">
        <v>0</v>
      </c>
      <c r="AK20" s="28" t="str">
        <f>TEXT(782,"#,##0")</f>
        <v>782</v>
      </c>
      <c r="AL20" s="28" t="str">
        <f>TEXT(2290,"#,##0")</f>
        <v>2,290</v>
      </c>
    </row>
    <row r="21" spans="1:45" ht="16.5" customHeight="1" x14ac:dyDescent="0.25">
      <c r="A21" s="16" t="s">
        <v>294</v>
      </c>
      <c r="B21" s="21">
        <v>1</v>
      </c>
      <c r="C21" s="26" t="str">
        <f t="shared" si="0"/>
        <v>333</v>
      </c>
      <c r="D21" s="26" t="str">
        <f>TEXT(667,"#,##0")</f>
        <v>667</v>
      </c>
      <c r="E21" s="26"/>
      <c r="F21" s="21">
        <v>1</v>
      </c>
      <c r="G21" s="21">
        <v>0</v>
      </c>
      <c r="H21" s="24">
        <v>100</v>
      </c>
      <c r="I21" s="26" t="str">
        <f>TEXT(433,"#,##0")</f>
        <v>433</v>
      </c>
      <c r="J21" s="26" t="str">
        <f>TEXT(767,"#,##0")</f>
        <v>767</v>
      </c>
      <c r="K21" s="21">
        <v>2</v>
      </c>
      <c r="M21" s="26" t="str">
        <f>TEXT(375,"#,##0")</f>
        <v>375</v>
      </c>
      <c r="N21" s="26" t="str">
        <f>TEXT(1000,"#,##0")</f>
        <v>1,000</v>
      </c>
      <c r="O21" s="21">
        <v>1</v>
      </c>
      <c r="P21" s="24">
        <v>0</v>
      </c>
      <c r="Q21" s="24">
        <v>100</v>
      </c>
      <c r="R21" s="26" t="str">
        <f>TEXT(475,"#,##0")</f>
        <v>475</v>
      </c>
      <c r="S21" s="26" t="str">
        <f>TEXT(1100,"#,##0")</f>
        <v>1,100</v>
      </c>
      <c r="T21" s="21">
        <v>3</v>
      </c>
      <c r="V21" s="28" t="str">
        <f>TEXT(375,"#,##0")</f>
        <v>375</v>
      </c>
      <c r="W21" s="26" t="str">
        <f>TEXT(1333,"#,##0")</f>
        <v>1,333</v>
      </c>
      <c r="X21" s="21">
        <v>1</v>
      </c>
      <c r="Y21" s="21">
        <v>0</v>
      </c>
      <c r="Z21" s="21">
        <v>100</v>
      </c>
      <c r="AA21" s="28" t="str">
        <f>TEXT(475,"#,##0")</f>
        <v>475</v>
      </c>
      <c r="AB21" s="26" t="str">
        <f>TEXT(1433,"#,##0")</f>
        <v>1,433</v>
      </c>
      <c r="AD21" s="13">
        <v>4</v>
      </c>
      <c r="AE21" s="13">
        <v>30</v>
      </c>
      <c r="AF21" s="28" t="str">
        <f>TEXT(375,"#,##0")</f>
        <v>375</v>
      </c>
      <c r="AG21" s="28" t="str">
        <f>TEXT(2416,"#,##0")</f>
        <v>2,416</v>
      </c>
      <c r="AH21" s="13">
        <v>1</v>
      </c>
      <c r="AI21" s="13">
        <v>0</v>
      </c>
      <c r="AJ21" s="13">
        <v>100</v>
      </c>
      <c r="AK21" s="28" t="str">
        <f>TEXT(475,"#,##0")</f>
        <v>475</v>
      </c>
      <c r="AL21" s="28" t="str">
        <f>TEXT(2516,"#,##0")</f>
        <v>2,516</v>
      </c>
    </row>
    <row r="22" spans="1:45" ht="16.5" customHeight="1" x14ac:dyDescent="0.25">
      <c r="A22" s="16" t="s">
        <v>295</v>
      </c>
      <c r="B22" s="21">
        <v>1</v>
      </c>
      <c r="C22" s="26" t="str">
        <f t="shared" si="0"/>
        <v>333</v>
      </c>
      <c r="D22" s="26" t="str">
        <f>TEXT(968,"#,##0")</f>
        <v>968</v>
      </c>
      <c r="E22" s="26">
        <v>1</v>
      </c>
      <c r="F22" s="21">
        <v>1</v>
      </c>
      <c r="G22" s="24">
        <v>167</v>
      </c>
      <c r="H22" s="24">
        <v>100</v>
      </c>
      <c r="I22" s="26" t="str">
        <f>TEXT(600,"#,##0")</f>
        <v>600</v>
      </c>
      <c r="J22" s="26" t="str">
        <f>TEXT(1235,"#,##0")</f>
        <v>1,235</v>
      </c>
      <c r="K22" s="21">
        <v>2</v>
      </c>
      <c r="M22" s="26" t="str">
        <f>TEXT(782,"#,##0")</f>
        <v>782</v>
      </c>
      <c r="N22" s="26" t="str">
        <f>TEXT(1205,"#,##0")</f>
        <v>1,205</v>
      </c>
      <c r="O22" s="21">
        <v>0</v>
      </c>
      <c r="P22" s="24">
        <v>167</v>
      </c>
      <c r="Q22" s="24">
        <v>100</v>
      </c>
      <c r="R22" s="26" t="str">
        <f>TEXT(1049,"#,##0")</f>
        <v>1,049</v>
      </c>
      <c r="S22" s="26" t="str">
        <f>TEXT(1472,"#,##0")</f>
        <v>1,472</v>
      </c>
      <c r="T22" s="21">
        <v>3</v>
      </c>
      <c r="U22" s="21">
        <v>15</v>
      </c>
      <c r="V22" s="26" t="str">
        <f>TEXT(782,"#,##0")</f>
        <v>782</v>
      </c>
      <c r="W22" s="26" t="str">
        <f>TEXT(2290,"#,##0")</f>
        <v>2,290</v>
      </c>
      <c r="X22" s="21">
        <v>0</v>
      </c>
      <c r="Y22" s="21">
        <v>167</v>
      </c>
      <c r="Z22" s="21">
        <v>100</v>
      </c>
      <c r="AA22" s="29" t="str">
        <f>TEXT(1049,"#,##0")</f>
        <v>1,049</v>
      </c>
      <c r="AB22" s="26" t="str">
        <f>TEXT(2557,"#,##0")</f>
        <v>2,557</v>
      </c>
      <c r="AF22" s="28" t="str">
        <f>TEXT(120117,"#,##0")</f>
        <v>120,117</v>
      </c>
      <c r="AG22" s="28" t="str">
        <f>TEXT(174266,"#,##0")</f>
        <v>174,266</v>
      </c>
      <c r="AH22" s="13">
        <v>0</v>
      </c>
      <c r="AI22" s="21" t="s">
        <v>291</v>
      </c>
      <c r="AJ22" s="21" t="s">
        <v>291</v>
      </c>
      <c r="AK22" s="26" t="str">
        <f>TEXT(120117,"#,##0")</f>
        <v>120,117</v>
      </c>
      <c r="AL22" s="26" t="str">
        <f>TEXT(174266,"#,##0")</f>
        <v>174,266</v>
      </c>
    </row>
    <row r="23" spans="1:45" ht="16.5" customHeight="1" x14ac:dyDescent="0.25">
      <c r="A23" s="16" t="s">
        <v>301</v>
      </c>
      <c r="B23" s="21">
        <v>1</v>
      </c>
      <c r="C23" s="26" t="str">
        <f t="shared" si="0"/>
        <v>333</v>
      </c>
      <c r="D23" s="26" t="str">
        <f>TEXT(955,"#,##0")</f>
        <v>955</v>
      </c>
      <c r="E23" s="26"/>
      <c r="F23" s="21">
        <v>1</v>
      </c>
      <c r="G23" s="21">
        <v>0</v>
      </c>
      <c r="H23" s="24">
        <v>0</v>
      </c>
      <c r="I23" s="26" t="str">
        <f>TEXT(333,"#,##0")</f>
        <v>333</v>
      </c>
      <c r="J23" s="26" t="str">
        <f>TEXT(955,"#,##0")</f>
        <v>955</v>
      </c>
      <c r="K23" s="21">
        <v>2</v>
      </c>
      <c r="L23" s="21">
        <v>31</v>
      </c>
      <c r="M23" s="27" t="str">
        <f>TEXT(954.83,"#,##0.00")</f>
        <v>954.83</v>
      </c>
      <c r="N23" s="23"/>
      <c r="O23" s="21">
        <v>0</v>
      </c>
      <c r="P23" s="24">
        <v>0</v>
      </c>
      <c r="Q23" s="24">
        <v>0</v>
      </c>
      <c r="S23" s="27" t="str">
        <f>TEXT(954.83,"#,##0.00")</f>
        <v>954.83</v>
      </c>
      <c r="V23" s="9"/>
      <c r="AF23" s="9"/>
    </row>
    <row r="24" spans="1:45" ht="16.5" customHeight="1" x14ac:dyDescent="0.25">
      <c r="A24" s="16" t="s">
        <v>302</v>
      </c>
      <c r="B24" s="21">
        <v>1</v>
      </c>
      <c r="C24" s="26" t="str">
        <f t="shared" si="0"/>
        <v>333</v>
      </c>
      <c r="D24" s="26" t="str">
        <f>TEXT(667,"#,##0")</f>
        <v>667</v>
      </c>
      <c r="E24" s="26"/>
      <c r="F24" s="21">
        <v>1</v>
      </c>
      <c r="G24" s="21">
        <v>0</v>
      </c>
      <c r="H24" s="24">
        <v>100</v>
      </c>
      <c r="I24" s="26" t="str">
        <f>TEXT(433,"#,##0")</f>
        <v>433</v>
      </c>
      <c r="J24" s="26" t="str">
        <f>TEXT(767,"#,##0")</f>
        <v>767</v>
      </c>
      <c r="K24" s="21">
        <v>2</v>
      </c>
      <c r="L24" s="21">
        <v>6</v>
      </c>
      <c r="M24" s="26" t="str">
        <f>TEXT(667,"#,##0")</f>
        <v>667</v>
      </c>
      <c r="N24" s="26" t="str">
        <f>TEXT(1056,"#,##0")</f>
        <v>1,056</v>
      </c>
      <c r="O24" s="21">
        <v>1</v>
      </c>
      <c r="P24" s="24">
        <v>0</v>
      </c>
      <c r="Q24" s="24">
        <v>100</v>
      </c>
      <c r="R24" s="26" t="str">
        <f>TEXT(767,"#,##0")</f>
        <v>767</v>
      </c>
      <c r="S24" s="26" t="str">
        <f>TEXT(1156,"#,##0")</f>
        <v>1,156</v>
      </c>
      <c r="T24" s="21">
        <v>7</v>
      </c>
      <c r="U24" s="21">
        <v>31</v>
      </c>
      <c r="W24" s="27" t="str">
        <f>TEXT(1055.67,"#,##0.00")</f>
        <v>1,055.67</v>
      </c>
      <c r="X24" s="21">
        <v>0</v>
      </c>
      <c r="Y24" s="21">
        <v>0</v>
      </c>
      <c r="Z24" s="21">
        <v>100</v>
      </c>
      <c r="AB24" s="29" t="str">
        <f>TEXT(1156,"#,##0")</f>
        <v>1,156</v>
      </c>
      <c r="AF24" s="9"/>
    </row>
    <row r="25" spans="1:45" ht="16.5" customHeight="1" x14ac:dyDescent="0.25">
      <c r="A25" s="16" t="s">
        <v>299</v>
      </c>
      <c r="B25" s="21">
        <v>1</v>
      </c>
      <c r="C25" s="26" t="str">
        <f t="shared" si="0"/>
        <v>333</v>
      </c>
      <c r="D25" s="26" t="str">
        <f>TEXT(955,"#,##0")</f>
        <v>955</v>
      </c>
      <c r="E25" s="26">
        <v>1</v>
      </c>
      <c r="F25" s="21">
        <v>1</v>
      </c>
      <c r="G25" s="30">
        <v>167</v>
      </c>
      <c r="H25" s="24">
        <v>100</v>
      </c>
      <c r="I25" s="26" t="str">
        <f>TEXT(600,"#,##0")</f>
        <v>600</v>
      </c>
      <c r="J25" s="26" t="str">
        <f>TEXT(1222,"#,##0")</f>
        <v>1,222</v>
      </c>
      <c r="K25" s="21">
        <v>2</v>
      </c>
      <c r="L25" s="21">
        <v>10</v>
      </c>
      <c r="M25" s="27" t="str">
        <f>TEXT(954.83,"#,##0.00")</f>
        <v>954.83</v>
      </c>
      <c r="N25" s="21"/>
      <c r="O25" s="21">
        <v>0</v>
      </c>
      <c r="P25" s="24">
        <v>167</v>
      </c>
      <c r="Q25" s="24">
        <v>100</v>
      </c>
      <c r="S25" s="27" t="str">
        <f>TEXT(1221.5,"#,##0")</f>
        <v>1,222</v>
      </c>
      <c r="T25" s="21">
        <v>11</v>
      </c>
      <c r="U25" s="21">
        <v>16</v>
      </c>
      <c r="W25" s="27" t="str">
        <f>TEXT(954.83,"#,##0.00")</f>
        <v>954.83</v>
      </c>
      <c r="X25" s="21">
        <v>0</v>
      </c>
      <c r="Y25" s="13" t="s">
        <v>291</v>
      </c>
      <c r="Z25" s="21">
        <v>100</v>
      </c>
      <c r="AB25" s="29" t="str">
        <f>TEXT(1055,"#,##0")</f>
        <v>1,055</v>
      </c>
      <c r="AG25" s="9" t="str">
        <f>TEXT(130040.69,"#,##0.00")</f>
        <v>130,040.69</v>
      </c>
    </row>
    <row r="26" spans="1:45" ht="16.5" customHeight="1" x14ac:dyDescent="0.25">
      <c r="A26" s="16" t="s">
        <v>300</v>
      </c>
      <c r="B26" s="21">
        <v>1</v>
      </c>
      <c r="C26" s="26" t="str">
        <f>TEXT(750,"#,##0")</f>
        <v>750</v>
      </c>
      <c r="D26" s="26" t="str">
        <f>TEXT(1500,"#,##0")</f>
        <v>1,500</v>
      </c>
      <c r="E26" s="26">
        <v>1</v>
      </c>
      <c r="F26" s="21">
        <v>1</v>
      </c>
      <c r="G26" s="27" t="str">
        <f>TEXT(167,"0")</f>
        <v>167</v>
      </c>
      <c r="H26" s="24">
        <v>100</v>
      </c>
      <c r="I26" s="26" t="str">
        <f>TEXT(1017,"#,##0")</f>
        <v>1,017</v>
      </c>
      <c r="J26" s="26" t="str">
        <f>TEXT(1767,"#,##0")</f>
        <v>1,767</v>
      </c>
      <c r="K26" s="21">
        <v>2</v>
      </c>
      <c r="M26" s="26" t="str">
        <f>TEXT(1500,"#,##0")</f>
        <v>1,500</v>
      </c>
      <c r="N26" s="26" t="str">
        <f>TEXT(1615,"#,##0")</f>
        <v>1,615</v>
      </c>
      <c r="O26" s="21">
        <v>1</v>
      </c>
      <c r="P26" s="31">
        <v>167</v>
      </c>
      <c r="Q26" s="24">
        <v>100</v>
      </c>
      <c r="R26" s="26" t="str">
        <f>TEXT(1767,"#,##0")</f>
        <v>1,767</v>
      </c>
      <c r="S26" s="26" t="str">
        <f>TEXT(1882,"#,##0")</f>
        <v>1,882</v>
      </c>
      <c r="T26" s="21">
        <v>3</v>
      </c>
      <c r="U26" s="21">
        <v>21</v>
      </c>
      <c r="W26" s="27" t="str">
        <f>TEXT(1614.64,"#,##0.00")</f>
        <v>1,614.64</v>
      </c>
      <c r="X26" s="21">
        <v>0</v>
      </c>
      <c r="Y26" s="21">
        <v>167</v>
      </c>
      <c r="Z26" s="21">
        <v>100</v>
      </c>
      <c r="AB26" s="29" t="str">
        <f>TEXT(1882,"#,##0")</f>
        <v>1,882</v>
      </c>
      <c r="AG26" s="9" t="str">
        <f>TEXT(129075.02,"#,##0.00")</f>
        <v>129,075.02</v>
      </c>
    </row>
    <row r="27" spans="1:45" ht="16.5" customHeight="1" x14ac:dyDescent="0.25">
      <c r="A27" s="6" t="s">
        <v>304</v>
      </c>
      <c r="D27" s="21">
        <v>1041.67</v>
      </c>
      <c r="E27" s="21"/>
      <c r="N27" s="22">
        <v>501041.67</v>
      </c>
      <c r="P27" s="23"/>
    </row>
    <row r="28" spans="1:45" ht="16.5" customHeight="1" x14ac:dyDescent="0.25">
      <c r="A28" s="6" t="s">
        <v>305</v>
      </c>
      <c r="D28" s="21">
        <v>1050.23</v>
      </c>
      <c r="E28" s="21"/>
      <c r="N28" s="22">
        <v>501050.23</v>
      </c>
    </row>
    <row r="29" spans="1:45" ht="16.5" customHeight="1" x14ac:dyDescent="0.25">
      <c r="A29" s="6" t="s">
        <v>306</v>
      </c>
      <c r="D29" s="21">
        <v>1064.82</v>
      </c>
      <c r="E29" s="21"/>
      <c r="N29" s="22">
        <v>501064.82</v>
      </c>
    </row>
    <row r="30" spans="1:45" ht="16.5" customHeight="1" x14ac:dyDescent="0.25">
      <c r="A30" s="6" t="s">
        <v>332</v>
      </c>
      <c r="G30" s="13">
        <v>256</v>
      </c>
      <c r="H30" s="13">
        <v>185</v>
      </c>
      <c r="P30" s="13">
        <v>171</v>
      </c>
      <c r="Q30" s="13">
        <v>185</v>
      </c>
      <c r="Y30" s="13" t="s">
        <v>291</v>
      </c>
      <c r="Z30" s="13">
        <v>185</v>
      </c>
      <c r="AI30" s="13" t="s">
        <v>291</v>
      </c>
      <c r="AJ30" s="13">
        <v>185</v>
      </c>
      <c r="AR30" s="13" t="s">
        <v>334</v>
      </c>
      <c r="AS30" s="13" t="s">
        <v>337</v>
      </c>
    </row>
  </sheetData>
  <pageMargins left="0.7" right="0.7" top="0.75" bottom="0.75" header="0.3" footer="0.3"/>
  <pageSetup orientation="portrait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13" sqref="A13"/>
    </sheetView>
  </sheetViews>
  <sheetFormatPr defaultRowHeight="15" x14ac:dyDescent="0.25"/>
  <cols>
    <col min="1" max="1" width="44.5703125" bestFit="1" customWidth="1"/>
    <col min="2" max="2" width="28.42578125" bestFit="1" customWidth="1"/>
    <col min="3" max="3" width="12.85546875" bestFit="1" customWidth="1"/>
    <col min="4" max="4" width="17.7109375" bestFit="1" customWidth="1"/>
    <col min="5" max="5" width="13.7109375" bestFit="1" customWidth="1"/>
  </cols>
  <sheetData>
    <row r="1" spans="1:6" x14ac:dyDescent="0.25">
      <c r="A1" s="2" t="s">
        <v>1</v>
      </c>
      <c r="B1" s="17" t="s">
        <v>285</v>
      </c>
      <c r="C1" s="17" t="s">
        <v>286</v>
      </c>
      <c r="D1" s="17" t="s">
        <v>287</v>
      </c>
      <c r="E1" s="17" t="s">
        <v>288</v>
      </c>
      <c r="F1" s="2"/>
    </row>
    <row r="2" spans="1:6" x14ac:dyDescent="0.25">
      <c r="A2" s="6" t="s">
        <v>290</v>
      </c>
      <c r="C2">
        <v>120</v>
      </c>
      <c r="D2">
        <v>1</v>
      </c>
    </row>
    <row r="3" spans="1:6" x14ac:dyDescent="0.25">
      <c r="A3" s="6" t="s">
        <v>289</v>
      </c>
      <c r="C3">
        <v>120</v>
      </c>
      <c r="D3">
        <v>1</v>
      </c>
    </row>
    <row r="4" spans="1:6" x14ac:dyDescent="0.25">
      <c r="A4" s="16" t="s">
        <v>292</v>
      </c>
      <c r="C4">
        <v>120</v>
      </c>
      <c r="D4">
        <v>1</v>
      </c>
    </row>
    <row r="5" spans="1:6" x14ac:dyDescent="0.25">
      <c r="A5" s="16" t="s">
        <v>293</v>
      </c>
      <c r="C5">
        <v>120</v>
      </c>
      <c r="D5">
        <v>1</v>
      </c>
    </row>
    <row r="6" spans="1:6" x14ac:dyDescent="0.25">
      <c r="A6" s="16" t="s">
        <v>295</v>
      </c>
      <c r="C6">
        <v>120</v>
      </c>
      <c r="D6">
        <v>1</v>
      </c>
    </row>
    <row r="7" spans="1:6" x14ac:dyDescent="0.25">
      <c r="A7" s="16" t="s">
        <v>299</v>
      </c>
      <c r="C7">
        <v>120</v>
      </c>
      <c r="D7">
        <v>1</v>
      </c>
    </row>
    <row r="8" spans="1:6" x14ac:dyDescent="0.25">
      <c r="A8" s="16" t="s">
        <v>300</v>
      </c>
      <c r="C8">
        <v>120</v>
      </c>
      <c r="D8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L7" sqref="L7"/>
    </sheetView>
  </sheetViews>
  <sheetFormatPr defaultRowHeight="15" x14ac:dyDescent="0.25"/>
  <cols>
    <col min="2" max="2" width="15.7109375" customWidth="1"/>
  </cols>
  <sheetData>
    <row r="1" spans="1:12" s="2" customFormat="1" x14ac:dyDescent="0.25">
      <c r="A1" s="2" t="s">
        <v>1</v>
      </c>
      <c r="B1" s="2" t="s">
        <v>361</v>
      </c>
      <c r="C1" s="2" t="s">
        <v>366</v>
      </c>
      <c r="D1" s="2" t="s">
        <v>362</v>
      </c>
      <c r="E1" s="2" t="s">
        <v>367</v>
      </c>
      <c r="F1" s="2" t="s">
        <v>363</v>
      </c>
      <c r="G1" s="2" t="s">
        <v>368</v>
      </c>
      <c r="H1" s="2" t="s">
        <v>364</v>
      </c>
      <c r="I1" s="2" t="s">
        <v>365</v>
      </c>
      <c r="J1" s="2" t="s">
        <v>369</v>
      </c>
      <c r="K1" s="2" t="s">
        <v>370</v>
      </c>
      <c r="L1" s="2" t="s">
        <v>371</v>
      </c>
    </row>
    <row r="2" spans="1:12" x14ac:dyDescent="0.25">
      <c r="A2" s="6" t="s">
        <v>372</v>
      </c>
      <c r="B2" t="s">
        <v>239</v>
      </c>
      <c r="C2">
        <v>13</v>
      </c>
      <c r="D2" t="s">
        <v>376</v>
      </c>
      <c r="F2" t="s">
        <v>376</v>
      </c>
      <c r="H2" t="s">
        <v>376</v>
      </c>
      <c r="J2" t="s">
        <v>377</v>
      </c>
      <c r="K2" t="s">
        <v>378</v>
      </c>
      <c r="L2" t="s">
        <v>388</v>
      </c>
    </row>
    <row r="3" spans="1:12" x14ac:dyDescent="0.25">
      <c r="A3" s="6" t="s">
        <v>373</v>
      </c>
      <c r="B3" t="s">
        <v>239</v>
      </c>
      <c r="C3">
        <v>12</v>
      </c>
      <c r="D3" t="s">
        <v>376</v>
      </c>
      <c r="F3" t="s">
        <v>376</v>
      </c>
      <c r="H3" t="s">
        <v>376</v>
      </c>
      <c r="J3" t="s">
        <v>383</v>
      </c>
      <c r="K3" t="s">
        <v>378</v>
      </c>
      <c r="L3" t="s">
        <v>389</v>
      </c>
    </row>
    <row r="4" spans="1:12" x14ac:dyDescent="0.25">
      <c r="A4" s="6" t="s">
        <v>374</v>
      </c>
      <c r="B4" t="s">
        <v>239</v>
      </c>
      <c r="C4">
        <v>9</v>
      </c>
      <c r="D4" t="s">
        <v>376</v>
      </c>
      <c r="F4" t="s">
        <v>376</v>
      </c>
      <c r="H4" t="s">
        <v>376</v>
      </c>
      <c r="J4" t="s">
        <v>384</v>
      </c>
      <c r="K4" t="s">
        <v>378</v>
      </c>
      <c r="L4" t="s">
        <v>390</v>
      </c>
    </row>
    <row r="5" spans="1:12" x14ac:dyDescent="0.25">
      <c r="A5" s="6" t="s">
        <v>375</v>
      </c>
      <c r="B5" t="s">
        <v>239</v>
      </c>
      <c r="C5">
        <v>69</v>
      </c>
      <c r="D5" t="s">
        <v>376</v>
      </c>
      <c r="F5" t="s">
        <v>376</v>
      </c>
      <c r="H5" t="s">
        <v>376</v>
      </c>
      <c r="J5" t="s">
        <v>385</v>
      </c>
      <c r="K5" t="s">
        <v>378</v>
      </c>
      <c r="L5" t="s">
        <v>399</v>
      </c>
    </row>
    <row r="6" spans="1:12" x14ac:dyDescent="0.25">
      <c r="A6" s="6" t="s">
        <v>379</v>
      </c>
      <c r="B6" t="s">
        <v>239</v>
      </c>
      <c r="C6">
        <v>18</v>
      </c>
      <c r="D6" t="s">
        <v>376</v>
      </c>
      <c r="F6" t="s">
        <v>376</v>
      </c>
      <c r="H6" t="s">
        <v>376</v>
      </c>
      <c r="J6" t="s">
        <v>386</v>
      </c>
      <c r="K6" t="s">
        <v>378</v>
      </c>
      <c r="L6" t="s">
        <v>391</v>
      </c>
    </row>
    <row r="7" spans="1:12" x14ac:dyDescent="0.25">
      <c r="A7" s="6" t="s">
        <v>380</v>
      </c>
      <c r="B7" t="s">
        <v>239</v>
      </c>
      <c r="C7">
        <v>19</v>
      </c>
      <c r="D7" t="s">
        <v>376</v>
      </c>
      <c r="F7" t="s">
        <v>376</v>
      </c>
      <c r="H7" t="s">
        <v>376</v>
      </c>
      <c r="J7" t="s">
        <v>387</v>
      </c>
      <c r="K7" t="s">
        <v>378</v>
      </c>
      <c r="L7" t="s">
        <v>392</v>
      </c>
    </row>
    <row r="8" spans="1:12" x14ac:dyDescent="0.25">
      <c r="A8" s="6" t="s">
        <v>381</v>
      </c>
      <c r="B8" t="s">
        <v>239</v>
      </c>
      <c r="C8">
        <v>15</v>
      </c>
      <c r="D8" t="s">
        <v>376</v>
      </c>
      <c r="F8" t="s">
        <v>376</v>
      </c>
      <c r="H8" t="s">
        <v>376</v>
      </c>
      <c r="J8" t="s">
        <v>393</v>
      </c>
      <c r="K8" t="s">
        <v>378</v>
      </c>
      <c r="L8" t="s">
        <v>394</v>
      </c>
    </row>
    <row r="9" spans="1:12" x14ac:dyDescent="0.25">
      <c r="A9" s="6" t="s">
        <v>400</v>
      </c>
      <c r="B9" t="s">
        <v>239</v>
      </c>
      <c r="C9">
        <v>48</v>
      </c>
      <c r="D9" t="s">
        <v>376</v>
      </c>
      <c r="F9" t="s">
        <v>376</v>
      </c>
      <c r="H9" t="s">
        <v>376</v>
      </c>
      <c r="J9" t="s">
        <v>395</v>
      </c>
      <c r="K9" t="s">
        <v>378</v>
      </c>
      <c r="L9" t="s">
        <v>396</v>
      </c>
    </row>
    <row r="10" spans="1:12" x14ac:dyDescent="0.25">
      <c r="A10" s="6" t="s">
        <v>382</v>
      </c>
      <c r="B10" t="s">
        <v>239</v>
      </c>
      <c r="C10">
        <v>73</v>
      </c>
      <c r="D10" t="s">
        <v>376</v>
      </c>
      <c r="F10" t="s">
        <v>376</v>
      </c>
      <c r="H10" t="s">
        <v>376</v>
      </c>
      <c r="J10" t="s">
        <v>397</v>
      </c>
      <c r="K10" t="s">
        <v>378</v>
      </c>
      <c r="L10" t="s">
        <v>398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"/>
    </sheetView>
  </sheetViews>
  <sheetFormatPr defaultRowHeight="15" x14ac:dyDescent="0.25"/>
  <cols>
    <col min="1" max="1" width="10.28515625" bestFit="1" customWidth="1"/>
    <col min="2" max="2" width="18.140625" bestFit="1" customWidth="1"/>
    <col min="3" max="3" width="10" bestFit="1" customWidth="1"/>
  </cols>
  <sheetData>
    <row r="1" spans="1:3" x14ac:dyDescent="0.25">
      <c r="A1" s="12" t="s">
        <v>1</v>
      </c>
      <c r="B1" s="12" t="s">
        <v>478</v>
      </c>
      <c r="C1" s="12" t="s">
        <v>477</v>
      </c>
    </row>
    <row r="2" spans="1:3" x14ac:dyDescent="0.25">
      <c r="A2" s="13" t="s">
        <v>280</v>
      </c>
      <c r="B2" s="39">
        <v>43191</v>
      </c>
      <c r="C2" s="39">
        <v>43136</v>
      </c>
    </row>
    <row r="3" spans="1:3" x14ac:dyDescent="0.25">
      <c r="A3" s="13"/>
      <c r="B3" s="13"/>
      <c r="C3" s="13"/>
    </row>
    <row r="4" spans="1:3" x14ac:dyDescent="0.25">
      <c r="A4" s="13"/>
      <c r="B4" s="13"/>
      <c r="C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pane xSplit="1" ySplit="1" topLeftCell="B2" activePane="bottomRight" state="frozen"/>
      <selection activeCell="E17" sqref="E17"/>
      <selection pane="topRight" activeCell="E17" sqref="E17"/>
      <selection pane="bottomLeft" activeCell="E17" sqref="E17"/>
      <selection pane="bottomRight" activeCell="A5" sqref="A5"/>
    </sheetView>
  </sheetViews>
  <sheetFormatPr defaultRowHeight="15" x14ac:dyDescent="0.25"/>
  <cols>
    <col min="1" max="1" width="40.7109375" bestFit="1" customWidth="1"/>
    <col min="2" max="2" width="15.7109375" bestFit="1" customWidth="1"/>
    <col min="3" max="3" width="21.42578125" bestFit="1" customWidth="1"/>
    <col min="4" max="4" width="17.85546875" bestFit="1" customWidth="1"/>
    <col min="5" max="5" width="21" bestFit="1" customWidth="1"/>
    <col min="6" max="6" width="27.5703125" customWidth="1"/>
    <col min="7" max="7" width="61.42578125" bestFit="1" customWidth="1"/>
  </cols>
  <sheetData>
    <row r="1" spans="1:5" x14ac:dyDescent="0.25">
      <c r="A1" s="2" t="s">
        <v>1</v>
      </c>
      <c r="B1" s="2" t="s">
        <v>2</v>
      </c>
      <c r="C1" s="2" t="s">
        <v>27</v>
      </c>
      <c r="D1" s="2" t="s">
        <v>76</v>
      </c>
      <c r="E1" s="2" t="s">
        <v>99</v>
      </c>
    </row>
    <row r="2" spans="1:5" x14ac:dyDescent="0.25">
      <c r="A2" t="s">
        <v>8</v>
      </c>
      <c r="B2" s="3">
        <v>42332</v>
      </c>
    </row>
    <row r="3" spans="1:5" x14ac:dyDescent="0.25">
      <c r="A3" t="s">
        <v>10</v>
      </c>
      <c r="B3" s="3">
        <f ca="1">TODAY()+67</f>
        <v>43402</v>
      </c>
    </row>
    <row r="4" spans="1:5" x14ac:dyDescent="0.25">
      <c r="A4" t="s">
        <v>18</v>
      </c>
      <c r="B4" s="3">
        <v>42786</v>
      </c>
      <c r="C4" s="3">
        <f ca="1">TODAY()</f>
        <v>43335</v>
      </c>
    </row>
    <row r="5" spans="1:5" x14ac:dyDescent="0.25">
      <c r="A5" t="s">
        <v>19</v>
      </c>
      <c r="B5" s="3">
        <f ca="1">TODAY()+67</f>
        <v>43402</v>
      </c>
    </row>
    <row r="6" spans="1:5" x14ac:dyDescent="0.25">
      <c r="A6" t="s">
        <v>21</v>
      </c>
      <c r="B6" s="3">
        <f ca="1">TODAY()+20</f>
        <v>43355</v>
      </c>
      <c r="C6" s="3">
        <f ca="1">TODAY()+1</f>
        <v>43336</v>
      </c>
    </row>
    <row r="7" spans="1:5" x14ac:dyDescent="0.25">
      <c r="A7" t="s">
        <v>65</v>
      </c>
      <c r="B7" s="3">
        <f ca="1">TODAY()+5</f>
        <v>43340</v>
      </c>
    </row>
    <row r="8" spans="1:5" x14ac:dyDescent="0.25">
      <c r="A8" t="s">
        <v>78</v>
      </c>
      <c r="B8" s="3">
        <f ca="1">TODAY()+60</f>
        <v>43395</v>
      </c>
    </row>
    <row r="9" spans="1:5" x14ac:dyDescent="0.25">
      <c r="A9" t="s">
        <v>79</v>
      </c>
      <c r="B9" s="3">
        <f ca="1">TODAY()+5</f>
        <v>43340</v>
      </c>
    </row>
    <row r="10" spans="1:5" x14ac:dyDescent="0.25">
      <c r="A10" t="s">
        <v>193</v>
      </c>
      <c r="B10" s="3">
        <f ca="1">TODAY()+65</f>
        <v>43400</v>
      </c>
      <c r="E10" t="s">
        <v>328</v>
      </c>
    </row>
    <row r="11" spans="1:5" x14ac:dyDescent="0.25">
      <c r="A11" s="6" t="s">
        <v>101</v>
      </c>
      <c r="B11" s="3">
        <f ca="1">TODAY()+30</f>
        <v>43365</v>
      </c>
    </row>
    <row r="12" spans="1:5" x14ac:dyDescent="0.25">
      <c r="A12" s="6" t="s">
        <v>103</v>
      </c>
      <c r="B12" s="3">
        <f ca="1">TODAY()+30</f>
        <v>43365</v>
      </c>
    </row>
    <row r="13" spans="1:5" x14ac:dyDescent="0.25">
      <c r="A13" s="6" t="s">
        <v>102</v>
      </c>
      <c r="B13" s="3">
        <f ca="1">TODAY()+30</f>
        <v>43365</v>
      </c>
    </row>
    <row r="14" spans="1:5" x14ac:dyDescent="0.25">
      <c r="A14" s="6" t="s">
        <v>104</v>
      </c>
      <c r="B14" s="3">
        <f ca="1">TODAY()+30</f>
        <v>43365</v>
      </c>
    </row>
    <row r="15" spans="1:5" x14ac:dyDescent="0.25">
      <c r="A15" t="s">
        <v>105</v>
      </c>
      <c r="B15" s="3">
        <f ca="1">TODAY()+35</f>
        <v>43370</v>
      </c>
      <c r="C15" s="3">
        <f ca="1">TODAY()</f>
        <v>43335</v>
      </c>
      <c r="E15">
        <v>17.100000000000001</v>
      </c>
    </row>
    <row r="16" spans="1:5" x14ac:dyDescent="0.25">
      <c r="A16" s="8" t="s">
        <v>106</v>
      </c>
      <c r="B16" s="3">
        <f ca="1">TODAY()+61</f>
        <v>43396</v>
      </c>
      <c r="C16" s="3">
        <f ca="1">TODAY()</f>
        <v>43335</v>
      </c>
    </row>
    <row r="17" spans="1:5" x14ac:dyDescent="0.25">
      <c r="A17" s="6" t="s">
        <v>107</v>
      </c>
      <c r="B17" s="3">
        <f t="shared" ref="B17:B24" ca="1" si="0">TODAY()+30</f>
        <v>43365</v>
      </c>
    </row>
    <row r="18" spans="1:5" x14ac:dyDescent="0.25">
      <c r="A18" s="6" t="s">
        <v>108</v>
      </c>
      <c r="B18" s="3">
        <f t="shared" ca="1" si="0"/>
        <v>43365</v>
      </c>
    </row>
    <row r="19" spans="1:5" x14ac:dyDescent="0.25">
      <c r="A19" s="6" t="s">
        <v>109</v>
      </c>
      <c r="B19" s="3">
        <f t="shared" ca="1" si="0"/>
        <v>43365</v>
      </c>
    </row>
    <row r="20" spans="1:5" x14ac:dyDescent="0.25">
      <c r="A20" s="6" t="s">
        <v>110</v>
      </c>
      <c r="B20" s="3">
        <f t="shared" ca="1" si="0"/>
        <v>43365</v>
      </c>
    </row>
    <row r="21" spans="1:5" x14ac:dyDescent="0.25">
      <c r="A21" s="6" t="s">
        <v>111</v>
      </c>
      <c r="B21" s="3">
        <f t="shared" ca="1" si="0"/>
        <v>43365</v>
      </c>
    </row>
    <row r="22" spans="1:5" x14ac:dyDescent="0.25">
      <c r="A22" s="6" t="s">
        <v>112</v>
      </c>
      <c r="B22" s="3">
        <f t="shared" ca="1" si="0"/>
        <v>43365</v>
      </c>
    </row>
    <row r="23" spans="1:5" x14ac:dyDescent="0.25">
      <c r="A23" s="6" t="s">
        <v>113</v>
      </c>
      <c r="B23" s="3">
        <f t="shared" ca="1" si="0"/>
        <v>43365</v>
      </c>
    </row>
    <row r="24" spans="1:5" x14ac:dyDescent="0.25">
      <c r="A24" s="6" t="s">
        <v>139</v>
      </c>
      <c r="B24" s="3">
        <f t="shared" ca="1" si="0"/>
        <v>43365</v>
      </c>
      <c r="C24" s="3">
        <f ca="1">TODAY()+30</f>
        <v>43365</v>
      </c>
      <c r="E24" s="3"/>
    </row>
    <row r="25" spans="1:5" x14ac:dyDescent="0.25">
      <c r="A25" t="s">
        <v>194</v>
      </c>
      <c r="E25" t="s">
        <v>100</v>
      </c>
    </row>
    <row r="26" spans="1:5" x14ac:dyDescent="0.25">
      <c r="A26" t="s">
        <v>198</v>
      </c>
      <c r="B26" s="3">
        <f ca="1">TODAY()+65</f>
        <v>43400</v>
      </c>
      <c r="C26" s="3">
        <f ca="1">TODAY()</f>
        <v>43335</v>
      </c>
    </row>
    <row r="27" spans="1:5" x14ac:dyDescent="0.25">
      <c r="A27" t="s">
        <v>266</v>
      </c>
      <c r="B27" s="3">
        <f ca="1">TODAY()+65</f>
        <v>43400</v>
      </c>
    </row>
    <row r="28" spans="1:5" x14ac:dyDescent="0.25">
      <c r="A28" s="8" t="s">
        <v>270</v>
      </c>
      <c r="B28" s="3">
        <f ca="1">TODAY()+30</f>
        <v>43365</v>
      </c>
      <c r="C28" s="3">
        <f ca="1">TODAY()</f>
        <v>43335</v>
      </c>
      <c r="D28" s="2"/>
    </row>
    <row r="29" spans="1:5" x14ac:dyDescent="0.25">
      <c r="A29" t="s">
        <v>281</v>
      </c>
      <c r="B29" s="3">
        <f ca="1">TODAY()+30</f>
        <v>43365</v>
      </c>
    </row>
    <row r="30" spans="1:5" x14ac:dyDescent="0.25">
      <c r="A30" t="s">
        <v>310</v>
      </c>
      <c r="B30" s="3">
        <f ca="1">TODAY()+30</f>
        <v>43365</v>
      </c>
    </row>
    <row r="31" spans="1:5" x14ac:dyDescent="0.25">
      <c r="A31" s="6" t="s">
        <v>321</v>
      </c>
      <c r="B31" s="3">
        <f ca="1">TODAY()+65</f>
        <v>43400</v>
      </c>
      <c r="E31" t="s">
        <v>322</v>
      </c>
    </row>
    <row r="32" spans="1:5" x14ac:dyDescent="0.25">
      <c r="A32" t="s">
        <v>315</v>
      </c>
      <c r="B32" s="3">
        <f ca="1">TODAY()+30</f>
        <v>43365</v>
      </c>
    </row>
    <row r="33" spans="1:3" x14ac:dyDescent="0.25">
      <c r="A33" s="6" t="s">
        <v>323</v>
      </c>
      <c r="B33" s="3">
        <f ca="1">TODAY()+65</f>
        <v>43400</v>
      </c>
      <c r="C33" s="3">
        <f ca="1">TODAY()</f>
        <v>43335</v>
      </c>
    </row>
    <row r="34" spans="1:3" x14ac:dyDescent="0.25">
      <c r="A34" s="6" t="s">
        <v>352</v>
      </c>
      <c r="B34" s="3">
        <f ca="1">TODAY()+60</f>
        <v>43395</v>
      </c>
      <c r="C34" s="3"/>
    </row>
    <row r="35" spans="1:3" x14ac:dyDescent="0.25">
      <c r="A35" s="6" t="s">
        <v>346</v>
      </c>
      <c r="B35" s="3">
        <f ca="1">TODAY()+60</f>
        <v>43395</v>
      </c>
    </row>
    <row r="36" spans="1:3" x14ac:dyDescent="0.25">
      <c r="A36" s="6" t="s">
        <v>353</v>
      </c>
      <c r="B36" s="3">
        <v>42795</v>
      </c>
    </row>
    <row r="37" spans="1:3" x14ac:dyDescent="0.25">
      <c r="A37" s="6" t="s">
        <v>355</v>
      </c>
      <c r="B37" s="3">
        <f ca="1">TODAY()+61</f>
        <v>43396</v>
      </c>
    </row>
    <row r="38" spans="1:3" x14ac:dyDescent="0.25">
      <c r="A38" t="s">
        <v>358</v>
      </c>
      <c r="B38" s="3">
        <v>42786</v>
      </c>
      <c r="C38" s="3">
        <f ca="1">TODAY()</f>
        <v>43335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xSplit="1" ySplit="1" topLeftCell="B2" activePane="bottomRight" state="frozen"/>
      <selection activeCell="E17" sqref="E17"/>
      <selection pane="topRight" activeCell="E17" sqref="E17"/>
      <selection pane="bottomLeft" activeCell="E17" sqref="E17"/>
      <selection pane="bottomRight" activeCell="B4" sqref="B4"/>
    </sheetView>
  </sheetViews>
  <sheetFormatPr defaultRowHeight="15" x14ac:dyDescent="0.25"/>
  <cols>
    <col min="1" max="1" width="20.28515625" bestFit="1" customWidth="1"/>
    <col min="2" max="2" width="20.5703125" bestFit="1" customWidth="1"/>
    <col min="3" max="3" width="24.85546875" bestFit="1" customWidth="1"/>
    <col min="4" max="4" width="15.7109375" bestFit="1" customWidth="1"/>
    <col min="5" max="5" width="16" customWidth="1"/>
    <col min="6" max="6" width="27.5703125" customWidth="1"/>
  </cols>
  <sheetData>
    <row r="1" spans="1:5" x14ac:dyDescent="0.25">
      <c r="A1" s="2" t="s">
        <v>1</v>
      </c>
      <c r="B1" s="2" t="s">
        <v>3</v>
      </c>
      <c r="C1" s="2" t="s">
        <v>4</v>
      </c>
      <c r="D1" s="2" t="s">
        <v>5</v>
      </c>
      <c r="E1" s="2" t="s">
        <v>136</v>
      </c>
    </row>
    <row r="2" spans="1:5" x14ac:dyDescent="0.25">
      <c r="A2" t="s">
        <v>9</v>
      </c>
      <c r="B2">
        <v>12</v>
      </c>
      <c r="C2">
        <v>2</v>
      </c>
      <c r="D2" t="s">
        <v>6</v>
      </c>
    </row>
    <row r="3" spans="1:5" x14ac:dyDescent="0.25">
      <c r="A3" t="s">
        <v>137</v>
      </c>
      <c r="B3">
        <v>12</v>
      </c>
      <c r="C3" s="19">
        <v>1</v>
      </c>
      <c r="E3" t="s">
        <v>138</v>
      </c>
    </row>
    <row r="4" spans="1:5" x14ac:dyDescent="0.25">
      <c r="A4" t="s">
        <v>356</v>
      </c>
      <c r="B4">
        <v>12</v>
      </c>
      <c r="C4" s="19">
        <v>1</v>
      </c>
      <c r="E4" t="s">
        <v>357</v>
      </c>
    </row>
  </sheetData>
  <pageMargins left="0.7" right="0.7" top="0.75" bottom="0.75" header="0.3" footer="0.3"/>
  <pageSetup orientation="portrait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pane xSplit="1" ySplit="1" topLeftCell="B2" activePane="bottomRight" state="frozen"/>
      <selection activeCell="E17" sqref="E17"/>
      <selection pane="topRight" activeCell="E17" sqref="E17"/>
      <selection pane="bottomLeft" activeCell="E17" sqref="E17"/>
      <selection pane="bottomRight" activeCell="A21" sqref="A21"/>
    </sheetView>
  </sheetViews>
  <sheetFormatPr defaultRowHeight="15" x14ac:dyDescent="0.25"/>
  <cols>
    <col min="1" max="1" width="32.7109375" bestFit="1" customWidth="1"/>
    <col min="2" max="2" width="15.7109375" bestFit="1" customWidth="1"/>
    <col min="3" max="3" width="21.42578125" bestFit="1" customWidth="1"/>
    <col min="4" max="4" width="13.140625" bestFit="1" customWidth="1"/>
    <col min="5" max="5" width="16" customWidth="1"/>
    <col min="6" max="6" width="27.5703125" customWidth="1"/>
  </cols>
  <sheetData>
    <row r="1" spans="1:10" x14ac:dyDescent="0.25">
      <c r="A1" s="2" t="s">
        <v>1</v>
      </c>
      <c r="B1" s="2" t="s">
        <v>11</v>
      </c>
      <c r="C1" s="2" t="s">
        <v>17</v>
      </c>
      <c r="D1" s="2" t="s">
        <v>12</v>
      </c>
      <c r="E1" s="2" t="s">
        <v>13</v>
      </c>
      <c r="F1" s="2" t="s">
        <v>14</v>
      </c>
      <c r="G1" s="2"/>
      <c r="H1" s="2"/>
      <c r="I1" s="2"/>
      <c r="J1" s="2"/>
    </row>
    <row r="2" spans="1:10" x14ac:dyDescent="0.25">
      <c r="A2" t="s">
        <v>15</v>
      </c>
      <c r="B2" s="3"/>
      <c r="C2" t="s">
        <v>16</v>
      </c>
    </row>
    <row r="3" spans="1:10" x14ac:dyDescent="0.25">
      <c r="A3" t="s">
        <v>20</v>
      </c>
      <c r="C3" t="s">
        <v>16</v>
      </c>
    </row>
    <row r="4" spans="1:10" x14ac:dyDescent="0.25">
      <c r="A4" t="s">
        <v>22</v>
      </c>
      <c r="C4" t="s">
        <v>16</v>
      </c>
    </row>
    <row r="5" spans="1:10" x14ac:dyDescent="0.25">
      <c r="A5" t="s">
        <v>59</v>
      </c>
      <c r="C5" t="s">
        <v>60</v>
      </c>
    </row>
    <row r="6" spans="1:10" x14ac:dyDescent="0.25">
      <c r="A6" t="s">
        <v>66</v>
      </c>
      <c r="C6" t="s">
        <v>16</v>
      </c>
    </row>
    <row r="7" spans="1:10" x14ac:dyDescent="0.25">
      <c r="A7" t="s">
        <v>78</v>
      </c>
      <c r="C7" t="s">
        <v>60</v>
      </c>
    </row>
    <row r="8" spans="1:10" x14ac:dyDescent="0.25">
      <c r="A8" t="s">
        <v>80</v>
      </c>
      <c r="C8" t="s">
        <v>60</v>
      </c>
    </row>
    <row r="9" spans="1:10" x14ac:dyDescent="0.25">
      <c r="A9" t="s">
        <v>194</v>
      </c>
      <c r="C9" t="s">
        <v>16</v>
      </c>
    </row>
    <row r="10" spans="1:10" x14ac:dyDescent="0.25">
      <c r="A10" t="s">
        <v>139</v>
      </c>
      <c r="C10" t="s">
        <v>16</v>
      </c>
    </row>
    <row r="11" spans="1:10" x14ac:dyDescent="0.25">
      <c r="A11" t="s">
        <v>193</v>
      </c>
      <c r="C11" t="s">
        <v>60</v>
      </c>
    </row>
    <row r="12" spans="1:10" x14ac:dyDescent="0.25">
      <c r="A12" t="s">
        <v>266</v>
      </c>
      <c r="C12" t="s">
        <v>60</v>
      </c>
    </row>
    <row r="13" spans="1:10" x14ac:dyDescent="0.25">
      <c r="A13" t="s">
        <v>198</v>
      </c>
      <c r="C13" t="s">
        <v>60</v>
      </c>
    </row>
    <row r="14" spans="1:10" x14ac:dyDescent="0.25">
      <c r="A14" t="s">
        <v>271</v>
      </c>
      <c r="C14" t="s">
        <v>16</v>
      </c>
    </row>
    <row r="15" spans="1:10" x14ac:dyDescent="0.25">
      <c r="A15" t="s">
        <v>281</v>
      </c>
      <c r="C15" t="s">
        <v>16</v>
      </c>
    </row>
    <row r="16" spans="1:10" x14ac:dyDescent="0.25">
      <c r="A16" s="6" t="s">
        <v>310</v>
      </c>
      <c r="C16" t="s">
        <v>60</v>
      </c>
    </row>
    <row r="17" spans="1:3" x14ac:dyDescent="0.25">
      <c r="A17" t="s">
        <v>266</v>
      </c>
      <c r="C17" t="s">
        <v>60</v>
      </c>
    </row>
    <row r="18" spans="1:3" x14ac:dyDescent="0.25">
      <c r="A18" t="s">
        <v>321</v>
      </c>
      <c r="C18" t="s">
        <v>60</v>
      </c>
    </row>
    <row r="19" spans="1:3" x14ac:dyDescent="0.25">
      <c r="A19" t="s">
        <v>323</v>
      </c>
      <c r="C19" t="s">
        <v>60</v>
      </c>
    </row>
    <row r="20" spans="1:3" x14ac:dyDescent="0.25">
      <c r="A20" t="s">
        <v>327</v>
      </c>
      <c r="C20" t="s">
        <v>60</v>
      </c>
    </row>
    <row r="21" spans="1:3" x14ac:dyDescent="0.25">
      <c r="A21" s="6" t="s">
        <v>325</v>
      </c>
      <c r="C21" t="s">
        <v>60</v>
      </c>
    </row>
    <row r="22" spans="1:3" x14ac:dyDescent="0.25">
      <c r="A22" t="s">
        <v>333</v>
      </c>
      <c r="C22" t="s">
        <v>60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xSplit="1" topLeftCell="B1" activePane="topRight" state="frozen"/>
      <selection pane="topRight" activeCell="C24" sqref="C24"/>
    </sheetView>
  </sheetViews>
  <sheetFormatPr defaultRowHeight="15" x14ac:dyDescent="0.25"/>
  <cols>
    <col min="1" max="1" width="38.42578125" bestFit="1" customWidth="1"/>
    <col min="2" max="2" width="21.140625" customWidth="1"/>
    <col min="3" max="3" width="25.140625" customWidth="1"/>
  </cols>
  <sheetData>
    <row r="1" spans="1:4" x14ac:dyDescent="0.25">
      <c r="A1" s="2" t="s">
        <v>1</v>
      </c>
      <c r="B1" s="2" t="s">
        <v>23</v>
      </c>
      <c r="C1" s="2" t="s">
        <v>25</v>
      </c>
      <c r="D1" s="2" t="s">
        <v>68</v>
      </c>
    </row>
    <row r="2" spans="1:4" x14ac:dyDescent="0.25">
      <c r="A2" t="s">
        <v>24</v>
      </c>
      <c r="B2">
        <v>2</v>
      </c>
      <c r="C2" t="s">
        <v>26</v>
      </c>
    </row>
    <row r="3" spans="1:4" x14ac:dyDescent="0.25">
      <c r="A3" t="s">
        <v>67</v>
      </c>
      <c r="B3">
        <v>1</v>
      </c>
      <c r="C3" t="s">
        <v>26</v>
      </c>
      <c r="D3">
        <v>1</v>
      </c>
    </row>
    <row r="4" spans="1:4" x14ac:dyDescent="0.25">
      <c r="A4" s="6" t="s">
        <v>70</v>
      </c>
      <c r="B4">
        <v>1</v>
      </c>
      <c r="C4" t="s">
        <v>26</v>
      </c>
      <c r="D4">
        <v>60</v>
      </c>
    </row>
    <row r="5" spans="1:4" x14ac:dyDescent="0.25">
      <c r="A5" t="s">
        <v>81</v>
      </c>
      <c r="B5">
        <v>1</v>
      </c>
      <c r="C5" t="s">
        <v>26</v>
      </c>
      <c r="D5">
        <v>1</v>
      </c>
    </row>
    <row r="6" spans="1:4" x14ac:dyDescent="0.25">
      <c r="A6" t="s">
        <v>83</v>
      </c>
      <c r="B6">
        <v>1</v>
      </c>
      <c r="C6" t="s">
        <v>26</v>
      </c>
      <c r="D6">
        <v>1</v>
      </c>
    </row>
    <row r="7" spans="1:4" x14ac:dyDescent="0.25">
      <c r="A7" t="s">
        <v>89</v>
      </c>
      <c r="C7" t="s">
        <v>26</v>
      </c>
    </row>
    <row r="8" spans="1:4" x14ac:dyDescent="0.25">
      <c r="A8" t="s">
        <v>194</v>
      </c>
      <c r="B8">
        <v>4</v>
      </c>
      <c r="C8" t="s">
        <v>26</v>
      </c>
      <c r="D8">
        <v>10</v>
      </c>
    </row>
    <row r="9" spans="1:4" x14ac:dyDescent="0.25">
      <c r="A9" t="s">
        <v>118</v>
      </c>
    </row>
    <row r="10" spans="1:4" x14ac:dyDescent="0.25">
      <c r="A10" s="6" t="s">
        <v>193</v>
      </c>
      <c r="B10">
        <v>4</v>
      </c>
      <c r="C10" t="s">
        <v>26</v>
      </c>
      <c r="D10">
        <v>10</v>
      </c>
    </row>
    <row r="11" spans="1:4" x14ac:dyDescent="0.25">
      <c r="A11" t="s">
        <v>117</v>
      </c>
      <c r="B11">
        <v>4</v>
      </c>
      <c r="C11" t="s">
        <v>26</v>
      </c>
      <c r="D11">
        <v>10</v>
      </c>
    </row>
    <row r="12" spans="1:4" x14ac:dyDescent="0.25">
      <c r="A12" t="s">
        <v>198</v>
      </c>
      <c r="B12">
        <v>4</v>
      </c>
      <c r="C12" t="s">
        <v>26</v>
      </c>
      <c r="D12">
        <v>15</v>
      </c>
    </row>
    <row r="13" spans="1:4" x14ac:dyDescent="0.25">
      <c r="A13" t="s">
        <v>266</v>
      </c>
      <c r="B13">
        <v>4</v>
      </c>
      <c r="C13" t="s">
        <v>26</v>
      </c>
      <c r="D13">
        <v>15</v>
      </c>
    </row>
    <row r="14" spans="1:4" x14ac:dyDescent="0.25">
      <c r="A14" s="6" t="s">
        <v>321</v>
      </c>
      <c r="B14">
        <v>4</v>
      </c>
      <c r="C14" t="s">
        <v>26</v>
      </c>
      <c r="D14">
        <v>15</v>
      </c>
    </row>
    <row r="15" spans="1:4" x14ac:dyDescent="0.25">
      <c r="A15" t="s">
        <v>323</v>
      </c>
      <c r="B15">
        <v>4</v>
      </c>
      <c r="C15" t="s">
        <v>26</v>
      </c>
      <c r="D15">
        <v>15</v>
      </c>
    </row>
    <row r="16" spans="1:4" x14ac:dyDescent="0.25">
      <c r="A16" s="6" t="s">
        <v>333</v>
      </c>
      <c r="C16" t="s">
        <v>26</v>
      </c>
    </row>
    <row r="17" spans="1:4" x14ac:dyDescent="0.25">
      <c r="A17" s="6" t="s">
        <v>325</v>
      </c>
      <c r="B17">
        <v>4</v>
      </c>
      <c r="C17" t="s">
        <v>26</v>
      </c>
    </row>
    <row r="18" spans="1:4" x14ac:dyDescent="0.25">
      <c r="A18" t="s">
        <v>346</v>
      </c>
      <c r="B18">
        <v>5</v>
      </c>
      <c r="C18" t="s">
        <v>26</v>
      </c>
      <c r="D18">
        <v>15</v>
      </c>
    </row>
    <row r="19" spans="1:4" x14ac:dyDescent="0.25">
      <c r="A19" s="6" t="s">
        <v>348</v>
      </c>
      <c r="C19" t="s">
        <v>26</v>
      </c>
    </row>
    <row r="20" spans="1:4" x14ac:dyDescent="0.25">
      <c r="A20" s="6" t="s">
        <v>320</v>
      </c>
      <c r="B20">
        <v>0</v>
      </c>
      <c r="C20" t="s">
        <v>26</v>
      </c>
      <c r="D20">
        <v>15</v>
      </c>
    </row>
    <row r="21" spans="1:4" x14ac:dyDescent="0.25">
      <c r="A21" t="s">
        <v>18</v>
      </c>
      <c r="B21">
        <v>1</v>
      </c>
      <c r="C21" t="s">
        <v>26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pane ySplit="1" topLeftCell="A2" activePane="bottomLeft" state="frozen"/>
      <selection activeCell="F1" sqref="F1"/>
      <selection pane="bottomLeft" activeCell="A25" sqref="A25"/>
    </sheetView>
  </sheetViews>
  <sheetFormatPr defaultRowHeight="15" x14ac:dyDescent="0.25"/>
  <cols>
    <col min="1" max="1" width="39.7109375" bestFit="1" customWidth="1"/>
    <col min="2" max="2" width="24" customWidth="1"/>
    <col min="3" max="3" width="20.5703125" customWidth="1"/>
    <col min="4" max="4" width="11.28515625" bestFit="1" customWidth="1"/>
    <col min="5" max="5" width="14" bestFit="1" customWidth="1"/>
    <col min="6" max="6" width="11.5703125" bestFit="1" customWidth="1"/>
    <col min="7" max="7" width="11.28515625" bestFit="1" customWidth="1"/>
    <col min="8" max="8" width="10" bestFit="1" customWidth="1"/>
    <col min="9" max="9" width="24.5703125" bestFit="1" customWidth="1"/>
    <col min="10" max="10" width="28.7109375" bestFit="1" customWidth="1"/>
  </cols>
  <sheetData>
    <row r="1" spans="1:10" x14ac:dyDescent="0.25">
      <c r="A1" s="2" t="s">
        <v>1</v>
      </c>
      <c r="B1" s="4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98</v>
      </c>
      <c r="J1" s="2" t="s">
        <v>254</v>
      </c>
    </row>
    <row r="2" spans="1:10" x14ac:dyDescent="0.25">
      <c r="A2" t="s">
        <v>50</v>
      </c>
      <c r="B2">
        <v>1</v>
      </c>
      <c r="C2">
        <v>24</v>
      </c>
      <c r="D2">
        <v>1</v>
      </c>
      <c r="E2">
        <v>120</v>
      </c>
      <c r="F2">
        <v>0.5</v>
      </c>
      <c r="G2">
        <v>0.125</v>
      </c>
      <c r="H2">
        <v>4.5999999999999996</v>
      </c>
    </row>
    <row r="3" spans="1:10" x14ac:dyDescent="0.25">
      <c r="A3" t="s">
        <v>58</v>
      </c>
      <c r="B3">
        <v>1</v>
      </c>
      <c r="C3">
        <v>72</v>
      </c>
      <c r="D3">
        <v>1</v>
      </c>
      <c r="E3">
        <v>120</v>
      </c>
      <c r="F3">
        <v>4</v>
      </c>
    </row>
    <row r="4" spans="1:10" x14ac:dyDescent="0.25">
      <c r="A4" t="s">
        <v>69</v>
      </c>
      <c r="B4">
        <v>1</v>
      </c>
      <c r="C4">
        <v>36</v>
      </c>
      <c r="D4">
        <v>2</v>
      </c>
      <c r="E4">
        <v>48</v>
      </c>
      <c r="F4">
        <v>5</v>
      </c>
    </row>
    <row r="5" spans="1:10" x14ac:dyDescent="0.25">
      <c r="A5" t="s">
        <v>74</v>
      </c>
      <c r="C5">
        <v>60</v>
      </c>
      <c r="E5">
        <v>36</v>
      </c>
    </row>
    <row r="6" spans="1:10" x14ac:dyDescent="0.25">
      <c r="A6" t="s">
        <v>77</v>
      </c>
      <c r="B6">
        <v>5</v>
      </c>
      <c r="D6">
        <v>2</v>
      </c>
      <c r="F6">
        <v>5</v>
      </c>
      <c r="G6">
        <v>2.25</v>
      </c>
      <c r="H6">
        <v>1.173</v>
      </c>
    </row>
    <row r="7" spans="1:10" x14ac:dyDescent="0.25">
      <c r="A7" t="s">
        <v>194</v>
      </c>
      <c r="B7">
        <v>2</v>
      </c>
      <c r="C7">
        <v>60</v>
      </c>
      <c r="D7">
        <v>2</v>
      </c>
      <c r="E7">
        <v>12</v>
      </c>
      <c r="F7">
        <v>5</v>
      </c>
    </row>
    <row r="8" spans="1:10" x14ac:dyDescent="0.25">
      <c r="A8" s="11" t="s">
        <v>340</v>
      </c>
      <c r="B8">
        <v>5</v>
      </c>
      <c r="C8">
        <v>2</v>
      </c>
      <c r="D8">
        <v>6</v>
      </c>
      <c r="E8">
        <v>1</v>
      </c>
      <c r="F8">
        <v>6</v>
      </c>
    </row>
    <row r="9" spans="1:10" x14ac:dyDescent="0.25">
      <c r="A9" s="11" t="s">
        <v>341</v>
      </c>
      <c r="B9">
        <v>5</v>
      </c>
      <c r="C9">
        <v>3</v>
      </c>
      <c r="D9">
        <v>6</v>
      </c>
      <c r="E9">
        <v>2</v>
      </c>
      <c r="F9">
        <v>6</v>
      </c>
    </row>
    <row r="10" spans="1:10" x14ac:dyDescent="0.25">
      <c r="A10" s="11" t="s">
        <v>347</v>
      </c>
      <c r="B10">
        <v>5</v>
      </c>
      <c r="C10">
        <v>12</v>
      </c>
      <c r="D10">
        <v>6</v>
      </c>
      <c r="E10">
        <v>1</v>
      </c>
      <c r="F10">
        <v>6</v>
      </c>
    </row>
    <row r="11" spans="1:10" x14ac:dyDescent="0.25">
      <c r="A11" s="11" t="s">
        <v>133</v>
      </c>
      <c r="B11">
        <v>5</v>
      </c>
      <c r="C11">
        <v>12</v>
      </c>
      <c r="D11">
        <v>6</v>
      </c>
      <c r="E11">
        <v>1</v>
      </c>
      <c r="F11">
        <v>6</v>
      </c>
    </row>
    <row r="12" spans="1:10" x14ac:dyDescent="0.25">
      <c r="A12" t="s">
        <v>193</v>
      </c>
      <c r="B12">
        <v>2</v>
      </c>
      <c r="C12">
        <v>60</v>
      </c>
      <c r="D12">
        <v>2</v>
      </c>
      <c r="E12">
        <v>12</v>
      </c>
      <c r="F12">
        <v>5</v>
      </c>
    </row>
    <row r="13" spans="1:10" x14ac:dyDescent="0.25">
      <c r="A13" s="6" t="s">
        <v>195</v>
      </c>
      <c r="B13">
        <v>1</v>
      </c>
      <c r="C13">
        <v>13</v>
      </c>
      <c r="D13">
        <v>0.5</v>
      </c>
      <c r="E13">
        <v>65</v>
      </c>
      <c r="I13">
        <v>3.25</v>
      </c>
    </row>
    <row r="14" spans="1:10" x14ac:dyDescent="0.25">
      <c r="A14" t="s">
        <v>198</v>
      </c>
      <c r="B14">
        <v>2</v>
      </c>
      <c r="C14">
        <v>60</v>
      </c>
      <c r="D14">
        <v>2</v>
      </c>
      <c r="E14">
        <v>12</v>
      </c>
      <c r="F14">
        <v>5</v>
      </c>
    </row>
    <row r="15" spans="1:10" x14ac:dyDescent="0.25">
      <c r="A15" t="s">
        <v>222</v>
      </c>
      <c r="B15">
        <v>1</v>
      </c>
      <c r="C15">
        <v>6</v>
      </c>
      <c r="D15">
        <v>2</v>
      </c>
      <c r="E15">
        <v>12</v>
      </c>
      <c r="F15">
        <v>12.75</v>
      </c>
      <c r="G15">
        <v>2</v>
      </c>
      <c r="H15">
        <v>2</v>
      </c>
    </row>
    <row r="16" spans="1:10" x14ac:dyDescent="0.25">
      <c r="A16" s="18" t="s">
        <v>250</v>
      </c>
      <c r="C16">
        <v>60</v>
      </c>
      <c r="E16">
        <v>12</v>
      </c>
    </row>
    <row r="17" spans="1:10" x14ac:dyDescent="0.25">
      <c r="A17" s="18" t="s">
        <v>253</v>
      </c>
      <c r="B17">
        <v>1</v>
      </c>
      <c r="C17">
        <v>36</v>
      </c>
      <c r="D17">
        <v>1</v>
      </c>
      <c r="E17">
        <v>12</v>
      </c>
      <c r="F17">
        <v>5</v>
      </c>
      <c r="G17">
        <v>2.2570000000000001</v>
      </c>
      <c r="J17" t="s">
        <v>255</v>
      </c>
    </row>
    <row r="18" spans="1:10" x14ac:dyDescent="0.25">
      <c r="A18" s="18" t="s">
        <v>256</v>
      </c>
      <c r="C18">
        <v>60</v>
      </c>
    </row>
    <row r="19" spans="1:10" x14ac:dyDescent="0.25">
      <c r="A19" s="18" t="s">
        <v>257</v>
      </c>
      <c r="B19">
        <v>1</v>
      </c>
      <c r="C19">
        <v>36</v>
      </c>
      <c r="D19">
        <v>1</v>
      </c>
      <c r="E19">
        <v>12</v>
      </c>
      <c r="F19">
        <v>5</v>
      </c>
      <c r="G19">
        <v>2.2570000000000001</v>
      </c>
      <c r="J19" t="s">
        <v>255</v>
      </c>
    </row>
    <row r="20" spans="1:10" x14ac:dyDescent="0.25">
      <c r="A20" t="s">
        <v>266</v>
      </c>
      <c r="B20">
        <v>2</v>
      </c>
      <c r="C20">
        <v>60</v>
      </c>
      <c r="D20">
        <v>2</v>
      </c>
      <c r="E20">
        <v>12</v>
      </c>
      <c r="F20">
        <v>5</v>
      </c>
    </row>
    <row r="21" spans="1:10" x14ac:dyDescent="0.25">
      <c r="A21" t="s">
        <v>274</v>
      </c>
      <c r="B21">
        <v>1</v>
      </c>
      <c r="C21">
        <v>6</v>
      </c>
      <c r="D21">
        <v>1</v>
      </c>
      <c r="E21">
        <v>6</v>
      </c>
      <c r="F21">
        <v>10</v>
      </c>
      <c r="G21">
        <v>2.25</v>
      </c>
      <c r="H21">
        <v>1.25</v>
      </c>
    </row>
    <row r="22" spans="1:10" x14ac:dyDescent="0.25">
      <c r="A22" t="s">
        <v>275</v>
      </c>
      <c r="B22">
        <v>1</v>
      </c>
      <c r="C22">
        <v>6</v>
      </c>
      <c r="D22">
        <v>2</v>
      </c>
      <c r="E22">
        <v>12</v>
      </c>
      <c r="F22">
        <v>12.75</v>
      </c>
      <c r="G22">
        <v>2</v>
      </c>
      <c r="H22">
        <v>2</v>
      </c>
    </row>
    <row r="23" spans="1:10" x14ac:dyDescent="0.25">
      <c r="A23" t="s">
        <v>276</v>
      </c>
      <c r="B23">
        <v>1</v>
      </c>
      <c r="C23">
        <v>6</v>
      </c>
      <c r="D23">
        <v>1</v>
      </c>
      <c r="E23">
        <v>6</v>
      </c>
      <c r="F23">
        <v>10</v>
      </c>
      <c r="G23">
        <v>2.25</v>
      </c>
      <c r="H23">
        <v>1.25</v>
      </c>
    </row>
    <row r="24" spans="1:10" x14ac:dyDescent="0.25">
      <c r="A24" t="s">
        <v>279</v>
      </c>
      <c r="B24">
        <v>1</v>
      </c>
      <c r="C24">
        <v>6</v>
      </c>
      <c r="D24">
        <v>1</v>
      </c>
      <c r="E24">
        <v>6</v>
      </c>
      <c r="F24">
        <v>10</v>
      </c>
      <c r="G24">
        <v>2.25</v>
      </c>
      <c r="H24">
        <v>1.25</v>
      </c>
    </row>
    <row r="25" spans="1:10" x14ac:dyDescent="0.25">
      <c r="A25" t="s">
        <v>280</v>
      </c>
      <c r="B25">
        <v>1</v>
      </c>
      <c r="C25">
        <v>60</v>
      </c>
      <c r="D25">
        <v>1</v>
      </c>
      <c r="E25">
        <v>6</v>
      </c>
      <c r="F25">
        <v>10</v>
      </c>
      <c r="G25">
        <v>2.25</v>
      </c>
      <c r="H25">
        <v>1.25</v>
      </c>
    </row>
    <row r="26" spans="1:10" x14ac:dyDescent="0.25">
      <c r="A26" s="6" t="s">
        <v>321</v>
      </c>
      <c r="B26">
        <v>2</v>
      </c>
      <c r="C26">
        <v>60</v>
      </c>
      <c r="D26">
        <v>2</v>
      </c>
      <c r="E26">
        <v>12</v>
      </c>
      <c r="F26">
        <v>5</v>
      </c>
    </row>
    <row r="27" spans="1:10" x14ac:dyDescent="0.25">
      <c r="A27" t="s">
        <v>326</v>
      </c>
      <c r="B27">
        <v>1</v>
      </c>
      <c r="C27">
        <v>13</v>
      </c>
      <c r="D27">
        <v>0.5</v>
      </c>
      <c r="E27">
        <v>65</v>
      </c>
    </row>
    <row r="28" spans="1:10" x14ac:dyDescent="0.25">
      <c r="A28" s="6" t="s">
        <v>329</v>
      </c>
      <c r="B28">
        <v>2</v>
      </c>
      <c r="C28">
        <v>24</v>
      </c>
    </row>
    <row r="29" spans="1:10" x14ac:dyDescent="0.25">
      <c r="A29" t="s">
        <v>359</v>
      </c>
      <c r="B29">
        <v>1</v>
      </c>
      <c r="C29">
        <v>12</v>
      </c>
      <c r="D29">
        <v>2</v>
      </c>
      <c r="E29">
        <v>12</v>
      </c>
      <c r="F29">
        <v>5</v>
      </c>
      <c r="G29">
        <v>2.25</v>
      </c>
      <c r="H29">
        <v>1.3240000000000001</v>
      </c>
      <c r="J29" t="s">
        <v>331</v>
      </c>
    </row>
    <row r="30" spans="1:10" x14ac:dyDescent="0.25">
      <c r="A30" s="6" t="s">
        <v>332</v>
      </c>
      <c r="B30">
        <v>4</v>
      </c>
      <c r="C30">
        <v>36</v>
      </c>
      <c r="D30">
        <v>5</v>
      </c>
      <c r="E30">
        <v>12</v>
      </c>
      <c r="F30">
        <v>8.5</v>
      </c>
      <c r="G30">
        <v>1</v>
      </c>
      <c r="H30">
        <v>1.25</v>
      </c>
    </row>
    <row r="31" spans="1:10" x14ac:dyDescent="0.25">
      <c r="A31" t="s">
        <v>360</v>
      </c>
      <c r="B31">
        <v>1</v>
      </c>
      <c r="C31">
        <v>12</v>
      </c>
      <c r="D31">
        <v>2</v>
      </c>
      <c r="E31">
        <v>12</v>
      </c>
      <c r="F31">
        <v>5</v>
      </c>
      <c r="G31">
        <v>2.25</v>
      </c>
      <c r="H31">
        <v>1.3320000000000001</v>
      </c>
      <c r="J31" t="s">
        <v>331</v>
      </c>
    </row>
    <row r="32" spans="1:10" x14ac:dyDescent="0.25">
      <c r="A32" s="11" t="s">
        <v>339</v>
      </c>
      <c r="B32">
        <v>5</v>
      </c>
      <c r="C32">
        <v>1</v>
      </c>
      <c r="D32">
        <v>6</v>
      </c>
      <c r="E32">
        <v>1</v>
      </c>
      <c r="F32">
        <v>6</v>
      </c>
    </row>
    <row r="33" spans="1:8" x14ac:dyDescent="0.25">
      <c r="A33" t="s">
        <v>349</v>
      </c>
      <c r="B33">
        <v>1.5</v>
      </c>
      <c r="C33">
        <v>60</v>
      </c>
      <c r="D33">
        <v>2</v>
      </c>
      <c r="E33">
        <v>80</v>
      </c>
      <c r="F33">
        <v>2</v>
      </c>
    </row>
    <row r="34" spans="1:8" x14ac:dyDescent="0.25">
      <c r="A34" t="s">
        <v>351</v>
      </c>
      <c r="B34">
        <v>1.5</v>
      </c>
      <c r="C34">
        <v>60</v>
      </c>
      <c r="D34">
        <v>2</v>
      </c>
      <c r="E34">
        <v>80</v>
      </c>
      <c r="F34">
        <v>2</v>
      </c>
    </row>
    <row r="35" spans="1:8" x14ac:dyDescent="0.25">
      <c r="A35" t="s">
        <v>402</v>
      </c>
      <c r="G35">
        <v>1</v>
      </c>
      <c r="H35">
        <v>3.5</v>
      </c>
    </row>
  </sheetData>
  <dataValidations count="2">
    <dataValidation type="list" allowBlank="1" showInputMessage="1" showErrorMessage="1" sqref="E29 E31">
      <formula1>"Yes, No"</formula1>
    </dataValidation>
    <dataValidation type="list" allowBlank="1" showInputMessage="1" showErrorMessage="1" sqref="G29 G31">
      <formula1>"ApplicationDate,FileStartedDate"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T13" sqref="T13"/>
    </sheetView>
  </sheetViews>
  <sheetFormatPr defaultRowHeight="15" x14ac:dyDescent="0.25"/>
  <cols>
    <col min="1" max="1" width="42.7109375" bestFit="1" customWidth="1"/>
    <col min="2" max="2" width="22.42578125" bestFit="1" customWidth="1"/>
    <col min="3" max="3" width="23.7109375" bestFit="1" customWidth="1"/>
    <col min="4" max="4" width="16.5703125" bestFit="1" customWidth="1"/>
    <col min="5" max="5" width="23" bestFit="1" customWidth="1"/>
    <col min="6" max="6" width="16.140625" bestFit="1" customWidth="1"/>
    <col min="7" max="7" width="10.85546875" bestFit="1" customWidth="1"/>
    <col min="8" max="8" width="15.140625" bestFit="1" customWidth="1"/>
    <col min="9" max="9" width="12.5703125" bestFit="1" customWidth="1"/>
    <col min="10" max="10" width="18.7109375" bestFit="1" customWidth="1"/>
    <col min="11" max="11" width="24.5703125" bestFit="1" customWidth="1"/>
    <col min="12" max="13" width="24.5703125" customWidth="1"/>
    <col min="14" max="20" width="22.7109375" bestFit="1" customWidth="1"/>
    <col min="21" max="21" width="23.7109375" bestFit="1" customWidth="1"/>
  </cols>
  <sheetData>
    <row r="1" spans="1:21" s="2" customFormat="1" x14ac:dyDescent="0.25">
      <c r="A1" s="2" t="s">
        <v>1</v>
      </c>
      <c r="B1" s="2" t="s">
        <v>90</v>
      </c>
      <c r="C1" s="2" t="s">
        <v>91</v>
      </c>
      <c r="D1" s="2" t="s">
        <v>92</v>
      </c>
      <c r="E1" s="2" t="s">
        <v>93</v>
      </c>
      <c r="F1" s="2" t="s">
        <v>95</v>
      </c>
      <c r="G1" s="2" t="s">
        <v>96</v>
      </c>
      <c r="H1" s="2" t="s">
        <v>203</v>
      </c>
      <c r="I1" s="2" t="s">
        <v>204</v>
      </c>
      <c r="J1" s="17" t="s">
        <v>205</v>
      </c>
      <c r="K1" s="17" t="s">
        <v>208</v>
      </c>
      <c r="L1" s="2" t="s">
        <v>221</v>
      </c>
      <c r="M1" s="2" t="s">
        <v>220</v>
      </c>
      <c r="N1" s="2" t="s">
        <v>212</v>
      </c>
      <c r="O1" s="2" t="s">
        <v>213</v>
      </c>
      <c r="P1" s="2" t="s">
        <v>214</v>
      </c>
      <c r="Q1" s="2" t="s">
        <v>215</v>
      </c>
      <c r="R1" s="2" t="s">
        <v>216</v>
      </c>
      <c r="S1" s="2" t="s">
        <v>217</v>
      </c>
      <c r="T1" s="2" t="s">
        <v>218</v>
      </c>
      <c r="U1" s="2" t="s">
        <v>219</v>
      </c>
    </row>
    <row r="2" spans="1:21" x14ac:dyDescent="0.25">
      <c r="A2" t="s">
        <v>193</v>
      </c>
      <c r="B2">
        <v>12</v>
      </c>
      <c r="C2">
        <v>2</v>
      </c>
      <c r="D2">
        <v>2</v>
      </c>
      <c r="E2" t="s">
        <v>94</v>
      </c>
      <c r="F2" t="s">
        <v>94</v>
      </c>
      <c r="G2" s="7" t="s">
        <v>97</v>
      </c>
      <c r="M2" s="2"/>
    </row>
    <row r="3" spans="1:21" x14ac:dyDescent="0.25">
      <c r="A3" t="s">
        <v>194</v>
      </c>
      <c r="B3">
        <v>12</v>
      </c>
      <c r="C3">
        <v>2</v>
      </c>
      <c r="D3">
        <v>2</v>
      </c>
      <c r="E3" t="s">
        <v>94</v>
      </c>
      <c r="F3" t="s">
        <v>94</v>
      </c>
      <c r="G3" s="7" t="s">
        <v>97</v>
      </c>
      <c r="M3" s="2"/>
    </row>
    <row r="4" spans="1:21" x14ac:dyDescent="0.25">
      <c r="A4" t="s">
        <v>198</v>
      </c>
      <c r="B4">
        <v>12</v>
      </c>
      <c r="C4">
        <v>2</v>
      </c>
      <c r="D4">
        <v>2</v>
      </c>
      <c r="E4" t="s">
        <v>94</v>
      </c>
      <c r="F4" t="s">
        <v>94</v>
      </c>
      <c r="G4" s="7" t="s">
        <v>97</v>
      </c>
      <c r="M4" s="2"/>
    </row>
    <row r="5" spans="1:21" x14ac:dyDescent="0.25">
      <c r="A5" s="6" t="s">
        <v>202</v>
      </c>
      <c r="H5">
        <v>1</v>
      </c>
      <c r="I5">
        <v>5</v>
      </c>
      <c r="J5">
        <v>4</v>
      </c>
      <c r="L5">
        <v>10</v>
      </c>
      <c r="M5" s="2"/>
    </row>
    <row r="6" spans="1:21" x14ac:dyDescent="0.25">
      <c r="A6" s="6" t="s">
        <v>207</v>
      </c>
      <c r="H6">
        <v>1</v>
      </c>
      <c r="I6">
        <v>5</v>
      </c>
      <c r="J6">
        <v>4</v>
      </c>
      <c r="K6" t="s">
        <v>209</v>
      </c>
      <c r="L6">
        <v>20</v>
      </c>
      <c r="M6">
        <v>21</v>
      </c>
      <c r="N6">
        <v>22</v>
      </c>
      <c r="O6">
        <v>23</v>
      </c>
      <c r="P6">
        <v>24</v>
      </c>
      <c r="Q6">
        <v>25</v>
      </c>
      <c r="R6">
        <v>26</v>
      </c>
      <c r="S6">
        <v>27</v>
      </c>
      <c r="T6">
        <v>28</v>
      </c>
      <c r="U6">
        <v>29</v>
      </c>
    </row>
    <row r="7" spans="1:21" x14ac:dyDescent="0.25">
      <c r="A7" s="6" t="s">
        <v>206</v>
      </c>
      <c r="M7" s="2"/>
    </row>
    <row r="8" spans="1:21" x14ac:dyDescent="0.25">
      <c r="A8" t="s">
        <v>266</v>
      </c>
      <c r="B8">
        <v>12</v>
      </c>
      <c r="C8">
        <v>2</v>
      </c>
      <c r="D8">
        <v>2</v>
      </c>
      <c r="E8" t="s">
        <v>94</v>
      </c>
      <c r="F8" t="s">
        <v>94</v>
      </c>
      <c r="G8" s="7" t="s">
        <v>97</v>
      </c>
      <c r="M8" s="2"/>
    </row>
    <row r="9" spans="1:21" x14ac:dyDescent="0.25">
      <c r="A9" s="6" t="s">
        <v>321</v>
      </c>
      <c r="B9">
        <v>12</v>
      </c>
      <c r="C9">
        <v>2</v>
      </c>
      <c r="D9">
        <v>2</v>
      </c>
      <c r="E9" t="s">
        <v>94</v>
      </c>
      <c r="F9" t="s">
        <v>94</v>
      </c>
      <c r="G9" s="7" t="s">
        <v>97</v>
      </c>
      <c r="M9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1"/>
  <sheetViews>
    <sheetView zoomScaleNormal="100" workbookViewId="0">
      <pane ySplit="1" topLeftCell="A62" activePane="bottomLeft" state="frozen"/>
      <selection pane="bottomLeft" activeCell="S68" sqref="S68"/>
    </sheetView>
  </sheetViews>
  <sheetFormatPr defaultRowHeight="15" x14ac:dyDescent="0.25"/>
  <cols>
    <col min="1" max="1" width="44.28515625" bestFit="1" customWidth="1"/>
    <col min="2" max="2" width="18.85546875" bestFit="1" customWidth="1"/>
    <col min="3" max="3" width="20.85546875" bestFit="1" customWidth="1"/>
    <col min="4" max="4" width="19.5703125" bestFit="1" customWidth="1"/>
    <col min="5" max="5" width="26.5703125" bestFit="1" customWidth="1"/>
    <col min="6" max="7" width="26.5703125" customWidth="1"/>
    <col min="8" max="8" width="11.85546875" bestFit="1" customWidth="1"/>
    <col min="9" max="9" width="17.28515625" bestFit="1" customWidth="1"/>
    <col min="10" max="10" width="17.5703125" bestFit="1" customWidth="1"/>
    <col min="11" max="11" width="18.85546875" bestFit="1" customWidth="1"/>
    <col min="12" max="12" width="27.7109375" bestFit="1" customWidth="1"/>
    <col min="13" max="13" width="9.85546875" bestFit="1" customWidth="1"/>
    <col min="14" max="14" width="19" bestFit="1" customWidth="1"/>
    <col min="15" max="15" width="21.140625" bestFit="1" customWidth="1"/>
    <col min="16" max="16" width="22.7109375" bestFit="1" customWidth="1"/>
    <col min="17" max="17" width="19.140625" bestFit="1" customWidth="1"/>
    <col min="18" max="18" width="23.7109375" bestFit="1" customWidth="1"/>
    <col min="19" max="19" width="22.5703125" bestFit="1" customWidth="1"/>
    <col min="20" max="20" width="29.28515625" bestFit="1" customWidth="1"/>
    <col min="21" max="21" width="30.28515625" bestFit="1" customWidth="1"/>
    <col min="22" max="22" width="34" bestFit="1" customWidth="1"/>
    <col min="23" max="23" width="16.28515625" bestFit="1" customWidth="1"/>
    <col min="24" max="24" width="30.28515625" bestFit="1" customWidth="1"/>
    <col min="25" max="25" width="45.42578125" bestFit="1" customWidth="1"/>
    <col min="26" max="26" width="45.42578125" customWidth="1"/>
    <col min="27" max="27" width="28.28515625" bestFit="1" customWidth="1"/>
    <col min="28" max="28" width="31.28515625" bestFit="1" customWidth="1"/>
    <col min="29" max="29" width="31.140625" bestFit="1" customWidth="1"/>
    <col min="30" max="30" width="23.140625" bestFit="1" customWidth="1"/>
    <col min="31" max="31" width="17.42578125" bestFit="1" customWidth="1"/>
    <col min="32" max="32" width="16" bestFit="1" customWidth="1"/>
    <col min="33" max="33" width="20.42578125" bestFit="1" customWidth="1"/>
    <col min="34" max="34" width="27.42578125" bestFit="1" customWidth="1"/>
    <col min="35" max="36" width="27.5703125" bestFit="1" customWidth="1"/>
    <col min="37" max="37" width="27.5703125" customWidth="1"/>
    <col min="38" max="38" width="19.28515625" bestFit="1" customWidth="1"/>
    <col min="39" max="39" width="26.85546875" bestFit="1" customWidth="1"/>
    <col min="40" max="40" width="26.7109375" bestFit="1" customWidth="1"/>
    <col min="41" max="43" width="26.7109375" customWidth="1"/>
    <col min="44" max="44" width="21.85546875" bestFit="1" customWidth="1"/>
    <col min="45" max="45" width="12.140625" bestFit="1" customWidth="1"/>
    <col min="46" max="46" width="14" bestFit="1" customWidth="1"/>
    <col min="47" max="47" width="16.28515625" bestFit="1" customWidth="1"/>
    <col min="48" max="49" width="32" bestFit="1" customWidth="1"/>
    <col min="50" max="50" width="23.42578125" bestFit="1" customWidth="1"/>
    <col min="51" max="51" width="14.28515625" bestFit="1" customWidth="1"/>
    <col min="52" max="52" width="24.28515625" bestFit="1" customWidth="1"/>
    <col min="53" max="53" width="19.85546875" bestFit="1" customWidth="1"/>
    <col min="54" max="54" width="21.85546875" bestFit="1" customWidth="1"/>
    <col min="55" max="55" width="21.7109375" bestFit="1" customWidth="1"/>
    <col min="56" max="57" width="14.28515625" bestFit="1" customWidth="1"/>
    <col min="58" max="58" width="19" bestFit="1" customWidth="1"/>
    <col min="59" max="59" width="27.42578125" bestFit="1" customWidth="1"/>
    <col min="60" max="60" width="19" bestFit="1" customWidth="1"/>
    <col min="61" max="61" width="21.5703125" bestFit="1" customWidth="1"/>
    <col min="62" max="62" width="21.140625" bestFit="1" customWidth="1"/>
    <col min="63" max="63" width="25.5703125" bestFit="1" customWidth="1"/>
  </cols>
  <sheetData>
    <row r="1" spans="1:64" x14ac:dyDescent="0.25">
      <c r="A1" s="2" t="s">
        <v>1</v>
      </c>
      <c r="B1" s="4" t="s">
        <v>28</v>
      </c>
      <c r="C1" s="2" t="s">
        <v>29</v>
      </c>
      <c r="D1" s="2" t="s">
        <v>30</v>
      </c>
      <c r="E1" s="2" t="s">
        <v>114</v>
      </c>
      <c r="F1" s="2" t="s">
        <v>116</v>
      </c>
      <c r="G1" s="2" t="s">
        <v>115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46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43</v>
      </c>
      <c r="V1" s="2" t="s">
        <v>44</v>
      </c>
      <c r="W1" s="2" t="s">
        <v>45</v>
      </c>
      <c r="X1" s="2" t="s">
        <v>129</v>
      </c>
      <c r="Y1" s="2" t="s">
        <v>134</v>
      </c>
      <c r="Z1" s="2" t="s">
        <v>143</v>
      </c>
      <c r="AA1" s="2" t="s">
        <v>140</v>
      </c>
      <c r="AB1" s="2" t="s">
        <v>141</v>
      </c>
      <c r="AC1" s="2" t="s">
        <v>142</v>
      </c>
      <c r="AD1" s="2" t="s">
        <v>146</v>
      </c>
      <c r="AE1" s="2" t="s">
        <v>191</v>
      </c>
      <c r="AF1" s="2" t="s">
        <v>200</v>
      </c>
      <c r="AG1" s="2" t="s">
        <v>210</v>
      </c>
      <c r="AH1" s="17" t="s">
        <v>225</v>
      </c>
      <c r="AI1" s="2" t="s">
        <v>226</v>
      </c>
      <c r="AJ1" s="2" t="s">
        <v>235</v>
      </c>
      <c r="AK1" s="2" t="s">
        <v>232</v>
      </c>
      <c r="AL1" s="2" t="s">
        <v>229</v>
      </c>
      <c r="AM1" s="17" t="s">
        <v>233</v>
      </c>
      <c r="AN1" s="17" t="s">
        <v>234</v>
      </c>
      <c r="AO1" s="17" t="s">
        <v>267</v>
      </c>
      <c r="AP1" s="17" t="s">
        <v>268</v>
      </c>
      <c r="AQ1" s="17" t="s">
        <v>269</v>
      </c>
      <c r="AR1" s="17" t="s">
        <v>262</v>
      </c>
      <c r="AS1" s="17" t="s">
        <v>238</v>
      </c>
      <c r="AT1" s="17" t="s">
        <v>240</v>
      </c>
      <c r="AU1" s="17" t="s">
        <v>242</v>
      </c>
      <c r="AV1" s="17" t="s">
        <v>247</v>
      </c>
      <c r="AW1" s="17" t="s">
        <v>264</v>
      </c>
      <c r="AX1" s="2" t="s">
        <v>249</v>
      </c>
      <c r="AY1" s="2" t="s">
        <v>52</v>
      </c>
      <c r="AZ1" s="17" t="s">
        <v>259</v>
      </c>
      <c r="BA1" s="17" t="s">
        <v>261</v>
      </c>
      <c r="BB1" s="17" t="s">
        <v>263</v>
      </c>
      <c r="BC1" s="17" t="s">
        <v>231</v>
      </c>
      <c r="BD1" s="12" t="s">
        <v>158</v>
      </c>
      <c r="BE1" s="12" t="s">
        <v>155</v>
      </c>
      <c r="BF1" s="12" t="s">
        <v>303</v>
      </c>
      <c r="BG1" s="12" t="s">
        <v>309</v>
      </c>
      <c r="BH1" s="12" t="s">
        <v>316</v>
      </c>
      <c r="BI1" s="12" t="s">
        <v>317</v>
      </c>
      <c r="BJ1" s="12" t="s">
        <v>343</v>
      </c>
      <c r="BK1" s="12" t="s">
        <v>344</v>
      </c>
      <c r="BL1" s="12" t="s">
        <v>350</v>
      </c>
    </row>
    <row r="2" spans="1:64" x14ac:dyDescent="0.25">
      <c r="A2" t="s">
        <v>47</v>
      </c>
      <c r="R2" s="3">
        <f ca="1">TODAY()</f>
        <v>43335</v>
      </c>
      <c r="AK2" s="2"/>
    </row>
    <row r="3" spans="1:64" x14ac:dyDescent="0.25">
      <c r="A3" t="s">
        <v>48</v>
      </c>
      <c r="R3" s="5" t="s">
        <v>49</v>
      </c>
      <c r="AK3" s="2"/>
    </row>
    <row r="4" spans="1:64" x14ac:dyDescent="0.25">
      <c r="A4" t="s">
        <v>61</v>
      </c>
      <c r="B4" t="s">
        <v>62</v>
      </c>
      <c r="D4" t="s">
        <v>63</v>
      </c>
      <c r="H4">
        <v>18</v>
      </c>
      <c r="I4">
        <v>3.125</v>
      </c>
      <c r="J4" t="s">
        <v>64</v>
      </c>
      <c r="N4" s="3">
        <f ca="1">TODAY()+2</f>
        <v>43337</v>
      </c>
      <c r="O4" s="3">
        <f ca="1">TODAY()+13</f>
        <v>43348</v>
      </c>
      <c r="AK4" s="2"/>
    </row>
    <row r="5" spans="1:64" x14ac:dyDescent="0.25">
      <c r="A5" t="s">
        <v>71</v>
      </c>
      <c r="C5" t="s">
        <v>72</v>
      </c>
      <c r="AK5" s="2"/>
    </row>
    <row r="6" spans="1:64" x14ac:dyDescent="0.25">
      <c r="A6" t="s">
        <v>73</v>
      </c>
      <c r="B6" t="s">
        <v>62</v>
      </c>
      <c r="C6" t="s">
        <v>72</v>
      </c>
      <c r="D6" t="s">
        <v>63</v>
      </c>
      <c r="H6">
        <v>180</v>
      </c>
      <c r="I6">
        <v>3.125</v>
      </c>
      <c r="J6" t="s">
        <v>64</v>
      </c>
      <c r="N6" s="3">
        <f ca="1">TODAY()</f>
        <v>43335</v>
      </c>
      <c r="O6" s="3">
        <f ca="1">TODAY()+16</f>
        <v>43351</v>
      </c>
      <c r="AK6" s="2"/>
    </row>
    <row r="7" spans="1:64" x14ac:dyDescent="0.25">
      <c r="A7" t="s">
        <v>75</v>
      </c>
      <c r="B7" t="s">
        <v>62</v>
      </c>
      <c r="C7" t="s">
        <v>72</v>
      </c>
      <c r="D7" t="s">
        <v>63</v>
      </c>
      <c r="H7">
        <v>18</v>
      </c>
      <c r="I7">
        <v>3.125</v>
      </c>
      <c r="J7" t="s">
        <v>64</v>
      </c>
      <c r="N7" s="3">
        <f ca="1">TODAY()</f>
        <v>43335</v>
      </c>
      <c r="O7" s="3">
        <f ca="1">TODAY()+17</f>
        <v>43352</v>
      </c>
      <c r="AK7" s="2"/>
    </row>
    <row r="8" spans="1:64" x14ac:dyDescent="0.25">
      <c r="A8" t="s">
        <v>82</v>
      </c>
      <c r="O8" s="3">
        <f ca="1">TODAY()+17</f>
        <v>43352</v>
      </c>
      <c r="AK8" s="2"/>
    </row>
    <row r="9" spans="1:64" x14ac:dyDescent="0.25">
      <c r="A9" t="s">
        <v>84</v>
      </c>
      <c r="C9" t="s">
        <v>72</v>
      </c>
      <c r="D9" t="s">
        <v>63</v>
      </c>
      <c r="H9">
        <v>12</v>
      </c>
      <c r="I9">
        <v>5</v>
      </c>
      <c r="N9" s="3">
        <v>42580</v>
      </c>
      <c r="O9" s="3">
        <v>42614</v>
      </c>
      <c r="AK9" s="2"/>
    </row>
    <row r="10" spans="1:64" x14ac:dyDescent="0.25">
      <c r="A10" t="s">
        <v>85</v>
      </c>
      <c r="C10" t="s">
        <v>72</v>
      </c>
      <c r="D10" t="s">
        <v>63</v>
      </c>
      <c r="H10">
        <v>12</v>
      </c>
      <c r="I10">
        <v>4</v>
      </c>
      <c r="O10" s="3">
        <f ca="1">TODAY()+60</f>
        <v>43395</v>
      </c>
      <c r="AK10" s="2"/>
    </row>
    <row r="11" spans="1:64" x14ac:dyDescent="0.25">
      <c r="A11" t="s">
        <v>86</v>
      </c>
      <c r="C11" t="s">
        <v>87</v>
      </c>
      <c r="D11" t="s">
        <v>63</v>
      </c>
      <c r="H11">
        <v>12</v>
      </c>
      <c r="I11">
        <v>4</v>
      </c>
      <c r="O11" s="3">
        <f ca="1">TODAY()+60</f>
        <v>43395</v>
      </c>
      <c r="AK11" s="2"/>
    </row>
    <row r="12" spans="1:64" x14ac:dyDescent="0.25">
      <c r="A12" t="s">
        <v>88</v>
      </c>
      <c r="D12" t="s">
        <v>63</v>
      </c>
      <c r="H12">
        <v>12</v>
      </c>
      <c r="I12">
        <v>4</v>
      </c>
      <c r="O12" s="3">
        <f ca="1">TODAY()+60</f>
        <v>43395</v>
      </c>
      <c r="AK12" s="2"/>
    </row>
    <row r="13" spans="1:64" x14ac:dyDescent="0.25">
      <c r="A13" t="s">
        <v>117</v>
      </c>
      <c r="AK13" s="2"/>
    </row>
    <row r="14" spans="1:64" x14ac:dyDescent="0.25">
      <c r="A14" t="s">
        <v>119</v>
      </c>
      <c r="E14">
        <v>18</v>
      </c>
      <c r="F14">
        <v>12</v>
      </c>
      <c r="G14">
        <v>10</v>
      </c>
      <c r="H14" t="s">
        <v>120</v>
      </c>
      <c r="AK14" s="2"/>
    </row>
    <row r="15" spans="1:64" x14ac:dyDescent="0.25">
      <c r="A15" t="s">
        <v>121</v>
      </c>
      <c r="B15" t="s">
        <v>62</v>
      </c>
      <c r="C15" t="s">
        <v>72</v>
      </c>
      <c r="D15" t="s">
        <v>63</v>
      </c>
      <c r="H15">
        <v>9</v>
      </c>
      <c r="I15">
        <v>4</v>
      </c>
      <c r="J15" t="s">
        <v>64</v>
      </c>
      <c r="K15">
        <v>500</v>
      </c>
      <c r="L15" s="9" t="s">
        <v>122</v>
      </c>
      <c r="N15" s="3">
        <v>42613</v>
      </c>
      <c r="O15" s="3">
        <v>42675</v>
      </c>
      <c r="Q15" s="3">
        <v>42948</v>
      </c>
      <c r="R15" s="3">
        <v>42947</v>
      </c>
      <c r="S15" s="10">
        <v>5000</v>
      </c>
      <c r="T15" s="3"/>
      <c r="AK15" s="2"/>
    </row>
    <row r="16" spans="1:64" x14ac:dyDescent="0.25">
      <c r="A16" s="11" t="s">
        <v>128</v>
      </c>
      <c r="H16">
        <v>6</v>
      </c>
      <c r="L16" s="9"/>
      <c r="N16" s="3"/>
      <c r="O16" s="3"/>
      <c r="Q16" s="3"/>
      <c r="R16" s="3"/>
      <c r="S16" s="10"/>
      <c r="T16" s="3"/>
      <c r="X16" t="str">
        <f>(H16-1) &amp;" mo. Interest Only, Fixed Rate "</f>
        <v xml:space="preserve">5 mo. Interest Only, Fixed Rate </v>
      </c>
      <c r="Y16" t="str">
        <f>(H16-1) &amp;" mo. Interest Only, 1 mo./1 mo. Adjustable Rate "</f>
        <v xml:space="preserve">5 mo. Interest Only, 1 mo./1 mo. Adjustable Rate </v>
      </c>
      <c r="AK16" s="2"/>
      <c r="BH16" s="6" t="s">
        <v>318</v>
      </c>
      <c r="BI16" s="6" t="s">
        <v>319</v>
      </c>
      <c r="BJ16" t="str">
        <f>(H16-1)&amp;" mo. Interest Only, 1"</f>
        <v>5 mo. Interest Only, 1</v>
      </c>
      <c r="BK16" t="s">
        <v>345</v>
      </c>
    </row>
    <row r="17" spans="1:63" x14ac:dyDescent="0.25">
      <c r="A17" s="11" t="s">
        <v>123</v>
      </c>
      <c r="H17">
        <v>12</v>
      </c>
      <c r="P17" s="11"/>
      <c r="Q17" s="11"/>
      <c r="X17" t="str">
        <f t="shared" ref="X17:X22" si="0">(H17-1) &amp;" mo. Interest Only, Fixed Rate "</f>
        <v xml:space="preserve">11 mo. Interest Only, Fixed Rate </v>
      </c>
      <c r="Y17" t="str">
        <f>(H17-1) &amp;" mo. Interest Only, 1 mo./1 mo. Adjustable Rate "</f>
        <v xml:space="preserve">11 mo. Interest Only, 1 mo./1 mo. Adjustable Rate </v>
      </c>
      <c r="AK17" s="2"/>
      <c r="BH17" s="6" t="s">
        <v>318</v>
      </c>
      <c r="BI17" s="6" t="s">
        <v>319</v>
      </c>
      <c r="BJ17" t="str">
        <f t="shared" ref="BJ17:BJ23" si="1">(H17-1)&amp;" mo. Interest Only, 1"</f>
        <v>11 mo. Interest Only, 1</v>
      </c>
      <c r="BK17" t="s">
        <v>345</v>
      </c>
    </row>
    <row r="18" spans="1:63" x14ac:dyDescent="0.25">
      <c r="A18" s="11" t="s">
        <v>124</v>
      </c>
      <c r="H18">
        <v>13</v>
      </c>
      <c r="X18" t="s">
        <v>342</v>
      </c>
      <c r="Y18" t="s">
        <v>135</v>
      </c>
      <c r="AK18" s="2"/>
      <c r="BH18" s="6" t="s">
        <v>318</v>
      </c>
      <c r="BI18" s="6" t="s">
        <v>319</v>
      </c>
      <c r="BJ18" t="str">
        <f t="shared" si="1"/>
        <v>12 mo. Interest Only, 1</v>
      </c>
      <c r="BK18" t="s">
        <v>345</v>
      </c>
    </row>
    <row r="19" spans="1:63" x14ac:dyDescent="0.25">
      <c r="A19" s="11" t="s">
        <v>125</v>
      </c>
      <c r="H19">
        <v>14</v>
      </c>
      <c r="X19" t="str">
        <f t="shared" si="0"/>
        <v xml:space="preserve">13 mo. Interest Only, Fixed Rate </v>
      </c>
      <c r="Y19" t="str">
        <f t="shared" ref="Y19:Y24" si="2">(H19-1) &amp;" mo. Interest Only, 1 mo./1 mo. Adjustable Rate "</f>
        <v xml:space="preserve">13 mo. Interest Only, 1 mo./1 mo. Adjustable Rate </v>
      </c>
      <c r="AK19" s="2"/>
      <c r="BH19" s="6" t="s">
        <v>318</v>
      </c>
      <c r="BI19" s="6" t="s">
        <v>319</v>
      </c>
      <c r="BJ19" t="str">
        <f t="shared" si="1"/>
        <v>13 mo. Interest Only, 1</v>
      </c>
      <c r="BK19" t="s">
        <v>345</v>
      </c>
    </row>
    <row r="20" spans="1:63" x14ac:dyDescent="0.25">
      <c r="A20" s="11" t="s">
        <v>131</v>
      </c>
      <c r="H20">
        <v>15</v>
      </c>
      <c r="X20" t="str">
        <f t="shared" si="0"/>
        <v xml:space="preserve">14 mo. Interest Only, Fixed Rate </v>
      </c>
      <c r="Y20" t="str">
        <f t="shared" si="2"/>
        <v xml:space="preserve">14 mo. Interest Only, 1 mo./1 mo. Adjustable Rate </v>
      </c>
      <c r="AK20" s="2"/>
      <c r="BH20" s="6" t="s">
        <v>318</v>
      </c>
      <c r="BI20" s="6" t="s">
        <v>319</v>
      </c>
      <c r="BJ20" t="str">
        <f t="shared" si="1"/>
        <v>14 mo. Interest Only, 1</v>
      </c>
      <c r="BK20" t="s">
        <v>345</v>
      </c>
    </row>
    <row r="21" spans="1:63" x14ac:dyDescent="0.25">
      <c r="A21" s="11" t="s">
        <v>132</v>
      </c>
      <c r="H21">
        <v>17</v>
      </c>
      <c r="X21" t="str">
        <f t="shared" si="0"/>
        <v xml:space="preserve">16 mo. Interest Only, Fixed Rate </v>
      </c>
      <c r="Y21" t="str">
        <f t="shared" si="2"/>
        <v xml:space="preserve">16 mo. Interest Only, 1 mo./1 mo. Adjustable Rate </v>
      </c>
      <c r="AK21" s="2"/>
      <c r="BH21" s="6" t="s">
        <v>318</v>
      </c>
      <c r="BI21" s="6" t="s">
        <v>319</v>
      </c>
      <c r="BJ21" t="str">
        <f t="shared" si="1"/>
        <v>16 mo. Interest Only, 1</v>
      </c>
      <c r="BK21" t="s">
        <v>345</v>
      </c>
    </row>
    <row r="22" spans="1:63" x14ac:dyDescent="0.25">
      <c r="A22" s="11" t="s">
        <v>126</v>
      </c>
      <c r="H22">
        <v>24</v>
      </c>
      <c r="X22" t="str">
        <f t="shared" si="0"/>
        <v xml:space="preserve">23 mo. Interest Only, Fixed Rate </v>
      </c>
      <c r="Y22" t="str">
        <f t="shared" si="2"/>
        <v xml:space="preserve">23 mo. Interest Only, 1 mo./1 mo. Adjustable Rate </v>
      </c>
      <c r="AK22" s="2"/>
      <c r="BH22" s="6" t="s">
        <v>318</v>
      </c>
      <c r="BI22" s="6" t="s">
        <v>319</v>
      </c>
      <c r="BJ22" t="str">
        <f t="shared" si="1"/>
        <v>23 mo. Interest Only, 1</v>
      </c>
      <c r="BK22" t="s">
        <v>345</v>
      </c>
    </row>
    <row r="23" spans="1:63" x14ac:dyDescent="0.25">
      <c r="A23" s="11" t="s">
        <v>127</v>
      </c>
      <c r="H23">
        <v>25</v>
      </c>
      <c r="X23" t="s">
        <v>338</v>
      </c>
      <c r="Y23" t="str">
        <f t="shared" si="2"/>
        <v xml:space="preserve">24 mo. Interest Only, 1 mo./1 mo. Adjustable Rate </v>
      </c>
      <c r="AK23" s="2"/>
      <c r="BH23" s="6" t="s">
        <v>318</v>
      </c>
      <c r="BI23" s="6" t="s">
        <v>319</v>
      </c>
      <c r="BJ23" t="str">
        <f t="shared" si="1"/>
        <v>24 mo. Interest Only, 1</v>
      </c>
      <c r="BK23" t="s">
        <v>345</v>
      </c>
    </row>
    <row r="24" spans="1:63" x14ac:dyDescent="0.25">
      <c r="A24" s="11" t="s">
        <v>130</v>
      </c>
      <c r="Y24" t="str">
        <f t="shared" si="2"/>
        <v xml:space="preserve">-1 mo. Interest Only, 1 mo./1 mo. Adjustable Rate </v>
      </c>
      <c r="AK24" s="2"/>
    </row>
    <row r="25" spans="1:63" x14ac:dyDescent="0.25">
      <c r="A25" t="s">
        <v>144</v>
      </c>
      <c r="C25" t="s">
        <v>72</v>
      </c>
      <c r="H25">
        <v>10</v>
      </c>
      <c r="I25">
        <v>4</v>
      </c>
      <c r="Z25">
        <v>100000</v>
      </c>
      <c r="AA25">
        <v>536.82000000000005</v>
      </c>
      <c r="AB25">
        <v>166.67</v>
      </c>
      <c r="AC25">
        <v>333.33</v>
      </c>
      <c r="AK25" s="2"/>
    </row>
    <row r="26" spans="1:63" x14ac:dyDescent="0.25">
      <c r="A26" t="s">
        <v>145</v>
      </c>
      <c r="C26" t="s">
        <v>72</v>
      </c>
      <c r="H26">
        <v>10</v>
      </c>
      <c r="I26">
        <v>4</v>
      </c>
      <c r="Z26">
        <v>100000</v>
      </c>
      <c r="AA26">
        <v>536.82000000000005</v>
      </c>
      <c r="AB26">
        <v>166.67</v>
      </c>
      <c r="AC26">
        <v>333.33</v>
      </c>
      <c r="AD26" t="s">
        <v>87</v>
      </c>
      <c r="AK26" s="2"/>
    </row>
    <row r="27" spans="1:63" x14ac:dyDescent="0.25">
      <c r="A27" t="s">
        <v>194</v>
      </c>
      <c r="D27" t="s">
        <v>63</v>
      </c>
      <c r="O27" s="3" t="str">
        <f ca="1">MONTH(TODAY()+60)+1&amp;"/1/"&amp;YEAR(TODAY())</f>
        <v>11/1/2018</v>
      </c>
      <c r="AK27" s="2"/>
    </row>
    <row r="28" spans="1:63" x14ac:dyDescent="0.25">
      <c r="A28" t="s">
        <v>320</v>
      </c>
      <c r="O28" s="3" t="str">
        <f ca="1">MONTH(TODAY()+90)+1&amp;"/1/"&amp;YEAR(TODAY())</f>
        <v>12/1/2018</v>
      </c>
      <c r="AK28" s="2"/>
    </row>
    <row r="29" spans="1:63" x14ac:dyDescent="0.25">
      <c r="A29" t="s">
        <v>310</v>
      </c>
      <c r="O29" s="3" t="str">
        <f ca="1">MONTH(TODAY()+90)+1&amp;"/1/"&amp;YEAR(TODAY())</f>
        <v>12/1/2018</v>
      </c>
      <c r="AK29" s="2"/>
    </row>
    <row r="30" spans="1:63" x14ac:dyDescent="0.25">
      <c r="A30" s="15" t="s">
        <v>188</v>
      </c>
      <c r="B30" t="s">
        <v>62</v>
      </c>
      <c r="C30" t="s">
        <v>72</v>
      </c>
      <c r="D30" t="s">
        <v>63</v>
      </c>
      <c r="H30">
        <v>9</v>
      </c>
      <c r="I30">
        <v>4</v>
      </c>
      <c r="J30" t="s">
        <v>64</v>
      </c>
      <c r="K30">
        <v>500</v>
      </c>
      <c r="L30" s="9" t="s">
        <v>122</v>
      </c>
      <c r="N30" s="3">
        <v>42613</v>
      </c>
      <c r="O30" s="3">
        <v>42675</v>
      </c>
      <c r="Q30" s="3">
        <v>42948</v>
      </c>
      <c r="R30" s="3">
        <v>42947</v>
      </c>
      <c r="S30" s="10">
        <v>5000</v>
      </c>
      <c r="AE30">
        <v>18</v>
      </c>
      <c r="AK30" s="2"/>
    </row>
    <row r="31" spans="1:63" x14ac:dyDescent="0.25">
      <c r="A31" s="15" t="s">
        <v>189</v>
      </c>
      <c r="C31" t="s">
        <v>87</v>
      </c>
      <c r="H31">
        <v>12</v>
      </c>
      <c r="AK31" s="2"/>
    </row>
    <row r="32" spans="1:63" x14ac:dyDescent="0.25">
      <c r="A32" s="15" t="s">
        <v>190</v>
      </c>
      <c r="B32" t="s">
        <v>62</v>
      </c>
      <c r="C32" t="s">
        <v>72</v>
      </c>
      <c r="D32" t="s">
        <v>63</v>
      </c>
      <c r="H32">
        <v>9</v>
      </c>
      <c r="I32">
        <v>6</v>
      </c>
      <c r="J32" t="s">
        <v>64</v>
      </c>
      <c r="K32">
        <v>500</v>
      </c>
      <c r="L32" s="9" t="s">
        <v>122</v>
      </c>
      <c r="N32" s="3">
        <v>42613</v>
      </c>
      <c r="O32" s="3">
        <v>42675</v>
      </c>
      <c r="Q32" s="3">
        <v>42948</v>
      </c>
      <c r="R32" s="3">
        <v>42947</v>
      </c>
      <c r="S32" s="10">
        <v>5000</v>
      </c>
      <c r="AK32" s="2"/>
    </row>
    <row r="33" spans="1:50" x14ac:dyDescent="0.25">
      <c r="A33" s="15" t="s">
        <v>192</v>
      </c>
      <c r="I33">
        <v>4</v>
      </c>
      <c r="AK33" s="2"/>
    </row>
    <row r="34" spans="1:50" x14ac:dyDescent="0.25">
      <c r="A34" s="6" t="s">
        <v>195</v>
      </c>
      <c r="AK34" s="2"/>
    </row>
    <row r="35" spans="1:50" x14ac:dyDescent="0.25">
      <c r="A35" s="6" t="s">
        <v>199</v>
      </c>
      <c r="AF35" t="s">
        <v>201</v>
      </c>
      <c r="AK35" s="2"/>
    </row>
    <row r="36" spans="1:50" x14ac:dyDescent="0.25">
      <c r="A36" s="16" t="s">
        <v>202</v>
      </c>
      <c r="B36" t="s">
        <v>62</v>
      </c>
      <c r="AK36" s="2"/>
    </row>
    <row r="37" spans="1:50" x14ac:dyDescent="0.25">
      <c r="A37" s="6" t="s">
        <v>206</v>
      </c>
      <c r="B37" t="s">
        <v>62</v>
      </c>
      <c r="AK37" s="2"/>
    </row>
    <row r="38" spans="1:50" x14ac:dyDescent="0.25">
      <c r="A38" s="6" t="s">
        <v>207</v>
      </c>
      <c r="B38" t="s">
        <v>62</v>
      </c>
      <c r="AG38" t="s">
        <v>211</v>
      </c>
      <c r="AK38" s="2"/>
    </row>
    <row r="39" spans="1:50" x14ac:dyDescent="0.25">
      <c r="A39" t="s">
        <v>222</v>
      </c>
      <c r="AK39" s="2"/>
    </row>
    <row r="40" spans="1:50" x14ac:dyDescent="0.25">
      <c r="A40" s="18" t="s">
        <v>223</v>
      </c>
      <c r="B40" t="s">
        <v>62</v>
      </c>
      <c r="D40" t="s">
        <v>63</v>
      </c>
      <c r="H40">
        <v>9</v>
      </c>
      <c r="I40">
        <v>4</v>
      </c>
      <c r="J40" t="s">
        <v>64</v>
      </c>
      <c r="K40">
        <v>500</v>
      </c>
      <c r="L40" t="s">
        <v>122</v>
      </c>
      <c r="N40" s="3">
        <v>42613</v>
      </c>
      <c r="O40" s="3">
        <v>42675</v>
      </c>
      <c r="Q40" s="3">
        <v>42583</v>
      </c>
      <c r="R40" s="3">
        <v>42947</v>
      </c>
      <c r="S40" s="10">
        <v>5000</v>
      </c>
      <c r="AK40" s="2"/>
      <c r="AT40" t="s">
        <v>241</v>
      </c>
      <c r="AU40" t="s">
        <v>243</v>
      </c>
    </row>
    <row r="41" spans="1:50" x14ac:dyDescent="0.25">
      <c r="A41" s="18" t="s">
        <v>224</v>
      </c>
      <c r="C41" t="s">
        <v>72</v>
      </c>
      <c r="F41">
        <v>12</v>
      </c>
      <c r="G41">
        <v>9</v>
      </c>
      <c r="H41">
        <v>12</v>
      </c>
      <c r="AE41">
        <v>18</v>
      </c>
      <c r="AH41">
        <v>10</v>
      </c>
      <c r="AI41">
        <v>2</v>
      </c>
      <c r="AK41" s="2"/>
      <c r="AT41" t="s">
        <v>241</v>
      </c>
      <c r="AU41" t="s">
        <v>243</v>
      </c>
      <c r="AX41" t="s">
        <v>87</v>
      </c>
    </row>
    <row r="42" spans="1:50" x14ac:dyDescent="0.25">
      <c r="A42" s="18" t="s">
        <v>227</v>
      </c>
      <c r="B42" t="s">
        <v>62</v>
      </c>
      <c r="C42" t="s">
        <v>72</v>
      </c>
      <c r="D42" t="s">
        <v>63</v>
      </c>
      <c r="H42">
        <v>9</v>
      </c>
      <c r="I42">
        <v>6</v>
      </c>
      <c r="J42" t="s">
        <v>64</v>
      </c>
      <c r="K42">
        <v>500</v>
      </c>
      <c r="L42" t="s">
        <v>122</v>
      </c>
      <c r="N42" s="3">
        <v>42613</v>
      </c>
      <c r="O42" s="3">
        <v>42675</v>
      </c>
      <c r="Q42" s="3">
        <v>42583</v>
      </c>
      <c r="R42" s="3">
        <v>42947</v>
      </c>
      <c r="S42" s="10">
        <v>5000</v>
      </c>
      <c r="AK42" s="2"/>
      <c r="AT42" t="s">
        <v>241</v>
      </c>
      <c r="AU42" t="s">
        <v>243</v>
      </c>
      <c r="AX42" t="s">
        <v>87</v>
      </c>
    </row>
    <row r="43" spans="1:50" x14ac:dyDescent="0.25">
      <c r="A43" s="18" t="s">
        <v>228</v>
      </c>
      <c r="C43" t="s">
        <v>87</v>
      </c>
      <c r="F43">
        <v>12</v>
      </c>
      <c r="G43">
        <v>9</v>
      </c>
      <c r="H43" t="s">
        <v>230</v>
      </c>
      <c r="I43">
        <v>4</v>
      </c>
      <c r="AA43">
        <v>169.17</v>
      </c>
      <c r="AD43" t="s">
        <v>87</v>
      </c>
      <c r="AH43">
        <v>10</v>
      </c>
      <c r="AI43">
        <v>3</v>
      </c>
      <c r="AJ43">
        <v>18</v>
      </c>
      <c r="AK43" s="2">
        <v>3</v>
      </c>
      <c r="AL43">
        <v>477</v>
      </c>
      <c r="AM43">
        <v>169.17</v>
      </c>
      <c r="AN43">
        <v>170</v>
      </c>
      <c r="AO43">
        <v>171.39</v>
      </c>
      <c r="AP43">
        <v>173.33</v>
      </c>
      <c r="AQ43">
        <v>333.33</v>
      </c>
      <c r="AT43" t="s">
        <v>241</v>
      </c>
      <c r="AU43" t="s">
        <v>243</v>
      </c>
      <c r="AX43" t="s">
        <v>87</v>
      </c>
    </row>
    <row r="44" spans="1:50" x14ac:dyDescent="0.25">
      <c r="A44" s="18" t="s">
        <v>236</v>
      </c>
      <c r="B44" t="s">
        <v>62</v>
      </c>
      <c r="C44" t="s">
        <v>72</v>
      </c>
      <c r="D44" t="s">
        <v>63</v>
      </c>
      <c r="I44">
        <v>6</v>
      </c>
      <c r="J44" t="s">
        <v>64</v>
      </c>
      <c r="K44">
        <v>500</v>
      </c>
      <c r="L44" t="s">
        <v>122</v>
      </c>
      <c r="N44" s="3">
        <v>42613</v>
      </c>
      <c r="O44" s="3">
        <v>42675</v>
      </c>
      <c r="Q44" s="3">
        <v>42583</v>
      </c>
      <c r="R44" s="3">
        <v>42947</v>
      </c>
      <c r="S44" s="10">
        <v>5000</v>
      </c>
      <c r="AK44" s="2"/>
      <c r="AT44" t="s">
        <v>241</v>
      </c>
      <c r="AU44" t="s">
        <v>243</v>
      </c>
    </row>
    <row r="45" spans="1:50" x14ac:dyDescent="0.25">
      <c r="A45" s="18" t="s">
        <v>237</v>
      </c>
      <c r="H45" t="s">
        <v>244</v>
      </c>
      <c r="AA45">
        <v>250</v>
      </c>
      <c r="AB45">
        <v>500</v>
      </c>
      <c r="AH45">
        <v>10</v>
      </c>
      <c r="AI45">
        <v>2</v>
      </c>
      <c r="AJ45">
        <v>18</v>
      </c>
      <c r="AK45" s="2">
        <v>3</v>
      </c>
      <c r="AM45">
        <v>255.63</v>
      </c>
      <c r="AN45">
        <v>257.5</v>
      </c>
      <c r="AO45">
        <v>260.63</v>
      </c>
      <c r="AP45">
        <v>265</v>
      </c>
      <c r="AS45" t="s">
        <v>239</v>
      </c>
      <c r="AT45" t="s">
        <v>241</v>
      </c>
      <c r="AU45" t="s">
        <v>243</v>
      </c>
      <c r="AX45" t="s">
        <v>87</v>
      </c>
    </row>
    <row r="46" spans="1:50" x14ac:dyDescent="0.25">
      <c r="A46" s="18" t="s">
        <v>245</v>
      </c>
      <c r="B46" t="s">
        <v>62</v>
      </c>
      <c r="C46" t="s">
        <v>72</v>
      </c>
      <c r="D46" t="s">
        <v>63</v>
      </c>
      <c r="I46">
        <v>6</v>
      </c>
      <c r="J46" t="s">
        <v>64</v>
      </c>
      <c r="K46">
        <v>500</v>
      </c>
      <c r="L46" t="s">
        <v>122</v>
      </c>
      <c r="N46" s="3">
        <v>42613</v>
      </c>
      <c r="O46" s="3">
        <v>42675</v>
      </c>
      <c r="Q46" s="3">
        <v>42583</v>
      </c>
      <c r="R46" s="3">
        <v>42947</v>
      </c>
      <c r="S46" s="10">
        <v>5000</v>
      </c>
      <c r="AE46">
        <v>18</v>
      </c>
      <c r="AK46" s="2"/>
      <c r="AT46" t="s">
        <v>241</v>
      </c>
      <c r="AU46" t="s">
        <v>243</v>
      </c>
    </row>
    <row r="47" spans="1:50" x14ac:dyDescent="0.25">
      <c r="A47" s="18" t="s">
        <v>246</v>
      </c>
      <c r="AK47" s="2"/>
      <c r="AT47" t="s">
        <v>241</v>
      </c>
      <c r="AU47" t="s">
        <v>243</v>
      </c>
      <c r="AV47" t="s">
        <v>248</v>
      </c>
      <c r="AW47" t="s">
        <v>265</v>
      </c>
    </row>
    <row r="48" spans="1:50" x14ac:dyDescent="0.25">
      <c r="A48" s="18" t="s">
        <v>250</v>
      </c>
      <c r="B48" t="s">
        <v>62</v>
      </c>
      <c r="C48" t="s">
        <v>72</v>
      </c>
      <c r="D48" t="s">
        <v>63</v>
      </c>
      <c r="H48">
        <v>9</v>
      </c>
      <c r="I48">
        <v>6</v>
      </c>
      <c r="J48" t="s">
        <v>64</v>
      </c>
      <c r="K48">
        <v>500</v>
      </c>
      <c r="L48" t="s">
        <v>122</v>
      </c>
      <c r="N48" s="3">
        <v>42613</v>
      </c>
      <c r="O48" s="3">
        <v>42675</v>
      </c>
      <c r="Q48" s="3">
        <v>42583</v>
      </c>
      <c r="R48" s="3">
        <v>42947</v>
      </c>
      <c r="S48" s="10">
        <v>5000</v>
      </c>
      <c r="AE48">
        <v>18</v>
      </c>
      <c r="AK48" s="2"/>
      <c r="AT48" t="s">
        <v>241</v>
      </c>
      <c r="AU48" t="s">
        <v>243</v>
      </c>
    </row>
    <row r="49" spans="1:63" x14ac:dyDescent="0.25">
      <c r="A49" s="18" t="s">
        <v>251</v>
      </c>
      <c r="H49" t="s">
        <v>252</v>
      </c>
      <c r="AH49">
        <v>10</v>
      </c>
      <c r="AI49">
        <v>2</v>
      </c>
      <c r="AJ49">
        <v>18</v>
      </c>
      <c r="AK49" s="2">
        <v>3</v>
      </c>
      <c r="AT49" t="s">
        <v>241</v>
      </c>
      <c r="AU49" t="s">
        <v>243</v>
      </c>
    </row>
    <row r="50" spans="1:63" x14ac:dyDescent="0.25">
      <c r="A50" s="18" t="s">
        <v>253</v>
      </c>
      <c r="B50" t="s">
        <v>62</v>
      </c>
      <c r="C50" t="s">
        <v>72</v>
      </c>
      <c r="D50" t="s">
        <v>63</v>
      </c>
      <c r="H50">
        <v>9</v>
      </c>
      <c r="I50">
        <v>6</v>
      </c>
      <c r="J50" t="s">
        <v>64</v>
      </c>
      <c r="K50">
        <v>500</v>
      </c>
      <c r="L50" t="s">
        <v>122</v>
      </c>
      <c r="N50" s="3">
        <v>42613</v>
      </c>
      <c r="O50" s="3">
        <v>42675</v>
      </c>
      <c r="Q50" s="3">
        <v>42583</v>
      </c>
      <c r="R50" s="3">
        <v>42947</v>
      </c>
      <c r="S50" s="10">
        <v>5000</v>
      </c>
      <c r="AE50">
        <v>18</v>
      </c>
      <c r="AK50" s="2"/>
      <c r="AT50" t="s">
        <v>241</v>
      </c>
      <c r="AU50" t="s">
        <v>243</v>
      </c>
      <c r="AZ50" t="s">
        <v>122</v>
      </c>
    </row>
    <row r="51" spans="1:63" x14ac:dyDescent="0.25">
      <c r="A51" t="s">
        <v>256</v>
      </c>
      <c r="C51" t="s">
        <v>87</v>
      </c>
      <c r="AH51">
        <v>8</v>
      </c>
      <c r="AI51">
        <v>10</v>
      </c>
      <c r="AK51" s="2"/>
      <c r="AL51">
        <v>786</v>
      </c>
      <c r="AR51">
        <v>764</v>
      </c>
      <c r="AT51" t="s">
        <v>241</v>
      </c>
      <c r="AU51" t="s">
        <v>243</v>
      </c>
      <c r="AY51">
        <v>60</v>
      </c>
      <c r="AZ51" t="s">
        <v>260</v>
      </c>
      <c r="BB51">
        <v>761</v>
      </c>
      <c r="BC51">
        <v>741</v>
      </c>
    </row>
    <row r="52" spans="1:63" x14ac:dyDescent="0.25">
      <c r="A52" s="18" t="s">
        <v>257</v>
      </c>
      <c r="B52" t="s">
        <v>62</v>
      </c>
      <c r="C52" t="s">
        <v>72</v>
      </c>
      <c r="D52" t="s">
        <v>63</v>
      </c>
      <c r="H52">
        <v>9</v>
      </c>
      <c r="I52">
        <v>6</v>
      </c>
      <c r="J52" t="s">
        <v>64</v>
      </c>
      <c r="K52">
        <v>500</v>
      </c>
      <c r="L52" t="s">
        <v>122</v>
      </c>
      <c r="N52" s="3">
        <v>42613</v>
      </c>
      <c r="O52" s="3">
        <v>42675</v>
      </c>
      <c r="Q52" s="3">
        <v>42583</v>
      </c>
      <c r="R52" s="3">
        <v>42947</v>
      </c>
      <c r="S52" s="10">
        <v>5000</v>
      </c>
      <c r="AE52">
        <v>18</v>
      </c>
      <c r="AK52" s="2"/>
      <c r="AT52" t="s">
        <v>241</v>
      </c>
      <c r="AU52" t="s">
        <v>243</v>
      </c>
    </row>
    <row r="53" spans="1:63" x14ac:dyDescent="0.25">
      <c r="A53" s="18" t="s">
        <v>258</v>
      </c>
      <c r="AK53" s="2"/>
      <c r="AT53" t="s">
        <v>241</v>
      </c>
      <c r="AU53" t="s">
        <v>243</v>
      </c>
      <c r="AV53" t="s">
        <v>248</v>
      </c>
      <c r="AW53" t="s">
        <v>265</v>
      </c>
    </row>
    <row r="54" spans="1:63" x14ac:dyDescent="0.25">
      <c r="A54" t="s">
        <v>266</v>
      </c>
      <c r="D54" t="s">
        <v>63</v>
      </c>
      <c r="AK54" s="2"/>
    </row>
    <row r="55" spans="1:63" x14ac:dyDescent="0.25">
      <c r="A55" t="s">
        <v>323</v>
      </c>
      <c r="D55" t="s">
        <v>63</v>
      </c>
      <c r="N55" s="3">
        <f ca="1">TODAY()+90</f>
        <v>43425</v>
      </c>
      <c r="O55" s="3">
        <f ca="1">TODAY()+95</f>
        <v>43430</v>
      </c>
      <c r="AK55" s="2"/>
    </row>
    <row r="56" spans="1:63" x14ac:dyDescent="0.25">
      <c r="A56" s="20" t="s">
        <v>272</v>
      </c>
      <c r="B56" t="s">
        <v>62</v>
      </c>
      <c r="AK56" s="2"/>
      <c r="BA56">
        <v>3</v>
      </c>
      <c r="BB56">
        <v>360</v>
      </c>
    </row>
    <row r="57" spans="1:63" x14ac:dyDescent="0.25">
      <c r="A57" s="20" t="s">
        <v>273</v>
      </c>
      <c r="B57" t="s">
        <v>62</v>
      </c>
      <c r="AK57" s="2"/>
    </row>
    <row r="58" spans="1:63" x14ac:dyDescent="0.25">
      <c r="A58" s="6" t="s">
        <v>304</v>
      </c>
      <c r="AK58" s="2"/>
      <c r="BD58" t="str">
        <f>TEXT(1041.67,"#,##0.00")</f>
        <v>1,041.67</v>
      </c>
      <c r="BE58" t="str">
        <f>TEXT(501041.67,"#,##0.00")</f>
        <v>501,041.67</v>
      </c>
      <c r="BF58" s="13" t="str">
        <f>TEXT(12539,"#,##0.00")</f>
        <v>12,539.00</v>
      </c>
    </row>
    <row r="59" spans="1:63" x14ac:dyDescent="0.25">
      <c r="A59" s="6" t="s">
        <v>305</v>
      </c>
      <c r="D59" t="s">
        <v>307</v>
      </c>
      <c r="H59">
        <v>12</v>
      </c>
      <c r="AK59" s="2"/>
      <c r="BD59" t="str">
        <f>TEXT(1050.23,"#,##0.00")</f>
        <v>1,050.23</v>
      </c>
      <c r="BE59" t="str">
        <f>TEXT(501050.23,"#,##0.00")</f>
        <v>501,050.23</v>
      </c>
      <c r="BG59" s="13" t="str">
        <f>TEXT(12602.74,"#,##0.00")</f>
        <v>12,602.74</v>
      </c>
    </row>
    <row r="60" spans="1:63" x14ac:dyDescent="0.25">
      <c r="A60" s="6" t="s">
        <v>306</v>
      </c>
      <c r="D60" t="s">
        <v>308</v>
      </c>
      <c r="H60">
        <v>12</v>
      </c>
      <c r="AK60" s="2"/>
      <c r="BD60" t="str">
        <f>TEXT(1064.82,"#,##0.00")</f>
        <v>1,064.82</v>
      </c>
      <c r="BE60" t="str">
        <f>TEXT(501064.82,"#,##0.00")</f>
        <v>501,064.82</v>
      </c>
      <c r="BG60" t="str">
        <f>TEXT(12777.78,"#,##0.00")</f>
        <v>12,777.78</v>
      </c>
    </row>
    <row r="61" spans="1:63" x14ac:dyDescent="0.25">
      <c r="A61" s="6" t="s">
        <v>324</v>
      </c>
    </row>
    <row r="62" spans="1:63" x14ac:dyDescent="0.25">
      <c r="A62" s="6" t="s">
        <v>325</v>
      </c>
      <c r="O62" s="3">
        <f ca="1">TODAY()+95</f>
        <v>43430</v>
      </c>
    </row>
    <row r="63" spans="1:63" x14ac:dyDescent="0.25">
      <c r="A63" s="6" t="s">
        <v>333</v>
      </c>
      <c r="F63">
        <v>12</v>
      </c>
      <c r="H63">
        <v>12</v>
      </c>
      <c r="I63">
        <v>4</v>
      </c>
    </row>
    <row r="64" spans="1:63" x14ac:dyDescent="0.25">
      <c r="A64" s="11" t="s">
        <v>340</v>
      </c>
      <c r="H64">
        <v>15</v>
      </c>
      <c r="Y64" t="str">
        <f>(H64-1) &amp;" mo. Interest Only, 2 mo./1 mo. Adjustable Rate "</f>
        <v xml:space="preserve">14 mo. Interest Only, 2 mo./1 mo. Adjustable Rate </v>
      </c>
      <c r="BH64" s="6" t="s">
        <v>318</v>
      </c>
      <c r="BI64" s="6" t="s">
        <v>319</v>
      </c>
      <c r="BJ64" t="str">
        <f>(H64-1)&amp;" mo. Interest Only, 1"</f>
        <v>14 mo. Interest Only, 1</v>
      </c>
      <c r="BK64" t="s">
        <v>345</v>
      </c>
    </row>
    <row r="65" spans="1:64" x14ac:dyDescent="0.25">
      <c r="A65" s="11" t="s">
        <v>341</v>
      </c>
      <c r="H65">
        <v>17</v>
      </c>
      <c r="Y65" t="str">
        <f>(H65-1) &amp;" mo. Interest Only, 3 mo./2 mo. Adjustable Rate "</f>
        <v xml:space="preserve">16 mo. Interest Only, 3 mo./2 mo. Adjustable Rate </v>
      </c>
      <c r="BH65" s="6" t="s">
        <v>318</v>
      </c>
      <c r="BI65" s="6" t="s">
        <v>319</v>
      </c>
      <c r="BJ65" t="str">
        <f t="shared" ref="BJ65" si="3">(H65-1)&amp;" mo. Interest Only, 1"</f>
        <v>16 mo. Interest Only, 1</v>
      </c>
      <c r="BK65" t="s">
        <v>345</v>
      </c>
    </row>
    <row r="66" spans="1:64" x14ac:dyDescent="0.25">
      <c r="A66" s="11" t="s">
        <v>347</v>
      </c>
      <c r="H66">
        <v>6</v>
      </c>
      <c r="Y66" t="str">
        <f>(H66-1) &amp;" mo. Interest Only, 12 mo./1 mo. Adjustable Rate "</f>
        <v xml:space="preserve">5 mo. Interest Only, 12 mo./1 mo. Adjustable Rate </v>
      </c>
      <c r="BH66" s="6" t="s">
        <v>318</v>
      </c>
      <c r="BI66" s="6" t="s">
        <v>319</v>
      </c>
      <c r="BJ66" t="str">
        <f>(H66-1)&amp;" mo. Interest Only, 1"</f>
        <v>5 mo. Interest Only, 1</v>
      </c>
      <c r="BK66" t="s">
        <v>345</v>
      </c>
    </row>
    <row r="67" spans="1:64" x14ac:dyDescent="0.25">
      <c r="A67" s="11" t="s">
        <v>133</v>
      </c>
    </row>
    <row r="68" spans="1:64" x14ac:dyDescent="0.25">
      <c r="A68" s="6" t="s">
        <v>346</v>
      </c>
      <c r="O68" s="3"/>
      <c r="BL68">
        <v>365</v>
      </c>
    </row>
    <row r="69" spans="1:64" x14ac:dyDescent="0.25">
      <c r="A69" s="6" t="s">
        <v>354</v>
      </c>
      <c r="O69" s="3">
        <f ca="1">TODAY()</f>
        <v>43335</v>
      </c>
    </row>
    <row r="70" spans="1:64" x14ac:dyDescent="0.25">
      <c r="A70" s="6" t="s">
        <v>401</v>
      </c>
      <c r="O70" s="3">
        <f ca="1">TODAY()</f>
        <v>43335</v>
      </c>
      <c r="BL70">
        <v>365</v>
      </c>
    </row>
    <row r="71" spans="1:64" x14ac:dyDescent="0.25">
      <c r="A71" s="6" t="s">
        <v>402</v>
      </c>
      <c r="O71" s="3">
        <f ca="1">TODAY()+42</f>
        <v>43377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abSelected="1" topLeftCell="L1" workbookViewId="0">
      <selection activeCell="R2" sqref="R2"/>
    </sheetView>
  </sheetViews>
  <sheetFormatPr defaultRowHeight="15" x14ac:dyDescent="0.25"/>
  <cols>
    <col min="1" max="1" width="39.5703125" bestFit="1" customWidth="1"/>
    <col min="2" max="2" width="16.7109375" bestFit="1" customWidth="1"/>
    <col min="3" max="3" width="14.140625" bestFit="1" customWidth="1"/>
    <col min="4" max="4" width="16" bestFit="1" customWidth="1"/>
    <col min="5" max="5" width="20.28515625" bestFit="1" customWidth="1"/>
    <col min="6" max="6" width="19.42578125" bestFit="1" customWidth="1"/>
    <col min="7" max="7" width="21.7109375" bestFit="1" customWidth="1"/>
    <col min="8" max="8" width="9.42578125" bestFit="1" customWidth="1"/>
    <col min="9" max="9" width="11.140625" bestFit="1" customWidth="1"/>
    <col min="10" max="10" width="17.42578125" bestFit="1" customWidth="1"/>
    <col min="11" max="11" width="9.42578125" bestFit="1" customWidth="1"/>
    <col min="12" max="12" width="18" bestFit="1" customWidth="1"/>
    <col min="13" max="13" width="21.140625" bestFit="1" customWidth="1"/>
    <col min="14" max="14" width="17.42578125" bestFit="1" customWidth="1"/>
    <col min="15" max="15" width="18.42578125" bestFit="1" customWidth="1"/>
    <col min="16" max="16" width="19.5703125" bestFit="1" customWidth="1"/>
    <col min="17" max="17" width="17.28515625" bestFit="1" customWidth="1"/>
    <col min="18" max="18" width="22.5703125" bestFit="1" customWidth="1"/>
    <col min="19" max="19" width="16.140625" bestFit="1" customWidth="1"/>
    <col min="20" max="20" width="17.28515625" bestFit="1" customWidth="1"/>
    <col min="21" max="21" width="20.5703125" bestFit="1" customWidth="1"/>
    <col min="22" max="22" width="18.5703125" bestFit="1" customWidth="1"/>
    <col min="23" max="23" width="11" bestFit="1" customWidth="1"/>
    <col min="24" max="24" width="19.140625" bestFit="1" customWidth="1"/>
    <col min="25" max="26" width="13.140625" bestFit="1" customWidth="1"/>
    <col min="27" max="27" width="18.5703125" bestFit="1" customWidth="1"/>
    <col min="28" max="28" width="15.28515625" bestFit="1" customWidth="1"/>
    <col min="29" max="29" width="21" bestFit="1" customWidth="1"/>
    <col min="30" max="30" width="21.140625" bestFit="1" customWidth="1"/>
    <col min="31" max="31" width="17.42578125" bestFit="1" customWidth="1"/>
    <col min="32" max="32" width="16.140625" bestFit="1" customWidth="1"/>
    <col min="33" max="33" width="20.28515625" bestFit="1" customWidth="1"/>
    <col min="34" max="34" width="25.7109375" bestFit="1" customWidth="1"/>
    <col min="35" max="35" width="19.5703125" bestFit="1" customWidth="1"/>
  </cols>
  <sheetData>
    <row r="1" spans="1:35" ht="24.75" customHeight="1" x14ac:dyDescent="0.25">
      <c r="A1" s="2" t="s">
        <v>1</v>
      </c>
      <c r="B1" s="4" t="s">
        <v>403</v>
      </c>
      <c r="C1" s="4" t="s">
        <v>430</v>
      </c>
      <c r="D1" s="4" t="s">
        <v>431</v>
      </c>
      <c r="E1" s="4" t="s">
        <v>404</v>
      </c>
      <c r="F1" s="4" t="s">
        <v>405</v>
      </c>
      <c r="G1" s="4" t="s">
        <v>406</v>
      </c>
      <c r="H1" s="4" t="s">
        <v>407</v>
      </c>
      <c r="I1" s="4" t="s">
        <v>408</v>
      </c>
      <c r="J1" s="4" t="s">
        <v>409</v>
      </c>
      <c r="K1" s="4" t="s">
        <v>410</v>
      </c>
      <c r="L1" s="4" t="s">
        <v>411</v>
      </c>
      <c r="M1" s="4" t="s">
        <v>412</v>
      </c>
      <c r="N1" s="4" t="s">
        <v>413</v>
      </c>
      <c r="O1" s="4" t="s">
        <v>414</v>
      </c>
      <c r="P1" s="4" t="s">
        <v>472</v>
      </c>
      <c r="Q1" s="4" t="s">
        <v>415</v>
      </c>
      <c r="R1" s="4" t="s">
        <v>416</v>
      </c>
      <c r="S1" s="4" t="s">
        <v>417</v>
      </c>
      <c r="T1" s="4" t="s">
        <v>418</v>
      </c>
      <c r="U1" s="4" t="s">
        <v>419</v>
      </c>
      <c r="V1" s="4" t="s">
        <v>420</v>
      </c>
      <c r="W1" s="4" t="s">
        <v>421</v>
      </c>
      <c r="X1" s="4" t="s">
        <v>422</v>
      </c>
      <c r="Y1" s="4" t="s">
        <v>423</v>
      </c>
      <c r="Z1" s="4" t="s">
        <v>424</v>
      </c>
      <c r="AA1" s="4" t="s">
        <v>425</v>
      </c>
      <c r="AB1" s="4" t="s">
        <v>426</v>
      </c>
      <c r="AC1" s="4" t="s">
        <v>489</v>
      </c>
      <c r="AD1" s="4" t="s">
        <v>427</v>
      </c>
      <c r="AE1" s="4" t="s">
        <v>428</v>
      </c>
      <c r="AF1" s="4" t="s">
        <v>429</v>
      </c>
      <c r="AG1" s="4" t="s">
        <v>433</v>
      </c>
      <c r="AH1" s="4" t="s">
        <v>432</v>
      </c>
      <c r="AI1" s="4" t="s">
        <v>474</v>
      </c>
    </row>
    <row r="2" spans="1:35" x14ac:dyDescent="0.25">
      <c r="A2" s="6" t="s">
        <v>440</v>
      </c>
      <c r="B2" t="s">
        <v>122</v>
      </c>
      <c r="C2" t="s">
        <v>434</v>
      </c>
      <c r="D2" s="33" t="s">
        <v>439</v>
      </c>
      <c r="E2" s="33" t="s">
        <v>435</v>
      </c>
      <c r="F2" t="s">
        <v>122</v>
      </c>
      <c r="M2" t="s">
        <v>454</v>
      </c>
      <c r="N2" t="s">
        <v>436</v>
      </c>
      <c r="P2" t="s">
        <v>307</v>
      </c>
      <c r="Q2" s="33" t="s">
        <v>490</v>
      </c>
      <c r="R2" t="str">
        <f ca="1">TEXT(IF(M2="ON",L2,((4+IF(D2="+",+E2,-E2))/100/RIGHT(P2,SEARCH("/",P2)-1))*IF(ISNUMBER(SEARCH("Initial",N2)),Q2,200000)*IF(LEFT(P2,SEARCH("/",P2)-1)="360",30,DAY(EOMONTH(TODAY()+42,0)))),"#,##0.00")</f>
        <v>107.01</v>
      </c>
      <c r="S2" t="s">
        <v>122</v>
      </c>
      <c r="T2" t="s">
        <v>434</v>
      </c>
      <c r="U2" s="33" t="s">
        <v>439</v>
      </c>
      <c r="V2" s="33" t="s">
        <v>435</v>
      </c>
      <c r="AD2" t="s">
        <v>454</v>
      </c>
      <c r="AE2" t="s">
        <v>436</v>
      </c>
      <c r="AG2" t="s">
        <v>307</v>
      </c>
      <c r="AH2" s="36" t="str">
        <f>TEXT(IF(AD2="ON",AC2,((4+IF(U2="+",+V2,-V2))/100/RIGHT(AG2,SEARCH("/",AG2)-1))*IF(ISNUMBER(SEARCH("Initial",AE2)),Q2,200000)*IF(LEFT(AG2,SEARCH("/",AG2)-1)="360",30,11)),"#,##0.00")</f>
        <v>37.97</v>
      </c>
    </row>
    <row r="3" spans="1:35" x14ac:dyDescent="0.25">
      <c r="A3" s="6" t="s">
        <v>441</v>
      </c>
      <c r="L3" s="33" t="s">
        <v>479</v>
      </c>
      <c r="M3" t="s">
        <v>122</v>
      </c>
      <c r="Q3" s="33"/>
      <c r="R3" t="str">
        <f ca="1">TEXT(IF(AND(M3="ON",VALUE(L3)&gt;VALUE(R2)),L3,R2),"#,##0.00")</f>
        <v>107.01</v>
      </c>
      <c r="U3" s="33"/>
      <c r="V3" s="33"/>
      <c r="AC3" s="35" t="s">
        <v>465</v>
      </c>
      <c r="AD3" t="s">
        <v>122</v>
      </c>
      <c r="AG3" s="33"/>
      <c r="AH3" s="34" t="str">
        <f>TEXT(IF(AND(AD3="ON",VALUE(AC3)&gt;VALUE(AH2)),AC3,AH2),"#,##0.00")</f>
        <v>500.00</v>
      </c>
    </row>
    <row r="4" spans="1:35" x14ac:dyDescent="0.25">
      <c r="A4" s="6" t="s">
        <v>445</v>
      </c>
      <c r="B4" t="s">
        <v>122</v>
      </c>
      <c r="C4" t="s">
        <v>434</v>
      </c>
      <c r="D4" s="33" t="s">
        <v>437</v>
      </c>
      <c r="E4" s="33" t="s">
        <v>443</v>
      </c>
      <c r="F4" t="s">
        <v>122</v>
      </c>
      <c r="L4" s="33"/>
      <c r="M4" t="s">
        <v>454</v>
      </c>
      <c r="N4" t="s">
        <v>444</v>
      </c>
      <c r="P4" t="s">
        <v>308</v>
      </c>
      <c r="Q4" s="33" t="s">
        <v>438</v>
      </c>
      <c r="R4" t="str">
        <f ca="1">TEXT(IF(M4="ON",L4,((4+IF(D4="+",+E4,-E4))/100/RIGHT(P4,SEARCH("/",P4)-1))*IF(ISNUMBER(SEARCH("Initial",N4)),Q4,200000)*IF(LEFT(P4,SEARCH("/",P4)-1)="360",30,DAY(EOMONTH(TODAY()+42,0)))),"#,##0.00")</f>
        <v>516.67</v>
      </c>
      <c r="S4" t="s">
        <v>122</v>
      </c>
      <c r="T4" t="s">
        <v>442</v>
      </c>
      <c r="U4" s="33" t="s">
        <v>437</v>
      </c>
      <c r="V4" s="33" t="s">
        <v>443</v>
      </c>
      <c r="AC4" s="33"/>
      <c r="AD4" t="s">
        <v>454</v>
      </c>
      <c r="AE4" t="s">
        <v>444</v>
      </c>
      <c r="AG4" t="s">
        <v>308</v>
      </c>
      <c r="AH4" s="34" t="str">
        <f>TEXT(IF(AD4="ON",AC4,((4.5+IF(U4="+",+V4,-V4))/100/RIGHT(AG4,SEARCH("/",AG4)-1))*IF(ISNUMBER(SEARCH("Initial",AE4)),Q4,200000)*IF(LEFT(AG4,SEARCH("/",AG4)-1)="360",30,11)),"#,##0.00")</f>
        <v>213.89</v>
      </c>
    </row>
    <row r="5" spans="1:35" x14ac:dyDescent="0.25">
      <c r="A5" s="6" t="s">
        <v>448</v>
      </c>
      <c r="L5" s="33" t="s">
        <v>480</v>
      </c>
      <c r="M5" t="s">
        <v>122</v>
      </c>
      <c r="R5" t="str">
        <f ca="1">TEXT(IF(AND(M5="ON",VALUE(L5)&gt;VALUE(R4)),L5,R4),"#,##0.00")</f>
        <v>516.67</v>
      </c>
      <c r="AC5" s="33" t="s">
        <v>447</v>
      </c>
      <c r="AD5" t="s">
        <v>122</v>
      </c>
      <c r="AH5" s="34" t="str">
        <f>TEXT(IF(AND(AD5="ON",VALUE(AC5)&gt;VALUE(AH4)),AC5,AH4),"0.00")</f>
        <v>550.00</v>
      </c>
    </row>
    <row r="6" spans="1:35" x14ac:dyDescent="0.25">
      <c r="A6" s="6" t="s">
        <v>449</v>
      </c>
      <c r="B6" t="s">
        <v>122</v>
      </c>
      <c r="C6" t="s">
        <v>457</v>
      </c>
      <c r="D6" s="33" t="s">
        <v>439</v>
      </c>
      <c r="E6" s="33" t="s">
        <v>481</v>
      </c>
      <c r="F6" t="s">
        <v>122</v>
      </c>
      <c r="M6" t="s">
        <v>454</v>
      </c>
      <c r="N6" t="s">
        <v>444</v>
      </c>
      <c r="P6" t="s">
        <v>63</v>
      </c>
      <c r="Q6" s="33" t="s">
        <v>438</v>
      </c>
      <c r="R6" t="str">
        <f ca="1">TEXT(IF(M6="ON",L6,((3.5+IF(D6="+",+E6,-E6))/100/RIGHT(P6,SEARCH("/",P6)-1))*IF(ISNUMBER(SEARCH("Initial",N6)),Q6,200000)*IF(LEFT(P6,SEARCH("/",P6)-1)="360",30,DAY(EOMONTH(TODAY()+42,0)))),"#,##0.00")</f>
        <v>1,083.33</v>
      </c>
      <c r="S6" t="s">
        <v>122</v>
      </c>
      <c r="T6" t="s">
        <v>451</v>
      </c>
      <c r="U6" s="33" t="s">
        <v>439</v>
      </c>
      <c r="V6" s="33" t="s">
        <v>452</v>
      </c>
      <c r="AD6" t="s">
        <v>454</v>
      </c>
      <c r="AE6" t="s">
        <v>444</v>
      </c>
      <c r="AG6" t="s">
        <v>307</v>
      </c>
      <c r="AH6" s="34" t="str">
        <f>TEXT(IF(AD6="ON",AC6,((AI6+IF(U6="+",+V6,-V6))/100/RIGHT(AG6,SEARCH("/",AG6)-1))*IF(ISNUMBER(SEARCH("Initial",AE6)),Q6,200000)*IF(LEFT(AG6,SEARCH("/",AG6)-1)="360",30,11)),"#,##0.00")</f>
        <v>180.82</v>
      </c>
      <c r="AI6" s="33" t="s">
        <v>475</v>
      </c>
    </row>
    <row r="7" spans="1:35" x14ac:dyDescent="0.25">
      <c r="A7" s="6" t="s">
        <v>450</v>
      </c>
      <c r="L7" s="33" t="s">
        <v>482</v>
      </c>
      <c r="M7" t="s">
        <v>122</v>
      </c>
      <c r="R7" t="str">
        <f ca="1">TEXT(IF(AND(M7="ON",VALUE(L7)&gt;VALUE(R6)),L7,R6),"#,##0.00")</f>
        <v>1,145.00</v>
      </c>
      <c r="AC7" s="33" t="s">
        <v>453</v>
      </c>
      <c r="AD7" t="s">
        <v>454</v>
      </c>
      <c r="AH7" s="34" t="str">
        <f>TEXT(IF(AND(AD7="ON",VALUE(AC7)&gt;VALUE(AH6)),AC7,AH6),"#,##0.00")</f>
        <v>180.82</v>
      </c>
    </row>
    <row r="8" spans="1:35" x14ac:dyDescent="0.25">
      <c r="A8" s="6" t="s">
        <v>455</v>
      </c>
      <c r="B8" t="s">
        <v>122</v>
      </c>
      <c r="C8" t="s">
        <v>457</v>
      </c>
      <c r="D8" s="33" t="s">
        <v>439</v>
      </c>
      <c r="E8" s="33" t="s">
        <v>476</v>
      </c>
      <c r="F8" t="s">
        <v>122</v>
      </c>
      <c r="M8" t="s">
        <v>454</v>
      </c>
      <c r="N8" t="s">
        <v>436</v>
      </c>
      <c r="P8" t="s">
        <v>63</v>
      </c>
      <c r="Q8" s="33" t="s">
        <v>438</v>
      </c>
      <c r="R8" t="str">
        <f ca="1">TEXT(IF(M8="ON",L8,((3.5+IF(D8="+",+E8,-E8))/100/RIGHT(P8,SEARCH("/",P8)-1))*IF(ISNUMBER(SEARCH("Initial",N8)),Q8,200000)*IF(LEFT(P8,SEARCH("/",P8)-1)="360",30,DAY(EOMONTH(TODAY()+42,0)))),"#,##0.00")</f>
        <v>58.33</v>
      </c>
      <c r="S8" t="s">
        <v>122</v>
      </c>
      <c r="T8" t="s">
        <v>457</v>
      </c>
      <c r="U8" s="33"/>
      <c r="V8" s="33" t="s">
        <v>476</v>
      </c>
      <c r="AD8" t="s">
        <v>454</v>
      </c>
      <c r="AE8" t="s">
        <v>436</v>
      </c>
      <c r="AG8" t="s">
        <v>307</v>
      </c>
      <c r="AH8" t="str">
        <f>TEXT(IF(AD8="ON",AC8,((3.5+IF(U8="+",+V8,-V8))/100/RIGHT(AG8,SEARCH("/",AG8)-1))*IF(ISNUMBER(SEARCH("Initial",AE8)),Q8,200000)*IF(LEFT(AG8,SEARCH("/",AG8)-1)="360",30,11)),"0.00")</f>
        <v>21.10</v>
      </c>
    </row>
    <row r="9" spans="1:35" x14ac:dyDescent="0.25">
      <c r="A9" s="6" t="s">
        <v>456</v>
      </c>
      <c r="L9" s="33" t="s">
        <v>480</v>
      </c>
      <c r="M9" t="s">
        <v>454</v>
      </c>
      <c r="R9" t="str">
        <f ca="1">TEXT(IF(AND(M9="ON",VALUE(L9)&gt;VALUE(R8)),L9,R8),"#,##0.00")</f>
        <v>58.33</v>
      </c>
      <c r="AC9" s="33" t="s">
        <v>458</v>
      </c>
      <c r="AD9" t="s">
        <v>454</v>
      </c>
      <c r="AH9" t="str">
        <f>TEXT(IF(AND(AD9="ON",VALUE(AC9)&gt;VALUE(AH8)),AC9,AH8),"#,##0.00")</f>
        <v>21.10</v>
      </c>
    </row>
    <row r="10" spans="1:35" x14ac:dyDescent="0.25">
      <c r="A10" s="6" t="s">
        <v>459</v>
      </c>
      <c r="G10" s="33" t="s">
        <v>122</v>
      </c>
      <c r="H10">
        <v>1</v>
      </c>
      <c r="I10" s="33" t="s">
        <v>483</v>
      </c>
      <c r="M10" t="s">
        <v>454</v>
      </c>
      <c r="N10" t="s">
        <v>436</v>
      </c>
      <c r="Q10" s="33" t="s">
        <v>438</v>
      </c>
      <c r="R10" t="str">
        <f>TEXT(H10/I10*IF(ISNUMBER(SEARCH("Initial",N10)),Q10,200000),"#,##0.00")</f>
        <v>111.11</v>
      </c>
      <c r="X10" s="33" t="s">
        <v>122</v>
      </c>
      <c r="Y10">
        <v>1</v>
      </c>
      <c r="Z10" s="33" t="s">
        <v>460</v>
      </c>
      <c r="AD10" t="s">
        <v>454</v>
      </c>
      <c r="AE10" t="s">
        <v>436</v>
      </c>
      <c r="AH10" s="34" t="str">
        <f>TEXT(Y10/Z10*IF(ISNUMBER(SEARCH("Initial",AE10)),Q10,200000),"#,##0.00")</f>
        <v>166.67</v>
      </c>
    </row>
    <row r="11" spans="1:35" x14ac:dyDescent="0.25">
      <c r="A11" s="6" t="s">
        <v>461</v>
      </c>
      <c r="L11" s="33" t="s">
        <v>447</v>
      </c>
      <c r="M11" t="s">
        <v>454</v>
      </c>
      <c r="R11" t="str">
        <f>TEXT(IF(AND(M11="ON",VALUE(L11)&gt;VALUE(R10)),L11,R10),"#,##0.00")</f>
        <v>111.11</v>
      </c>
      <c r="AC11" s="33" t="s">
        <v>446</v>
      </c>
      <c r="AD11" t="s">
        <v>122</v>
      </c>
      <c r="AH11" t="str">
        <f>TEXT(IF(AND(AD11="ON",VALUE(AC11)&gt;VALUE(AH10)),AC11,AH10),"#,##0.00")</f>
        <v>166.67</v>
      </c>
    </row>
    <row r="12" spans="1:35" x14ac:dyDescent="0.25">
      <c r="A12" s="6" t="s">
        <v>462</v>
      </c>
      <c r="G12" s="33" t="s">
        <v>122</v>
      </c>
      <c r="H12">
        <v>1</v>
      </c>
      <c r="I12" s="33" t="s">
        <v>484</v>
      </c>
      <c r="M12" t="s">
        <v>454</v>
      </c>
      <c r="N12" t="s">
        <v>444</v>
      </c>
      <c r="Q12" s="33" t="s">
        <v>438</v>
      </c>
      <c r="R12" t="str">
        <f>TEXT(H12/I12*IF(ISNUMBER(SEARCH("Initial",N12)),Q12,200000),"#,##0.00")</f>
        <v>869.57</v>
      </c>
      <c r="X12" s="33" t="s">
        <v>122</v>
      </c>
      <c r="Y12">
        <v>1</v>
      </c>
      <c r="Z12" s="33" t="s">
        <v>464</v>
      </c>
      <c r="AD12" t="s">
        <v>454</v>
      </c>
      <c r="AE12" t="s">
        <v>444</v>
      </c>
      <c r="AH12" s="34" t="str">
        <f>TEXT(Y12/Z12*IF(ISNUMBER(SEARCH("Initial",AE12)),Q12,200000),"#,##0.00")</f>
        <v>909.09</v>
      </c>
    </row>
    <row r="13" spans="1:35" x14ac:dyDescent="0.25">
      <c r="A13" s="6" t="s">
        <v>463</v>
      </c>
      <c r="L13" s="33" t="s">
        <v>485</v>
      </c>
      <c r="M13" t="s">
        <v>122</v>
      </c>
      <c r="R13" t="str">
        <f>TEXT(IF(AND(M13="ON",VALUE(L13)&gt;VALUE(R12)),L13,R12),"#,##0.00")</f>
        <v>1,500.00</v>
      </c>
      <c r="AC13" s="33" t="s">
        <v>465</v>
      </c>
      <c r="AD13" t="s">
        <v>122</v>
      </c>
      <c r="AH13" t="str">
        <f>TEXT(IF(AND(AD13="ON",VALUE(AC13)&gt;VALUE(AH12)),AC13,AH12),"#,##0.00")</f>
        <v>909.09</v>
      </c>
    </row>
    <row r="14" spans="1:35" x14ac:dyDescent="0.25">
      <c r="A14" s="6" t="s">
        <v>466</v>
      </c>
      <c r="J14" t="s">
        <v>122</v>
      </c>
      <c r="K14" s="33" t="s">
        <v>486</v>
      </c>
      <c r="M14" t="s">
        <v>454</v>
      </c>
      <c r="N14" t="s">
        <v>436</v>
      </c>
      <c r="Q14" s="33" t="s">
        <v>438</v>
      </c>
      <c r="R14" t="str">
        <f>TEXT(K14/100*IF(ISNUMBER(SEARCH("Initial",N14)),Q14,200000),"#,##0.00")</f>
        <v>1,200.00</v>
      </c>
      <c r="AA14" t="s">
        <v>122</v>
      </c>
      <c r="AB14" s="33" t="s">
        <v>468</v>
      </c>
      <c r="AD14" t="s">
        <v>454</v>
      </c>
      <c r="AE14" t="s">
        <v>436</v>
      </c>
      <c r="AH14" t="str">
        <f>TEXT(AB14/100*IF(ISNUMBER(SEARCH("Initial",AE14)),Q14,200000),"#,##0.00")</f>
        <v>800.00</v>
      </c>
    </row>
    <row r="15" spans="1:35" x14ac:dyDescent="0.25">
      <c r="A15" s="6" t="s">
        <v>467</v>
      </c>
      <c r="L15" s="33" t="s">
        <v>469</v>
      </c>
      <c r="M15" t="s">
        <v>122</v>
      </c>
      <c r="R15" t="str">
        <f>TEXT(IF(AND(M15="ON",VALUE(L15)&gt;VALUE(R14)),L15,R14),"#,##0.00")</f>
        <v>1,200.00</v>
      </c>
      <c r="AC15" s="33" t="s">
        <v>469</v>
      </c>
      <c r="AD15" t="s">
        <v>122</v>
      </c>
      <c r="AH15" t="str">
        <f>TEXT(IF(AND(AD15="ON",VALUE(AC15)&gt;VALUE(AH14)),AC15,AH14),"#,##0.00")</f>
        <v>800.00</v>
      </c>
    </row>
    <row r="16" spans="1:35" x14ac:dyDescent="0.25">
      <c r="A16" s="6" t="s">
        <v>470</v>
      </c>
      <c r="J16" t="s">
        <v>122</v>
      </c>
      <c r="K16" s="33" t="s">
        <v>487</v>
      </c>
      <c r="M16" t="s">
        <v>454</v>
      </c>
      <c r="N16" t="s">
        <v>444</v>
      </c>
      <c r="Q16" s="33" t="s">
        <v>438</v>
      </c>
      <c r="R16" t="str">
        <f>TEXT(K16/100*IF(ISNUMBER(SEARCH("Initial",N16)),Q16,200000),"#,##0.00")</f>
        <v>14,000.00</v>
      </c>
      <c r="AA16" t="s">
        <v>122</v>
      </c>
      <c r="AB16" s="33" t="s">
        <v>435</v>
      </c>
      <c r="AD16" t="s">
        <v>454</v>
      </c>
      <c r="AE16" t="s">
        <v>444</v>
      </c>
      <c r="AH16" s="38" t="str">
        <f>TEXT(AB16/100*IF(ISNUMBER(SEARCH("Initial",AE16)),Q16,200000),"#,##0.00")</f>
        <v>4,000.00</v>
      </c>
    </row>
    <row r="17" spans="1:35" x14ac:dyDescent="0.25">
      <c r="A17" s="6" t="s">
        <v>471</v>
      </c>
      <c r="L17" s="33" t="s">
        <v>488</v>
      </c>
      <c r="M17" t="s">
        <v>122</v>
      </c>
      <c r="R17" t="str">
        <f>TEXT(IF(AND(M17="ON",VALUE(L17)&gt;VALUE(R16)),L17,R16),"#,##0.00")</f>
        <v>14,590.00</v>
      </c>
      <c r="AC17" s="33" t="s">
        <v>473</v>
      </c>
      <c r="AD17" t="s">
        <v>454</v>
      </c>
      <c r="AH17" s="37" t="str">
        <f>TEXT(IF(AND(AD17="ON",VALUE(AC17)&gt;VALUE(AH16)),AC17,AH16),"#,##0.00")</f>
        <v>4,000.00</v>
      </c>
    </row>
    <row r="18" spans="1:35" x14ac:dyDescent="0.25">
      <c r="A18" s="6" t="s">
        <v>491</v>
      </c>
      <c r="B18" t="s">
        <v>122</v>
      </c>
      <c r="C18" t="s">
        <v>434</v>
      </c>
      <c r="D18" s="33" t="s">
        <v>439</v>
      </c>
      <c r="E18" s="33" t="s">
        <v>435</v>
      </c>
      <c r="F18" t="s">
        <v>454</v>
      </c>
      <c r="M18" t="s">
        <v>454</v>
      </c>
      <c r="N18" t="s">
        <v>436</v>
      </c>
      <c r="O18" s="33" t="s">
        <v>492</v>
      </c>
      <c r="Q18" s="33" t="s">
        <v>438</v>
      </c>
      <c r="R18" t="str">
        <f>TEXT(IF(F18="OFF",(IF(ISNUMBER(SEARCH("Initial",N18)),Q18,200000))/VALUE((1-(1/POWER(1+(4+IF(D18="+",+E18,-E18))/1200,O18)))/((4+IF(D18="+",+E18,-E18))/1200)),L18),"#,###.00")</f>
        <v>143.29</v>
      </c>
      <c r="S18" t="s">
        <v>122</v>
      </c>
      <c r="T18" t="s">
        <v>434</v>
      </c>
      <c r="U18" s="33" t="s">
        <v>439</v>
      </c>
      <c r="V18" s="33" t="s">
        <v>435</v>
      </c>
      <c r="W18" t="s">
        <v>122</v>
      </c>
      <c r="AD18" t="s">
        <v>454</v>
      </c>
      <c r="AE18" t="s">
        <v>436</v>
      </c>
      <c r="AF18" s="33" t="s">
        <v>492</v>
      </c>
      <c r="AH18" t="str">
        <f>TEXT(IF(W18="ON",(IF(ISNUMBER(SEARCH("Initial",AE18)),Q18,200000))/VALUE((1-(1/POWER(1+(4+IF(U18="+",V18,-V18))/1200,AF18)))/((4+IF(U18="+",V18,-V18))/1200)),AC18),"#,###.00")</f>
        <v>143.29</v>
      </c>
    </row>
    <row r="19" spans="1:35" x14ac:dyDescent="0.25">
      <c r="A19" s="6" t="s">
        <v>493</v>
      </c>
      <c r="L19" s="33" t="s">
        <v>494</v>
      </c>
      <c r="M19" t="s">
        <v>122</v>
      </c>
      <c r="R19" t="str">
        <f>TEXT(IF(AND(M19="ON",VALUE(L19)&gt;VALUE(R18)),L19,R18),"#,##0.00")</f>
        <v>143.29</v>
      </c>
      <c r="AC19" s="33" t="s">
        <v>469</v>
      </c>
      <c r="AD19" t="s">
        <v>122</v>
      </c>
      <c r="AH19" t="str">
        <f>TEXT(IF(AND(AD19="ON",VALUE(AC19)&gt;VALUE(AH18)),AC19,AH18),"#,##0.00")</f>
        <v>590.00</v>
      </c>
    </row>
    <row r="20" spans="1:35" x14ac:dyDescent="0.25">
      <c r="A20" s="6" t="s">
        <v>495</v>
      </c>
      <c r="B20" t="s">
        <v>122</v>
      </c>
      <c r="C20" t="s">
        <v>457</v>
      </c>
      <c r="D20" s="33" t="s">
        <v>439</v>
      </c>
      <c r="E20" s="33" t="s">
        <v>435</v>
      </c>
      <c r="F20" t="s">
        <v>454</v>
      </c>
      <c r="M20" t="s">
        <v>454</v>
      </c>
      <c r="N20" t="s">
        <v>444</v>
      </c>
      <c r="O20" s="33" t="s">
        <v>492</v>
      </c>
      <c r="Q20" s="33" t="s">
        <v>438</v>
      </c>
      <c r="R20" t="str">
        <f>TEXT(IF(F20="OFF",(IF(ISNUMBER(SEARCH("Initial",N20)),Q20,200000))/VALUE((1-(1/POWER(1+(3.5+IF(D20="+",+E20,-E20))/1200,O20)))/((3.5+IF(D20="+",+E20,-E20))/1200)),L20),"#,###.00")</f>
        <v>1,375.77</v>
      </c>
      <c r="S20" t="s">
        <v>122</v>
      </c>
      <c r="T20" t="s">
        <v>451</v>
      </c>
      <c r="U20" s="33" t="s">
        <v>439</v>
      </c>
      <c r="V20" s="33" t="s">
        <v>496</v>
      </c>
      <c r="W20" t="s">
        <v>122</v>
      </c>
      <c r="AD20" t="s">
        <v>454</v>
      </c>
      <c r="AE20" t="s">
        <v>436</v>
      </c>
      <c r="AF20" s="33" t="s">
        <v>492</v>
      </c>
      <c r="AH20" t="str">
        <f>TEXT(IF(W20="ON",(IF(ISNUMBER(SEARCH("Initial",AE20)),Q20,200000))/VALUE((1-(1/POWER(1+(AI20+IF(U20="+",V20,-V20))/1200,AF20)))/((AI20+IF(U20="+",V20,-V20))/1200)),AC20),"#,###.00")</f>
        <v>136.45</v>
      </c>
      <c r="AI20" s="33" t="s">
        <v>497</v>
      </c>
    </row>
    <row r="21" spans="1:35" x14ac:dyDescent="0.25">
      <c r="A21" s="6" t="s">
        <v>498</v>
      </c>
      <c r="L21" s="33" t="s">
        <v>499</v>
      </c>
      <c r="M21" t="s">
        <v>122</v>
      </c>
      <c r="R21" t="str">
        <f>TEXT(IF(AND(M21="ON",VALUE(L21)&gt;VALUE(R20)),L21,R20),"#,##0.00")</f>
        <v>1,420.00</v>
      </c>
      <c r="AC21" s="33" t="s">
        <v>500</v>
      </c>
      <c r="AD21" t="s">
        <v>454</v>
      </c>
      <c r="AH21" t="str">
        <f>TEXT(IF(AND(AD21="ON",VALUE(AC21)&gt;VALUE(AH20)),AC21,AH20),"#,##0.00")</f>
        <v>136.45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SetDisclosureInformation</vt:lpstr>
      <vt:lpstr>SetPrepaymentPenalty</vt:lpstr>
      <vt:lpstr>InterestOnly</vt:lpstr>
      <vt:lpstr>SetLateCharge</vt:lpstr>
      <vt:lpstr>SetARM</vt:lpstr>
      <vt:lpstr>SetAIR</vt:lpstr>
      <vt:lpstr>SetConstruction</vt:lpstr>
      <vt:lpstr>SetHELOCDetails</vt:lpstr>
      <vt:lpstr>VerifyProjectedPayment</vt:lpstr>
      <vt:lpstr>SetMiandPiDetails</vt:lpstr>
      <vt:lpstr>VerifyAdjustablePayment</vt:lpstr>
      <vt:lpstr>Regz_CD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2018-08-23T07:17:00Z</dcterms:modified>
</cp:coreProperties>
</file>