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drawings/drawing3.xml" ContentType="application/vnd.openxmlformats-officedocument.drawing+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drawings/drawing4.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drawings/drawing5.xml" ContentType="application/vnd.openxmlformats-officedocument.drawing+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guymo\Downloads\"/>
    </mc:Choice>
  </mc:AlternateContent>
  <xr:revisionPtr revIDLastSave="0" documentId="13_ncr:1_{2B408D78-1D25-4B8F-AAD5-0FADEB33493B}" xr6:coauthVersionLast="47" xr6:coauthVersionMax="47" xr10:uidLastSave="{00000000-0000-0000-0000-000000000000}"/>
  <bookViews>
    <workbookView xWindow="29775" yWindow="-2355" windowWidth="30150" windowHeight="19485" firstSheet="22" activeTab="28" xr2:uid="{00000000-000D-0000-FFFF-FFFF00000000}"/>
  </bookViews>
  <sheets>
    <sheet name="Readme" sheetId="1" r:id="rId1"/>
    <sheet name="KEY OUTPUT &gt;&gt;" sheetId="2" r:id="rId2"/>
    <sheet name="General Information" sheetId="3" r:id="rId3"/>
    <sheet name="Dynamic Dashboard" sheetId="4" r:id="rId4"/>
    <sheet name="Dashboard" sheetId="5" r:id="rId5"/>
    <sheet name="Dashboard (backup)" sheetId="32" r:id="rId6"/>
    <sheet name="Cashflow" sheetId="6" r:id="rId7"/>
    <sheet name="P&amp;L" sheetId="7" r:id="rId8"/>
    <sheet name="Balance Sheet" sheetId="8" r:id="rId9"/>
    <sheet name="Valuations" sheetId="9" r:id="rId10"/>
    <sheet name="INPUTS  WORKINGS DETAILS ------" sheetId="10" r:id="rId11"/>
    <sheet name="Inputs" sheetId="11" r:id="rId12"/>
    <sheet name="Revenue Assumptions" sheetId="12" r:id="rId13"/>
    <sheet name="Expense Assumptions" sheetId="13" r:id="rId14"/>
    <sheet name="Construction Timeline" sheetId="14" r:id="rId15"/>
    <sheet name="Scenarios" sheetId="15" r:id="rId16"/>
    <sheet name="Financial Summary" sheetId="16" r:id="rId17"/>
    <sheet name="Financial Summary (backup)" sheetId="34" r:id="rId18"/>
    <sheet name="Debt" sheetId="17" r:id="rId19"/>
    <sheet name="VBA" sheetId="18" state="hidden" r:id="rId20"/>
    <sheet name="GST Calculation" sheetId="19" r:id="rId21"/>
    <sheet name="Calendar Assumptions" sheetId="20" r:id="rId22"/>
    <sheet name="Partnership Assumptions" sheetId="21" r:id="rId23"/>
    <sheet name="Legend" sheetId="22" r:id="rId24"/>
    <sheet name="Timing" sheetId="23" r:id="rId25"/>
    <sheet name="Original Capex" sheetId="24" r:id="rId26"/>
    <sheet name="Disclaimer" sheetId="25" r:id="rId27"/>
    <sheet name="Inputs for Dashboard" sheetId="28" r:id="rId28"/>
    <sheet name="For Deck" sheetId="29" r:id="rId29"/>
    <sheet name="For Teaser Deck" sheetId="30" r:id="rId30"/>
    <sheet name="GANTT - MASTER OPTION" sheetId="31" state="hidden" r:id="rId31"/>
  </sheets>
  <definedNames>
    <definedName name="Construction_End_Date">Inputs!$E$19</definedName>
    <definedName name="Construction_Start_Date">Inputs!$E$18</definedName>
    <definedName name="Model_Start" localSheetId="23">Inputs!$E$7</definedName>
    <definedName name="Model_start">Inputs!$E$9</definedName>
    <definedName name="Operations_Start_Date">Inputs!$E$22</definedName>
    <definedName name="RM_BaseEventDays">Inputs!$E$302</definedName>
    <definedName name="RM_EventDaysScale">Inputs!$E$499</definedName>
    <definedName name="RM_ExitMultiple">Inputs!$E$483</definedName>
    <definedName name="RM_HourlyRate">Inputs!$E$397</definedName>
    <definedName name="RM_IO_Months">Inputs!$E$69</definedName>
    <definedName name="RM_OutgoingsPct">Inputs!$E$36</definedName>
    <definedName name="RM_ShiftHours">Inputs!$E$398</definedName>
    <definedName name="RM_StaffPerEvent">Inputs!$E$396</definedName>
    <definedName name="RM_SustCapexPct">Inputs!$E$462</definedName>
    <definedName name="RM_TerminalGrowth">Inputs!$E$487</definedName>
    <definedName name="RM_VHA_Cap">Inputs!$E$309</definedName>
    <definedName name="RM_VHA_GBO_Fee">Inputs!$E$308</definedName>
    <definedName name="Total_Initial_Capex">'Construction Timeline'!$E$18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9" i="34" l="1"/>
  <c r="C38" i="34"/>
  <c r="P24" i="34"/>
  <c r="O24" i="34"/>
  <c r="N24" i="34"/>
  <c r="M24" i="34"/>
  <c r="L24" i="34"/>
  <c r="K24" i="34"/>
  <c r="J24" i="34"/>
  <c r="I24" i="34"/>
  <c r="H24" i="34"/>
  <c r="G24" i="34"/>
  <c r="F24" i="34"/>
  <c r="E24" i="34"/>
  <c r="D24" i="34"/>
  <c r="C24" i="34"/>
  <c r="P16" i="34"/>
  <c r="O16" i="34"/>
  <c r="N16" i="34"/>
  <c r="M16" i="34"/>
  <c r="L16" i="34"/>
  <c r="K16" i="34"/>
  <c r="J16" i="34"/>
  <c r="I16" i="34"/>
  <c r="H16" i="34"/>
  <c r="G16" i="34"/>
  <c r="F16" i="34"/>
  <c r="E16" i="34"/>
  <c r="D16" i="34"/>
  <c r="C16" i="34"/>
  <c r="Q16" i="34" s="1"/>
  <c r="C15" i="34"/>
  <c r="C14" i="34"/>
  <c r="C13" i="34"/>
  <c r="C12" i="34"/>
  <c r="C10" i="34"/>
  <c r="P8" i="34"/>
  <c r="O8" i="34"/>
  <c r="N8" i="34"/>
  <c r="M8" i="34"/>
  <c r="L8" i="34"/>
  <c r="K8" i="34"/>
  <c r="J8" i="34"/>
  <c r="I8" i="34"/>
  <c r="H8" i="34"/>
  <c r="G8" i="34"/>
  <c r="F8" i="34"/>
  <c r="E8" i="34"/>
  <c r="D8" i="34"/>
  <c r="C8" i="34"/>
  <c r="Q8" i="34" s="1"/>
  <c r="E7" i="34"/>
  <c r="E9" i="34" s="1"/>
  <c r="D7" i="34"/>
  <c r="D9" i="34" s="1"/>
  <c r="C7" i="34"/>
  <c r="C9" i="34" s="1"/>
  <c r="C80" i="32" a="1"/>
  <c r="C80" i="32" s="1"/>
  <c r="C78" i="32" a="1"/>
  <c r="C78" i="32" s="1"/>
  <c r="C77" i="32"/>
  <c r="C77" i="32" a="1"/>
  <c r="C76" i="32"/>
  <c r="C76" i="32" a="1"/>
  <c r="J75" i="32"/>
  <c r="C72" i="32"/>
  <c r="C71" i="32"/>
  <c r="C70" i="32"/>
  <c r="C69" i="32"/>
  <c r="C68" i="32"/>
  <c r="C67" i="32"/>
  <c r="C66" i="32"/>
  <c r="C65" i="32"/>
  <c r="M59" i="32"/>
  <c r="M59" i="32" a="1"/>
  <c r="P58" i="32"/>
  <c r="M58" i="32"/>
  <c r="M58" i="32" a="1"/>
  <c r="P57" i="32"/>
  <c r="M57" i="32" a="1"/>
  <c r="M57" i="32" s="1"/>
  <c r="P56" i="32"/>
  <c r="M56" i="32" a="1"/>
  <c r="M56" i="32" s="1"/>
  <c r="P55" i="32"/>
  <c r="M55" i="32" a="1"/>
  <c r="M55" i="32" s="1"/>
  <c r="G55" i="32"/>
  <c r="P54" i="32"/>
  <c r="M54" i="32" a="1"/>
  <c r="M54" i="32" s="1"/>
  <c r="G54" i="32"/>
  <c r="P53" i="32"/>
  <c r="M53" i="32" a="1"/>
  <c r="M53" i="32" s="1"/>
  <c r="G53" i="32"/>
  <c r="P52" i="32"/>
  <c r="M52" i="32" a="1"/>
  <c r="M52" i="32" s="1"/>
  <c r="G52" i="32"/>
  <c r="M48" i="32" a="1"/>
  <c r="M48" i="32" s="1"/>
  <c r="P47" i="32"/>
  <c r="M47" i="32"/>
  <c r="M47" i="32" a="1"/>
  <c r="P46" i="32"/>
  <c r="M46" i="32" a="1"/>
  <c r="M46" i="32" s="1"/>
  <c r="P45" i="32"/>
  <c r="M45" i="32" a="1"/>
  <c r="M45" i="32" s="1"/>
  <c r="P44" i="32"/>
  <c r="M44" i="32" a="1"/>
  <c r="M44" i="32" s="1"/>
  <c r="P43" i="32"/>
  <c r="M43" i="32" a="1"/>
  <c r="M43" i="32" s="1"/>
  <c r="J43" i="32"/>
  <c r="J44" i="32" s="1"/>
  <c r="P42" i="32"/>
  <c r="M42" i="32" a="1"/>
  <c r="M42" i="32" s="1"/>
  <c r="J42" i="32"/>
  <c r="C42" i="32"/>
  <c r="P41" i="32"/>
  <c r="P49" i="32" s="1"/>
  <c r="J41" i="32"/>
  <c r="C41" i="32"/>
  <c r="C36" i="32"/>
  <c r="C35" i="32"/>
  <c r="C34" i="32"/>
  <c r="C33" i="32"/>
  <c r="C32" i="32"/>
  <c r="C31" i="32"/>
  <c r="C30" i="32"/>
  <c r="J29" i="32"/>
  <c r="C29" i="32"/>
  <c r="D21" i="32"/>
  <c r="C21" i="32"/>
  <c r="Q16" i="32"/>
  <c r="C13" i="32"/>
  <c r="C8" i="32"/>
  <c r="P6" i="32"/>
  <c r="O6" i="32"/>
  <c r="N6" i="32"/>
  <c r="M6" i="32"/>
  <c r="L6" i="32"/>
  <c r="K6" i="32"/>
  <c r="J6" i="32"/>
  <c r="I6" i="32"/>
  <c r="H6" i="32"/>
  <c r="G6" i="32"/>
  <c r="F6" i="32"/>
  <c r="E6" i="32"/>
  <c r="D6" i="32"/>
  <c r="C6" i="32"/>
  <c r="Q2" i="32"/>
  <c r="E7" i="30"/>
  <c r="G6" i="30"/>
  <c r="B254" i="29"/>
  <c r="B253" i="29"/>
  <c r="B252" i="29"/>
  <c r="B251" i="29"/>
  <c r="B250" i="29"/>
  <c r="B249" i="29"/>
  <c r="B248" i="29"/>
  <c r="B247" i="29"/>
  <c r="B246" i="29"/>
  <c r="D240" i="29"/>
  <c r="D239" i="29"/>
  <c r="D238" i="29"/>
  <c r="D237" i="29"/>
  <c r="D236" i="29"/>
  <c r="D235" i="29"/>
  <c r="D234" i="29"/>
  <c r="C39" i="29"/>
  <c r="G8" i="30" s="1"/>
  <c r="C13" i="29"/>
  <c r="Q242" i="28"/>
  <c r="E242" i="28"/>
  <c r="C206" i="28"/>
  <c r="F181" i="28"/>
  <c r="D181" i="28"/>
  <c r="C181" i="28"/>
  <c r="B181" i="28"/>
  <c r="F180" i="28"/>
  <c r="D180" i="28"/>
  <c r="C180" i="28"/>
  <c r="B180" i="28"/>
  <c r="F179" i="28"/>
  <c r="D179" i="28"/>
  <c r="C179" i="28"/>
  <c r="B179" i="28"/>
  <c r="F178" i="28"/>
  <c r="D178" i="28"/>
  <c r="C178" i="28"/>
  <c r="B178" i="28"/>
  <c r="F177" i="28"/>
  <c r="D177" i="28"/>
  <c r="C177" i="28"/>
  <c r="B177" i="28"/>
  <c r="F176" i="28"/>
  <c r="D176" i="28"/>
  <c r="C176" i="28"/>
  <c r="B176" i="28"/>
  <c r="F175" i="28"/>
  <c r="D175" i="28"/>
  <c r="C175" i="28"/>
  <c r="B175" i="28"/>
  <c r="F174" i="28"/>
  <c r="E174" i="28"/>
  <c r="D174" i="28"/>
  <c r="C174" i="28"/>
  <c r="B174" i="28"/>
  <c r="P132" i="28"/>
  <c r="O132" i="28"/>
  <c r="K131" i="28"/>
  <c r="K143" i="28" s="1"/>
  <c r="K150" i="28" s="1"/>
  <c r="Q126" i="28"/>
  <c r="P125" i="28"/>
  <c r="P131" i="28" s="1"/>
  <c r="P143" i="28" s="1"/>
  <c r="P150" i="28" s="1"/>
  <c r="O125" i="28"/>
  <c r="O131" i="28" s="1"/>
  <c r="O143" i="28" s="1"/>
  <c r="O150" i="28" s="1"/>
  <c r="N125" i="28"/>
  <c r="N131" i="28" s="1"/>
  <c r="N143" i="28" s="1"/>
  <c r="N150" i="28" s="1"/>
  <c r="L125" i="28"/>
  <c r="L131" i="28" s="1"/>
  <c r="L143" i="28" s="1"/>
  <c r="L150" i="28" s="1"/>
  <c r="N120" i="28"/>
  <c r="K120" i="28"/>
  <c r="K125" i="28" s="1"/>
  <c r="J120" i="28"/>
  <c r="J125" i="28" s="1"/>
  <c r="J131" i="28" s="1"/>
  <c r="J143" i="28" s="1"/>
  <c r="J150" i="28" s="1"/>
  <c r="I120" i="28"/>
  <c r="I125" i="28" s="1"/>
  <c r="I131" i="28" s="1"/>
  <c r="I143" i="28" s="1"/>
  <c r="I150" i="28" s="1"/>
  <c r="H120" i="28"/>
  <c r="H125" i="28" s="1"/>
  <c r="H131" i="28" s="1"/>
  <c r="H143" i="28" s="1"/>
  <c r="H150" i="28" s="1"/>
  <c r="F120" i="28"/>
  <c r="F125" i="28" s="1"/>
  <c r="F131" i="28" s="1"/>
  <c r="F143" i="28" s="1"/>
  <c r="F150" i="28" s="1"/>
  <c r="P115" i="28"/>
  <c r="P120" i="28" s="1"/>
  <c r="O115" i="28"/>
  <c r="O120" i="28" s="1"/>
  <c r="N115" i="28"/>
  <c r="M115" i="28"/>
  <c r="M120" i="28" s="1"/>
  <c r="M125" i="28" s="1"/>
  <c r="M131" i="28" s="1"/>
  <c r="M143" i="28" s="1"/>
  <c r="M150" i="28" s="1"/>
  <c r="L115" i="28"/>
  <c r="L120" i="28" s="1"/>
  <c r="K115" i="28"/>
  <c r="J115" i="28"/>
  <c r="I115" i="28"/>
  <c r="H115" i="28"/>
  <c r="G115" i="28"/>
  <c r="G120" i="28" s="1"/>
  <c r="G125" i="28" s="1"/>
  <c r="G131" i="28" s="1"/>
  <c r="G143" i="28" s="1"/>
  <c r="G150" i="28" s="1"/>
  <c r="F115" i="28"/>
  <c r="E115" i="28"/>
  <c r="E120" i="28" s="1"/>
  <c r="E125" i="28" s="1"/>
  <c r="E131" i="28" s="1"/>
  <c r="E143" i="28" s="1"/>
  <c r="E150" i="28" s="1"/>
  <c r="D115" i="28"/>
  <c r="D120" i="28" s="1"/>
  <c r="D125" i="28" s="1"/>
  <c r="D131" i="28" s="1"/>
  <c r="D143" i="28" s="1"/>
  <c r="D150" i="28" s="1"/>
  <c r="C115" i="28"/>
  <c r="C120" i="28" s="1"/>
  <c r="C125" i="28" s="1"/>
  <c r="C131" i="28" s="1"/>
  <c r="C143" i="28" s="1"/>
  <c r="C150" i="28" s="1"/>
  <c r="C100" i="28"/>
  <c r="C75" i="28"/>
  <c r="C74" i="28"/>
  <c r="C73" i="28"/>
  <c r="C72" i="28"/>
  <c r="C71" i="28"/>
  <c r="C70" i="28"/>
  <c r="C69" i="28"/>
  <c r="C68" i="28"/>
  <c r="C67" i="28"/>
  <c r="C76" i="28" s="1"/>
  <c r="C49" i="28"/>
  <c r="C133" i="28" s="1"/>
  <c r="P48" i="28"/>
  <c r="O48" i="28"/>
  <c r="N48" i="28"/>
  <c r="N132" i="28" s="1"/>
  <c r="M48" i="28"/>
  <c r="M132" i="28" s="1"/>
  <c r="L48" i="28"/>
  <c r="L132" i="28" s="1"/>
  <c r="K48" i="28"/>
  <c r="K132" i="28" s="1"/>
  <c r="J48" i="28"/>
  <c r="J132" i="28" s="1"/>
  <c r="I48" i="28"/>
  <c r="I132" i="28" s="1"/>
  <c r="H48" i="28"/>
  <c r="H132" i="28" s="1"/>
  <c r="G48" i="28"/>
  <c r="G132" i="28" s="1"/>
  <c r="F48" i="28"/>
  <c r="F132" i="28" s="1"/>
  <c r="E48" i="28"/>
  <c r="E132" i="28" s="1"/>
  <c r="D48" i="28"/>
  <c r="D132" i="28" s="1"/>
  <c r="C48" i="28"/>
  <c r="C132" i="28" s="1"/>
  <c r="C46" i="28"/>
  <c r="C101" i="28" s="1"/>
  <c r="C45" i="28"/>
  <c r="C44" i="28"/>
  <c r="C43" i="28"/>
  <c r="C42" i="28"/>
  <c r="C41" i="28"/>
  <c r="C40" i="28"/>
  <c r="C99" i="28" s="1"/>
  <c r="C9" i="28"/>
  <c r="Q63" i="24"/>
  <c r="P63" i="24"/>
  <c r="O63" i="24"/>
  <c r="N63" i="24"/>
  <c r="M63" i="24"/>
  <c r="L63" i="24"/>
  <c r="K63" i="24"/>
  <c r="J63" i="24"/>
  <c r="I63" i="24"/>
  <c r="H63" i="24"/>
  <c r="G63" i="24"/>
  <c r="F63" i="24"/>
  <c r="E63" i="24"/>
  <c r="R63" i="24" s="1"/>
  <c r="R60" i="24"/>
  <c r="R59" i="24"/>
  <c r="R58" i="24"/>
  <c r="R57" i="24"/>
  <c r="R56" i="24"/>
  <c r="R55" i="24"/>
  <c r="R51" i="24"/>
  <c r="R50" i="24"/>
  <c r="R49" i="24"/>
  <c r="R52" i="24" s="1"/>
  <c r="R45" i="24"/>
  <c r="R44" i="24"/>
  <c r="R43" i="24"/>
  <c r="R42" i="24"/>
  <c r="R41" i="24"/>
  <c r="R40" i="24"/>
  <c r="R39" i="24"/>
  <c r="R35" i="24"/>
  <c r="R33" i="24"/>
  <c r="J27" i="24"/>
  <c r="Q25" i="24"/>
  <c r="Q27" i="24" s="1"/>
  <c r="P25" i="24"/>
  <c r="O25" i="24"/>
  <c r="N25" i="24"/>
  <c r="M25" i="24"/>
  <c r="L25" i="24"/>
  <c r="K25" i="24"/>
  <c r="J25" i="24"/>
  <c r="I25" i="24"/>
  <c r="H25" i="24"/>
  <c r="G25" i="24"/>
  <c r="G27" i="24" s="1"/>
  <c r="F25" i="24"/>
  <c r="E25" i="24"/>
  <c r="R24" i="24"/>
  <c r="R23" i="24"/>
  <c r="R22" i="24"/>
  <c r="R21" i="24"/>
  <c r="R14" i="24"/>
  <c r="Q14" i="24"/>
  <c r="P14" i="24"/>
  <c r="O14" i="24"/>
  <c r="N14" i="24"/>
  <c r="M14" i="24"/>
  <c r="M27" i="24" s="1"/>
  <c r="L14" i="24"/>
  <c r="K14" i="24"/>
  <c r="J14" i="24"/>
  <c r="I14" i="24"/>
  <c r="H14" i="24"/>
  <c r="H27" i="24" s="1"/>
  <c r="G14" i="24"/>
  <c r="F14" i="24"/>
  <c r="E14" i="24"/>
  <c r="R13" i="24"/>
  <c r="Q10" i="24"/>
  <c r="P10" i="24"/>
  <c r="P27" i="24" s="1"/>
  <c r="O10" i="24"/>
  <c r="O27" i="24" s="1"/>
  <c r="N10" i="24"/>
  <c r="N27" i="24" s="1"/>
  <c r="M10" i="24"/>
  <c r="L10" i="24"/>
  <c r="K10" i="24"/>
  <c r="K27" i="24" s="1"/>
  <c r="J10" i="24"/>
  <c r="I10" i="24"/>
  <c r="I27" i="24" s="1"/>
  <c r="H10" i="24"/>
  <c r="G10" i="24"/>
  <c r="F10" i="24"/>
  <c r="E10" i="24"/>
  <c r="R9" i="24"/>
  <c r="R8" i="24"/>
  <c r="R7" i="24"/>
  <c r="B6" i="23"/>
  <c r="C4" i="23"/>
  <c r="O24" i="21"/>
  <c r="P23" i="21"/>
  <c r="M23" i="21"/>
  <c r="K23" i="21"/>
  <c r="M22" i="21"/>
  <c r="M21" i="21"/>
  <c r="M20" i="21"/>
  <c r="M19" i="21"/>
  <c r="F68" i="20"/>
  <c r="E68" i="20"/>
  <c r="D68" i="20"/>
  <c r="E67" i="20"/>
  <c r="D67" i="20"/>
  <c r="F66" i="20"/>
  <c r="E66" i="20"/>
  <c r="D66" i="20"/>
  <c r="F65" i="20"/>
  <c r="E65" i="20"/>
  <c r="D65" i="20"/>
  <c r="E64" i="20"/>
  <c r="D64" i="20"/>
  <c r="E63" i="20"/>
  <c r="D63" i="20"/>
  <c r="E62" i="20"/>
  <c r="D62" i="20"/>
  <c r="E61" i="20"/>
  <c r="D61" i="20"/>
  <c r="E60" i="20"/>
  <c r="D60" i="20"/>
  <c r="E59" i="20"/>
  <c r="D59" i="20"/>
  <c r="E58" i="20"/>
  <c r="D58" i="20"/>
  <c r="K57" i="20"/>
  <c r="I57" i="20"/>
  <c r="H57" i="20"/>
  <c r="F57" i="20"/>
  <c r="K56" i="20"/>
  <c r="I56" i="20"/>
  <c r="H56" i="20"/>
  <c r="G56" i="20"/>
  <c r="F56" i="20"/>
  <c r="E51" i="20"/>
  <c r="E50" i="20"/>
  <c r="E49" i="20"/>
  <c r="E48" i="20"/>
  <c r="E47" i="20"/>
  <c r="E46" i="20"/>
  <c r="E45" i="20"/>
  <c r="E44" i="20"/>
  <c r="E43" i="20"/>
  <c r="E42" i="20"/>
  <c r="E41" i="20"/>
  <c r="P39" i="20"/>
  <c r="P57" i="20" s="1"/>
  <c r="O39" i="20"/>
  <c r="O57" i="20" s="1"/>
  <c r="N39" i="20"/>
  <c r="N57" i="20" s="1"/>
  <c r="M39" i="20"/>
  <c r="M57" i="20" s="1"/>
  <c r="L39" i="20"/>
  <c r="L57" i="20" s="1"/>
  <c r="K39" i="20"/>
  <c r="J39" i="20"/>
  <c r="J57" i="20" s="1"/>
  <c r="I39" i="20"/>
  <c r="H39" i="20"/>
  <c r="G39" i="20"/>
  <c r="G57" i="20" s="1"/>
  <c r="F39" i="20"/>
  <c r="D39" i="20"/>
  <c r="P38" i="20"/>
  <c r="P56" i="20" s="1"/>
  <c r="O38" i="20"/>
  <c r="O56" i="20" s="1"/>
  <c r="N38" i="20"/>
  <c r="N56" i="20" s="1"/>
  <c r="M38" i="20"/>
  <c r="M56" i="20" s="1"/>
  <c r="L38" i="20"/>
  <c r="L56" i="20" s="1"/>
  <c r="K38" i="20"/>
  <c r="J38" i="20"/>
  <c r="J56" i="20" s="1"/>
  <c r="I38" i="20"/>
  <c r="H38" i="20"/>
  <c r="G38" i="20"/>
  <c r="F38" i="20"/>
  <c r="D38" i="20"/>
  <c r="D32" i="20"/>
  <c r="D31" i="20"/>
  <c r="D30" i="20"/>
  <c r="D29" i="20"/>
  <c r="D28" i="20"/>
  <c r="D27" i="20"/>
  <c r="D26" i="20"/>
  <c r="D25" i="20"/>
  <c r="D24" i="20"/>
  <c r="D23" i="20"/>
  <c r="D22" i="20"/>
  <c r="D15" i="20"/>
  <c r="D14" i="20"/>
  <c r="D13" i="20"/>
  <c r="D12" i="20"/>
  <c r="D11" i="20"/>
  <c r="E240" i="29" s="1"/>
  <c r="D10" i="20"/>
  <c r="E239" i="29" s="1"/>
  <c r="D9" i="20"/>
  <c r="E238" i="29" s="1"/>
  <c r="D8" i="20"/>
  <c r="E237" i="29" s="1"/>
  <c r="D7" i="20"/>
  <c r="E236" i="29" s="1"/>
  <c r="D6" i="20"/>
  <c r="E235" i="29" s="1"/>
  <c r="D5" i="20"/>
  <c r="E234" i="29" s="1"/>
  <c r="C29" i="19"/>
  <c r="C15" i="19"/>
  <c r="C14" i="19"/>
  <c r="C9" i="19"/>
  <c r="C7" i="19"/>
  <c r="C3" i="19"/>
  <c r="I118" i="17"/>
  <c r="H118" i="17"/>
  <c r="U113" i="17"/>
  <c r="T113" i="17"/>
  <c r="S113" i="17"/>
  <c r="R113" i="17"/>
  <c r="Q113" i="17"/>
  <c r="P113" i="17"/>
  <c r="O113" i="17"/>
  <c r="N113" i="17"/>
  <c r="M113" i="17"/>
  <c r="L113" i="17"/>
  <c r="K113" i="17"/>
  <c r="J113" i="17"/>
  <c r="I113" i="17"/>
  <c r="H113" i="17"/>
  <c r="U109" i="17"/>
  <c r="T109" i="17"/>
  <c r="S109" i="17"/>
  <c r="R109" i="17"/>
  <c r="Q109" i="17"/>
  <c r="P109" i="17"/>
  <c r="I109" i="17"/>
  <c r="H109" i="17"/>
  <c r="U108" i="17"/>
  <c r="T108" i="17"/>
  <c r="S108" i="17"/>
  <c r="R108" i="17"/>
  <c r="Q108" i="17"/>
  <c r="P108" i="17"/>
  <c r="O108" i="17"/>
  <c r="I108" i="17"/>
  <c r="H108" i="17"/>
  <c r="U107" i="17"/>
  <c r="T107" i="17"/>
  <c r="S107" i="17"/>
  <c r="R107" i="17"/>
  <c r="Q107" i="17"/>
  <c r="P107" i="17"/>
  <c r="I107" i="17"/>
  <c r="H107" i="17"/>
  <c r="U106" i="17"/>
  <c r="T106" i="17"/>
  <c r="S106" i="17"/>
  <c r="R106" i="17"/>
  <c r="Q106" i="17"/>
  <c r="Q102" i="17" s="1"/>
  <c r="P106" i="17"/>
  <c r="P102" i="17" s="1"/>
  <c r="O106" i="17"/>
  <c r="O102" i="17" s="1"/>
  <c r="N106" i="17"/>
  <c r="N102" i="17" s="1"/>
  <c r="M106" i="17"/>
  <c r="L106" i="17"/>
  <c r="K106" i="17"/>
  <c r="J106" i="17"/>
  <c r="I106" i="17"/>
  <c r="H106" i="17"/>
  <c r="U104" i="17"/>
  <c r="T104" i="17"/>
  <c r="S104" i="17"/>
  <c r="R104" i="17"/>
  <c r="Q104" i="17"/>
  <c r="P104" i="17"/>
  <c r="I104" i="17"/>
  <c r="H104" i="17"/>
  <c r="U102" i="17"/>
  <c r="T102" i="17"/>
  <c r="S102" i="17"/>
  <c r="R102" i="17"/>
  <c r="M102" i="17"/>
  <c r="L102" i="17"/>
  <c r="K102" i="17"/>
  <c r="J102" i="17"/>
  <c r="I102" i="17"/>
  <c r="H102" i="17"/>
  <c r="U98" i="17"/>
  <c r="T98" i="17"/>
  <c r="S98" i="17"/>
  <c r="R98" i="17"/>
  <c r="Q98" i="17"/>
  <c r="P98" i="17"/>
  <c r="O98" i="17"/>
  <c r="N98" i="17"/>
  <c r="M98" i="17"/>
  <c r="L98" i="17"/>
  <c r="K98" i="17"/>
  <c r="J98" i="17"/>
  <c r="I98" i="17"/>
  <c r="H98" i="17"/>
  <c r="U85" i="17"/>
  <c r="T85" i="17"/>
  <c r="S85" i="17"/>
  <c r="R85" i="17"/>
  <c r="Q85" i="17"/>
  <c r="P85" i="17"/>
  <c r="O85" i="17"/>
  <c r="N85" i="17"/>
  <c r="M85" i="17"/>
  <c r="L85" i="17"/>
  <c r="K85" i="17"/>
  <c r="J85" i="17"/>
  <c r="I85" i="17"/>
  <c r="H85" i="17"/>
  <c r="U81" i="17"/>
  <c r="T81" i="17"/>
  <c r="S81" i="17"/>
  <c r="R81" i="17"/>
  <c r="Q81" i="17"/>
  <c r="P81" i="17"/>
  <c r="O81" i="17"/>
  <c r="N81" i="17"/>
  <c r="M81" i="17"/>
  <c r="L81" i="17"/>
  <c r="K81" i="17"/>
  <c r="H81" i="17"/>
  <c r="J77" i="17"/>
  <c r="I77" i="17"/>
  <c r="H77" i="17"/>
  <c r="H76" i="17"/>
  <c r="H117" i="17" s="1"/>
  <c r="H75" i="17"/>
  <c r="H78" i="17" s="1"/>
  <c r="C72" i="17"/>
  <c r="C71" i="17"/>
  <c r="C69" i="17"/>
  <c r="C68" i="17"/>
  <c r="C67" i="17"/>
  <c r="C66" i="17"/>
  <c r="H12" i="17"/>
  <c r="H32" i="17" s="1"/>
  <c r="D9" i="17"/>
  <c r="B9" i="17"/>
  <c r="D8" i="17"/>
  <c r="C8" i="17"/>
  <c r="B8" i="17"/>
  <c r="D7" i="17"/>
  <c r="C7" i="17"/>
  <c r="C35" i="28" s="1"/>
  <c r="B7" i="17"/>
  <c r="D6" i="17"/>
  <c r="C6" i="17"/>
  <c r="B6" i="17"/>
  <c r="C49" i="16"/>
  <c r="C38" i="16"/>
  <c r="P16" i="16"/>
  <c r="O16" i="16"/>
  <c r="N16" i="16"/>
  <c r="M16" i="16"/>
  <c r="L16" i="16"/>
  <c r="K16" i="16"/>
  <c r="J16" i="16"/>
  <c r="I16" i="16"/>
  <c r="H16" i="16"/>
  <c r="G16" i="16"/>
  <c r="F16" i="16"/>
  <c r="E16" i="16"/>
  <c r="D16" i="16"/>
  <c r="Q16" i="16" s="1"/>
  <c r="C16" i="16"/>
  <c r="C15" i="16"/>
  <c r="C14" i="16"/>
  <c r="C13" i="16"/>
  <c r="C12" i="16"/>
  <c r="C11" i="16"/>
  <c r="C10" i="16"/>
  <c r="C8" i="16"/>
  <c r="C7" i="16"/>
  <c r="C9" i="16" s="1"/>
  <c r="B33" i="15"/>
  <c r="B32" i="15"/>
  <c r="B31" i="15"/>
  <c r="B29" i="15"/>
  <c r="B28" i="15"/>
  <c r="B27" i="15"/>
  <c r="K24" i="15"/>
  <c r="E181" i="28" s="1"/>
  <c r="C213" i="28" s="1"/>
  <c r="B24" i="15"/>
  <c r="K23" i="15"/>
  <c r="E180" i="28" s="1"/>
  <c r="C212" i="28" s="1"/>
  <c r="F23" i="15"/>
  <c r="E23" i="15"/>
  <c r="K22" i="15"/>
  <c r="E179" i="28" s="1"/>
  <c r="C211" i="28" s="1"/>
  <c r="K21" i="15"/>
  <c r="E178" i="28" s="1"/>
  <c r="C210" i="28" s="1"/>
  <c r="K20" i="15"/>
  <c r="E177" i="28" s="1"/>
  <c r="C209" i="28" s="1"/>
  <c r="K19" i="15"/>
  <c r="E176" i="28" s="1"/>
  <c r="C208" i="28" s="1"/>
  <c r="K18" i="15"/>
  <c r="E175" i="28" s="1"/>
  <c r="E241" i="14"/>
  <c r="D238" i="14"/>
  <c r="D231" i="14"/>
  <c r="D232" i="14" s="1"/>
  <c r="E230" i="14"/>
  <c r="D213" i="14"/>
  <c r="D209" i="14"/>
  <c r="C205" i="14"/>
  <c r="A204" i="14"/>
  <c r="A214" i="14" s="1"/>
  <c r="C203" i="14"/>
  <c r="A203" i="14"/>
  <c r="A213" i="14" s="1"/>
  <c r="C200" i="14"/>
  <c r="D212" i="14" s="1"/>
  <c r="D235" i="14" s="1"/>
  <c r="D236" i="14" s="1"/>
  <c r="E234" i="14" s="1"/>
  <c r="C199" i="14"/>
  <c r="C198" i="14"/>
  <c r="Y189" i="14"/>
  <c r="X189" i="14"/>
  <c r="W189" i="14"/>
  <c r="V189" i="14"/>
  <c r="U189" i="14"/>
  <c r="T189" i="14"/>
  <c r="S189" i="14"/>
  <c r="R189" i="14"/>
  <c r="Q189" i="14"/>
  <c r="P189" i="14"/>
  <c r="O189" i="14"/>
  <c r="N189" i="14"/>
  <c r="M189" i="14"/>
  <c r="L189" i="14"/>
  <c r="K189" i="14"/>
  <c r="J189" i="14"/>
  <c r="I189" i="14"/>
  <c r="Z188" i="14"/>
  <c r="E188" i="14"/>
  <c r="Z187" i="14"/>
  <c r="Z189" i="14" s="1"/>
  <c r="Z186" i="14"/>
  <c r="Z185" i="14"/>
  <c r="Y182" i="14"/>
  <c r="X182" i="14"/>
  <c r="W182" i="14"/>
  <c r="V182" i="14"/>
  <c r="U182" i="14"/>
  <c r="T182" i="14"/>
  <c r="S182" i="14"/>
  <c r="R182" i="14"/>
  <c r="Q182" i="14"/>
  <c r="P182" i="14"/>
  <c r="O182" i="14"/>
  <c r="N182" i="14"/>
  <c r="M182" i="14"/>
  <c r="L182" i="14"/>
  <c r="K182" i="14"/>
  <c r="J182" i="14"/>
  <c r="I182" i="14"/>
  <c r="Z181" i="14"/>
  <c r="Z180" i="14"/>
  <c r="E180" i="14"/>
  <c r="Z179" i="14"/>
  <c r="E179" i="14"/>
  <c r="Z178" i="14"/>
  <c r="Z182" i="14" s="1"/>
  <c r="E178" i="14"/>
  <c r="Z177" i="14"/>
  <c r="Y174" i="14"/>
  <c r="X174" i="14"/>
  <c r="W174" i="14"/>
  <c r="V174" i="14"/>
  <c r="U174" i="14"/>
  <c r="T174" i="14"/>
  <c r="S174" i="14"/>
  <c r="R174" i="14"/>
  <c r="Q174" i="14"/>
  <c r="P174" i="14"/>
  <c r="O174" i="14"/>
  <c r="N174" i="14"/>
  <c r="M174" i="14"/>
  <c r="L174" i="14"/>
  <c r="K174" i="14"/>
  <c r="J174" i="14"/>
  <c r="I174" i="14"/>
  <c r="Z173" i="14"/>
  <c r="E173" i="14"/>
  <c r="Z172" i="14"/>
  <c r="E172" i="14"/>
  <c r="Z171" i="14"/>
  <c r="E171" i="14"/>
  <c r="N170" i="14"/>
  <c r="L170" i="14"/>
  <c r="K170" i="14"/>
  <c r="J170" i="14"/>
  <c r="I170" i="14"/>
  <c r="B151" i="14"/>
  <c r="E152" i="14" s="1"/>
  <c r="B146" i="14"/>
  <c r="Z136" i="14"/>
  <c r="Y129" i="14"/>
  <c r="X129" i="14"/>
  <c r="W129" i="14"/>
  <c r="V129" i="14"/>
  <c r="U129" i="14"/>
  <c r="T129" i="14"/>
  <c r="S129" i="14"/>
  <c r="R129" i="14"/>
  <c r="Q129" i="14"/>
  <c r="P129" i="14"/>
  <c r="O129" i="14"/>
  <c r="N129" i="14"/>
  <c r="M129" i="14"/>
  <c r="L129" i="14"/>
  <c r="K129" i="14"/>
  <c r="J129" i="14"/>
  <c r="I129" i="14"/>
  <c r="E129" i="14"/>
  <c r="Z128" i="14"/>
  <c r="Z127" i="14"/>
  <c r="Z126" i="14"/>
  <c r="Y122" i="14"/>
  <c r="X122" i="14"/>
  <c r="W122" i="14"/>
  <c r="V122" i="14"/>
  <c r="U122" i="14"/>
  <c r="T122" i="14"/>
  <c r="S122" i="14"/>
  <c r="R122" i="14"/>
  <c r="Q122" i="14"/>
  <c r="P122" i="14"/>
  <c r="O122" i="14"/>
  <c r="N122" i="14"/>
  <c r="M122" i="14"/>
  <c r="L122" i="14"/>
  <c r="K122" i="14"/>
  <c r="J122" i="14"/>
  <c r="I122" i="14"/>
  <c r="Z122" i="14" s="1"/>
  <c r="E122" i="14"/>
  <c r="E12" i="14" s="1"/>
  <c r="C165" i="28" s="1"/>
  <c r="C252" i="29" s="1"/>
  <c r="Z121" i="14"/>
  <c r="AA121" i="14" s="1"/>
  <c r="E121" i="14"/>
  <c r="AA120" i="14"/>
  <c r="Z120" i="14"/>
  <c r="E120" i="14"/>
  <c r="Z119" i="14"/>
  <c r="E119" i="14"/>
  <c r="Y116" i="14"/>
  <c r="X116" i="14"/>
  <c r="W116" i="14"/>
  <c r="V116" i="14"/>
  <c r="U116" i="14"/>
  <c r="T116" i="14"/>
  <c r="S116" i="14"/>
  <c r="R116" i="14"/>
  <c r="Q116" i="14"/>
  <c r="P116" i="14"/>
  <c r="O116" i="14"/>
  <c r="N116" i="14"/>
  <c r="M116" i="14"/>
  <c r="L116" i="14"/>
  <c r="K116" i="14"/>
  <c r="J116" i="14"/>
  <c r="I116" i="14"/>
  <c r="Z115" i="14"/>
  <c r="AA115" i="14" s="1"/>
  <c r="E115" i="14"/>
  <c r="Z114" i="14"/>
  <c r="AA114" i="14" s="1"/>
  <c r="E114" i="14"/>
  <c r="AA113" i="14"/>
  <c r="Z113" i="14"/>
  <c r="E113" i="14"/>
  <c r="Z112" i="14"/>
  <c r="AA112" i="14" s="1"/>
  <c r="E112" i="14"/>
  <c r="Z111" i="14"/>
  <c r="AA111" i="14" s="1"/>
  <c r="E111" i="14"/>
  <c r="AA110" i="14"/>
  <c r="Z110" i="14"/>
  <c r="E110" i="14"/>
  <c r="AA109" i="14"/>
  <c r="Z109" i="14"/>
  <c r="E109" i="14"/>
  <c r="Z108" i="14"/>
  <c r="AA108" i="14" s="1"/>
  <c r="E108" i="14"/>
  <c r="Z107" i="14"/>
  <c r="AA107" i="14" s="1"/>
  <c r="E107" i="14"/>
  <c r="AA106" i="14"/>
  <c r="Z106" i="14"/>
  <c r="E106" i="14"/>
  <c r="E116" i="14" s="1"/>
  <c r="AA116" i="14" s="1"/>
  <c r="Y103" i="14"/>
  <c r="X103" i="14"/>
  <c r="W103" i="14"/>
  <c r="V103" i="14"/>
  <c r="U103" i="14"/>
  <c r="T103" i="14"/>
  <c r="S103" i="14"/>
  <c r="R103" i="14"/>
  <c r="Q103" i="14"/>
  <c r="P103" i="14"/>
  <c r="O103" i="14"/>
  <c r="N103" i="14"/>
  <c r="M103" i="14"/>
  <c r="L103" i="14"/>
  <c r="K103" i="14"/>
  <c r="J103" i="14"/>
  <c r="I103" i="14"/>
  <c r="Z102" i="14"/>
  <c r="AA102" i="14" s="1"/>
  <c r="E102" i="14"/>
  <c r="Z101" i="14"/>
  <c r="AA101" i="14" s="1"/>
  <c r="E101" i="14"/>
  <c r="Z100" i="14"/>
  <c r="E100" i="14"/>
  <c r="AA99" i="14"/>
  <c r="Z99" i="14"/>
  <c r="E99" i="14"/>
  <c r="Z98" i="14"/>
  <c r="E98" i="14"/>
  <c r="Z97" i="14"/>
  <c r="AA97" i="14" s="1"/>
  <c r="E97" i="14"/>
  <c r="Z96" i="14"/>
  <c r="E96" i="14"/>
  <c r="AA95" i="14"/>
  <c r="Z95" i="14"/>
  <c r="E95" i="14"/>
  <c r="Z94" i="14"/>
  <c r="AA94" i="14" s="1"/>
  <c r="E94" i="14"/>
  <c r="Z93" i="14"/>
  <c r="AA93" i="14" s="1"/>
  <c r="E93" i="14"/>
  <c r="Z92" i="14"/>
  <c r="AA92" i="14" s="1"/>
  <c r="E92" i="14"/>
  <c r="AA91" i="14"/>
  <c r="Z91" i="14"/>
  <c r="E91" i="14"/>
  <c r="Z90" i="14"/>
  <c r="AA90" i="14" s="1"/>
  <c r="E90" i="14"/>
  <c r="Z89" i="14"/>
  <c r="AA89" i="14" s="1"/>
  <c r="E89" i="14"/>
  <c r="Z88" i="14"/>
  <c r="E88" i="14"/>
  <c r="AA87" i="14"/>
  <c r="Z87" i="14"/>
  <c r="E87" i="14"/>
  <c r="Z86" i="14"/>
  <c r="AA86" i="14" s="1"/>
  <c r="E86" i="14"/>
  <c r="Z85" i="14"/>
  <c r="AA85" i="14" s="1"/>
  <c r="E85" i="14"/>
  <c r="Z84" i="14"/>
  <c r="E84" i="14"/>
  <c r="AA83" i="14"/>
  <c r="Z83" i="14"/>
  <c r="E83" i="14"/>
  <c r="Z82" i="14"/>
  <c r="E82" i="14"/>
  <c r="AA82" i="14" s="1"/>
  <c r="Z81" i="14"/>
  <c r="AA81" i="14" s="1"/>
  <c r="E81" i="14"/>
  <c r="Z80" i="14"/>
  <c r="AA80" i="14" s="1"/>
  <c r="E80" i="14"/>
  <c r="AA79" i="14"/>
  <c r="Z79" i="14"/>
  <c r="E79" i="14"/>
  <c r="AA78" i="14"/>
  <c r="Z78" i="14"/>
  <c r="E78" i="14"/>
  <c r="Z77" i="14"/>
  <c r="AA77" i="14" s="1"/>
  <c r="E77" i="14"/>
  <c r="Z76" i="14"/>
  <c r="AA76" i="14" s="1"/>
  <c r="E76" i="14"/>
  <c r="AA75" i="14"/>
  <c r="Z75" i="14"/>
  <c r="E75" i="14"/>
  <c r="AA73" i="14"/>
  <c r="Y72" i="14"/>
  <c r="X72" i="14"/>
  <c r="W72" i="14"/>
  <c r="V72" i="14"/>
  <c r="U72" i="14"/>
  <c r="T72" i="14"/>
  <c r="S72" i="14"/>
  <c r="R72" i="14"/>
  <c r="Q72" i="14"/>
  <c r="P72" i="14"/>
  <c r="O72" i="14"/>
  <c r="N72" i="14"/>
  <c r="Z72" i="14" s="1"/>
  <c r="AA72" i="14" s="1"/>
  <c r="M72" i="14"/>
  <c r="L72" i="14"/>
  <c r="K72" i="14"/>
  <c r="J72" i="14"/>
  <c r="I72" i="14"/>
  <c r="Z71" i="14"/>
  <c r="E71" i="14"/>
  <c r="Z70" i="14"/>
  <c r="E70" i="14"/>
  <c r="Z69" i="14"/>
  <c r="E69" i="14"/>
  <c r="AA69" i="14" s="1"/>
  <c r="Z68" i="14"/>
  <c r="AA68" i="14" s="1"/>
  <c r="E68" i="14"/>
  <c r="AA67" i="14"/>
  <c r="Z67" i="14"/>
  <c r="E67" i="14"/>
  <c r="Z66" i="14"/>
  <c r="AA66" i="14" s="1"/>
  <c r="E66" i="14"/>
  <c r="Z65" i="14"/>
  <c r="E65" i="14"/>
  <c r="AA65" i="14" s="1"/>
  <c r="Z64" i="14"/>
  <c r="AA64" i="14" s="1"/>
  <c r="E64" i="14"/>
  <c r="AA63" i="14"/>
  <c r="Z63" i="14"/>
  <c r="E63" i="14"/>
  <c r="Z62" i="14"/>
  <c r="AA62" i="14" s="1"/>
  <c r="E62" i="14"/>
  <c r="E72" i="14" s="1"/>
  <c r="E9" i="14" s="1"/>
  <c r="C162" i="28" s="1"/>
  <c r="C249" i="29" s="1"/>
  <c r="AA61" i="14"/>
  <c r="Z61" i="14"/>
  <c r="E61" i="14"/>
  <c r="AA59" i="14"/>
  <c r="Y58" i="14"/>
  <c r="X58" i="14"/>
  <c r="W58" i="14"/>
  <c r="V58" i="14"/>
  <c r="U58" i="14"/>
  <c r="T58" i="14"/>
  <c r="S58" i="14"/>
  <c r="R58" i="14"/>
  <c r="Q58" i="14"/>
  <c r="P58" i="14"/>
  <c r="O58" i="14"/>
  <c r="N58" i="14"/>
  <c r="M58" i="14"/>
  <c r="L58" i="14"/>
  <c r="K58" i="14"/>
  <c r="J58" i="14"/>
  <c r="I58" i="14"/>
  <c r="Z57" i="14"/>
  <c r="E57" i="14"/>
  <c r="AA57" i="14" s="1"/>
  <c r="Z56" i="14"/>
  <c r="E56" i="14"/>
  <c r="AA56" i="14" s="1"/>
  <c r="AA55" i="14"/>
  <c r="Z55" i="14"/>
  <c r="E55" i="14"/>
  <c r="Z54" i="14"/>
  <c r="AA54" i="14" s="1"/>
  <c r="E54" i="14"/>
  <c r="Z53" i="14"/>
  <c r="AA53" i="14" s="1"/>
  <c r="E53" i="14"/>
  <c r="E58" i="14" s="1"/>
  <c r="E8" i="14" s="1"/>
  <c r="C161" i="28" s="1"/>
  <c r="C248" i="29" s="1"/>
  <c r="Z52" i="14"/>
  <c r="E52" i="14"/>
  <c r="AA52" i="14" s="1"/>
  <c r="AA51" i="14"/>
  <c r="Z51" i="14"/>
  <c r="E51" i="14"/>
  <c r="Y48" i="14"/>
  <c r="X48" i="14"/>
  <c r="W48" i="14"/>
  <c r="V48" i="14"/>
  <c r="U48" i="14"/>
  <c r="T48" i="14"/>
  <c r="S48" i="14"/>
  <c r="R48" i="14"/>
  <c r="Q48" i="14"/>
  <c r="P48" i="14"/>
  <c r="O48" i="14"/>
  <c r="N48" i="14"/>
  <c r="M48" i="14"/>
  <c r="L48" i="14"/>
  <c r="K48" i="14"/>
  <c r="J48" i="14"/>
  <c r="I48" i="14"/>
  <c r="Z47" i="14"/>
  <c r="AA47" i="14" s="1"/>
  <c r="E47" i="14"/>
  <c r="Z46" i="14"/>
  <c r="AA46" i="14" s="1"/>
  <c r="E46" i="14"/>
  <c r="Z45" i="14"/>
  <c r="AA45" i="14" s="1"/>
  <c r="E45" i="14"/>
  <c r="AA44" i="14"/>
  <c r="Z44" i="14"/>
  <c r="E44" i="14"/>
  <c r="Z43" i="14"/>
  <c r="AA43" i="14" s="1"/>
  <c r="E43" i="14"/>
  <c r="Z42" i="14"/>
  <c r="AA42" i="14" s="1"/>
  <c r="E42" i="14"/>
  <c r="B145" i="14" s="1"/>
  <c r="AA41" i="14"/>
  <c r="Z41" i="14"/>
  <c r="E41" i="14"/>
  <c r="B144" i="14" s="1"/>
  <c r="AA40" i="14"/>
  <c r="Z40" i="14"/>
  <c r="E40" i="14"/>
  <c r="B155" i="14" s="1"/>
  <c r="E156" i="14" s="1"/>
  <c r="Z39" i="14"/>
  <c r="AA39" i="14" s="1"/>
  <c r="E39" i="14"/>
  <c r="E48" i="14" s="1"/>
  <c r="E7" i="14" s="1"/>
  <c r="C160" i="28" s="1"/>
  <c r="C247" i="29" s="1"/>
  <c r="X36" i="14"/>
  <c r="W36" i="14"/>
  <c r="V36" i="14"/>
  <c r="U36" i="14"/>
  <c r="R36" i="14"/>
  <c r="Q36" i="14"/>
  <c r="L36" i="14"/>
  <c r="K36" i="14"/>
  <c r="J36" i="14"/>
  <c r="I36" i="14"/>
  <c r="Z35" i="14"/>
  <c r="E35" i="14"/>
  <c r="Z34" i="14"/>
  <c r="E34" i="14"/>
  <c r="Z33" i="14"/>
  <c r="E33" i="14"/>
  <c r="Z32" i="14"/>
  <c r="AA32" i="14" s="1"/>
  <c r="E32" i="14"/>
  <c r="AA31" i="14"/>
  <c r="Z31" i="14"/>
  <c r="E31" i="14"/>
  <c r="Z30" i="14"/>
  <c r="AA30" i="14" s="1"/>
  <c r="E30" i="14"/>
  <c r="Z29" i="14"/>
  <c r="E29" i="14"/>
  <c r="AA29" i="14" s="1"/>
  <c r="AA28" i="14"/>
  <c r="Z28" i="14"/>
  <c r="E28" i="14"/>
  <c r="AA27" i="14"/>
  <c r="Z27" i="14"/>
  <c r="E27" i="14"/>
  <c r="Z26" i="14"/>
  <c r="AA26" i="14" s="1"/>
  <c r="E26" i="14"/>
  <c r="Z25" i="14"/>
  <c r="E25" i="14"/>
  <c r="AA25" i="14" s="1"/>
  <c r="Y24" i="14"/>
  <c r="Y36" i="14" s="1"/>
  <c r="X24" i="14"/>
  <c r="W24" i="14"/>
  <c r="V24" i="14"/>
  <c r="U24" i="14"/>
  <c r="T24" i="14"/>
  <c r="T36" i="14" s="1"/>
  <c r="S24" i="14"/>
  <c r="S36" i="14" s="1"/>
  <c r="R24" i="14"/>
  <c r="Q24" i="14"/>
  <c r="P24" i="14"/>
  <c r="P36" i="14" s="1"/>
  <c r="O24" i="14"/>
  <c r="N24" i="14"/>
  <c r="N36" i="14" s="1"/>
  <c r="M24" i="14"/>
  <c r="L24" i="14"/>
  <c r="E24" i="14"/>
  <c r="E13" i="14"/>
  <c r="E11" i="14"/>
  <c r="C164" i="28" s="1"/>
  <c r="C251" i="29" s="1"/>
  <c r="R152" i="13"/>
  <c r="R151" i="13"/>
  <c r="R150" i="13"/>
  <c r="R148" i="13"/>
  <c r="S138" i="13"/>
  <c r="F137" i="13"/>
  <c r="S136" i="13"/>
  <c r="S135" i="13"/>
  <c r="G126" i="13"/>
  <c r="G128" i="13" s="1"/>
  <c r="G138" i="13" s="1"/>
  <c r="M125" i="13"/>
  <c r="N125" i="13" s="1"/>
  <c r="O125" i="13" s="1"/>
  <c r="P125" i="13" s="1"/>
  <c r="Q125" i="13" s="1"/>
  <c r="R125" i="13" s="1"/>
  <c r="K125" i="13"/>
  <c r="L125" i="13" s="1"/>
  <c r="G125" i="13"/>
  <c r="H125" i="13" s="1"/>
  <c r="I125" i="13" s="1"/>
  <c r="J125" i="13" s="1"/>
  <c r="K124" i="13"/>
  <c r="L124" i="13" s="1"/>
  <c r="M124" i="13" s="1"/>
  <c r="N124" i="13" s="1"/>
  <c r="O124" i="13" s="1"/>
  <c r="P124" i="13" s="1"/>
  <c r="Q124" i="13" s="1"/>
  <c r="R124" i="13" s="1"/>
  <c r="G124" i="13"/>
  <c r="H124" i="13" s="1"/>
  <c r="I124" i="13" s="1"/>
  <c r="J124" i="13" s="1"/>
  <c r="G123" i="13"/>
  <c r="H123" i="13" s="1"/>
  <c r="I123" i="13" s="1"/>
  <c r="J123" i="13" s="1"/>
  <c r="K123" i="13" s="1"/>
  <c r="L123" i="13" s="1"/>
  <c r="M123" i="13" s="1"/>
  <c r="N123" i="13" s="1"/>
  <c r="O123" i="13" s="1"/>
  <c r="P123" i="13" s="1"/>
  <c r="Q123" i="13" s="1"/>
  <c r="R123" i="13" s="1"/>
  <c r="M122" i="13"/>
  <c r="N122" i="13" s="1"/>
  <c r="O122" i="13" s="1"/>
  <c r="P122" i="13" s="1"/>
  <c r="Q122" i="13" s="1"/>
  <c r="R122" i="13" s="1"/>
  <c r="K122" i="13"/>
  <c r="L122" i="13" s="1"/>
  <c r="G122" i="13"/>
  <c r="H122" i="13" s="1"/>
  <c r="I122" i="13" s="1"/>
  <c r="J122" i="13" s="1"/>
  <c r="G121" i="13"/>
  <c r="H121" i="13" s="1"/>
  <c r="I121" i="13" s="1"/>
  <c r="J121" i="13" s="1"/>
  <c r="K121" i="13" s="1"/>
  <c r="L121" i="13" s="1"/>
  <c r="M121" i="13" s="1"/>
  <c r="N121" i="13" s="1"/>
  <c r="O121" i="13" s="1"/>
  <c r="P121" i="13" s="1"/>
  <c r="Q121" i="13" s="1"/>
  <c r="R121" i="13" s="1"/>
  <c r="G120" i="13"/>
  <c r="H120" i="13" s="1"/>
  <c r="I120" i="13" s="1"/>
  <c r="J120" i="13" s="1"/>
  <c r="K120" i="13" s="1"/>
  <c r="L120" i="13" s="1"/>
  <c r="M120" i="13" s="1"/>
  <c r="N120" i="13" s="1"/>
  <c r="O120" i="13" s="1"/>
  <c r="P120" i="13" s="1"/>
  <c r="Q120" i="13" s="1"/>
  <c r="R120" i="13" s="1"/>
  <c r="K119" i="13"/>
  <c r="L119" i="13" s="1"/>
  <c r="M119" i="13" s="1"/>
  <c r="N119" i="13" s="1"/>
  <c r="O119" i="13" s="1"/>
  <c r="P119" i="13" s="1"/>
  <c r="Q119" i="13" s="1"/>
  <c r="R119" i="13" s="1"/>
  <c r="G119" i="13"/>
  <c r="H119" i="13" s="1"/>
  <c r="I119" i="13" s="1"/>
  <c r="J119" i="13" s="1"/>
  <c r="K118" i="13"/>
  <c r="L118" i="13" s="1"/>
  <c r="M118" i="13" s="1"/>
  <c r="N118" i="13" s="1"/>
  <c r="O118" i="13" s="1"/>
  <c r="P118" i="13" s="1"/>
  <c r="Q118" i="13" s="1"/>
  <c r="R118" i="13" s="1"/>
  <c r="G118" i="13"/>
  <c r="H118" i="13" s="1"/>
  <c r="I118" i="13" s="1"/>
  <c r="J118" i="13" s="1"/>
  <c r="G117" i="13"/>
  <c r="H117" i="13" s="1"/>
  <c r="H114" i="13"/>
  <c r="I114" i="13" s="1"/>
  <c r="J114" i="13" s="1"/>
  <c r="K114" i="13" s="1"/>
  <c r="L114" i="13" s="1"/>
  <c r="M114" i="13" s="1"/>
  <c r="N114" i="13" s="1"/>
  <c r="O114" i="13" s="1"/>
  <c r="P114" i="13" s="1"/>
  <c r="Q114" i="13" s="1"/>
  <c r="R114" i="13" s="1"/>
  <c r="G114" i="13"/>
  <c r="H113" i="13"/>
  <c r="I113" i="13" s="1"/>
  <c r="J113" i="13" s="1"/>
  <c r="K113" i="13" s="1"/>
  <c r="L113" i="13" s="1"/>
  <c r="M113" i="13" s="1"/>
  <c r="N113" i="13" s="1"/>
  <c r="O113" i="13" s="1"/>
  <c r="P113" i="13" s="1"/>
  <c r="Q113" i="13" s="1"/>
  <c r="R113" i="13" s="1"/>
  <c r="G113" i="13"/>
  <c r="H112" i="13"/>
  <c r="I112" i="13" s="1"/>
  <c r="J112" i="13" s="1"/>
  <c r="K112" i="13" s="1"/>
  <c r="L112" i="13" s="1"/>
  <c r="M112" i="13" s="1"/>
  <c r="N112" i="13" s="1"/>
  <c r="O112" i="13" s="1"/>
  <c r="P112" i="13" s="1"/>
  <c r="Q112" i="13" s="1"/>
  <c r="R112" i="13" s="1"/>
  <c r="G112" i="13"/>
  <c r="H111" i="13"/>
  <c r="I111" i="13" s="1"/>
  <c r="J111" i="13" s="1"/>
  <c r="K111" i="13" s="1"/>
  <c r="L111" i="13" s="1"/>
  <c r="M111" i="13" s="1"/>
  <c r="N111" i="13" s="1"/>
  <c r="O111" i="13" s="1"/>
  <c r="P111" i="13" s="1"/>
  <c r="Q111" i="13" s="1"/>
  <c r="R111" i="13" s="1"/>
  <c r="G111" i="13"/>
  <c r="H110" i="13"/>
  <c r="I110" i="13" s="1"/>
  <c r="J110" i="13" s="1"/>
  <c r="K110" i="13" s="1"/>
  <c r="L110" i="13" s="1"/>
  <c r="M110" i="13" s="1"/>
  <c r="N110" i="13" s="1"/>
  <c r="O110" i="13" s="1"/>
  <c r="P110" i="13" s="1"/>
  <c r="Q110" i="13" s="1"/>
  <c r="R110" i="13" s="1"/>
  <c r="G110" i="13"/>
  <c r="J109" i="13"/>
  <c r="K109" i="13" s="1"/>
  <c r="L109" i="13" s="1"/>
  <c r="M109" i="13" s="1"/>
  <c r="N109" i="13" s="1"/>
  <c r="O109" i="13" s="1"/>
  <c r="P109" i="13" s="1"/>
  <c r="Q109" i="13" s="1"/>
  <c r="R109" i="13" s="1"/>
  <c r="H109" i="13"/>
  <c r="I109" i="13" s="1"/>
  <c r="G109" i="13"/>
  <c r="H108" i="13"/>
  <c r="I108" i="13" s="1"/>
  <c r="J108" i="13" s="1"/>
  <c r="K108" i="13" s="1"/>
  <c r="L108" i="13" s="1"/>
  <c r="M108" i="13" s="1"/>
  <c r="N108" i="13" s="1"/>
  <c r="O108" i="13" s="1"/>
  <c r="P108" i="13" s="1"/>
  <c r="Q108" i="13" s="1"/>
  <c r="R108" i="13" s="1"/>
  <c r="G108" i="13"/>
  <c r="H107" i="13"/>
  <c r="I107" i="13" s="1"/>
  <c r="J107" i="13" s="1"/>
  <c r="K107" i="13" s="1"/>
  <c r="L107" i="13" s="1"/>
  <c r="M107" i="13" s="1"/>
  <c r="N107" i="13" s="1"/>
  <c r="O107" i="13" s="1"/>
  <c r="P107" i="13" s="1"/>
  <c r="Q107" i="13" s="1"/>
  <c r="R107" i="13" s="1"/>
  <c r="G107" i="13"/>
  <c r="O106" i="13"/>
  <c r="P106" i="13" s="1"/>
  <c r="Q106" i="13" s="1"/>
  <c r="R106" i="13" s="1"/>
  <c r="H106" i="13"/>
  <c r="I106" i="13" s="1"/>
  <c r="J106" i="13" s="1"/>
  <c r="K106" i="13" s="1"/>
  <c r="L106" i="13" s="1"/>
  <c r="M106" i="13" s="1"/>
  <c r="N106" i="13" s="1"/>
  <c r="G106" i="13"/>
  <c r="H105" i="13"/>
  <c r="I105" i="13" s="1"/>
  <c r="J105" i="13" s="1"/>
  <c r="K105" i="13" s="1"/>
  <c r="L105" i="13" s="1"/>
  <c r="M105" i="13" s="1"/>
  <c r="N105" i="13" s="1"/>
  <c r="O105" i="13" s="1"/>
  <c r="P105" i="13" s="1"/>
  <c r="Q105" i="13" s="1"/>
  <c r="R105" i="13" s="1"/>
  <c r="G105" i="13"/>
  <c r="M104" i="13"/>
  <c r="N104" i="13" s="1"/>
  <c r="O104" i="13" s="1"/>
  <c r="P104" i="13" s="1"/>
  <c r="Q104" i="13" s="1"/>
  <c r="R104" i="13" s="1"/>
  <c r="H104" i="13"/>
  <c r="I104" i="13" s="1"/>
  <c r="J104" i="13" s="1"/>
  <c r="K104" i="13" s="1"/>
  <c r="L104" i="13" s="1"/>
  <c r="G104" i="13"/>
  <c r="H103" i="13"/>
  <c r="G103" i="13"/>
  <c r="G115" i="13" s="1"/>
  <c r="H100" i="13"/>
  <c r="G100" i="13"/>
  <c r="K99" i="13"/>
  <c r="L99" i="13" s="1"/>
  <c r="M99" i="13" s="1"/>
  <c r="N99" i="13" s="1"/>
  <c r="O99" i="13" s="1"/>
  <c r="P99" i="13" s="1"/>
  <c r="Q99" i="13" s="1"/>
  <c r="R99" i="13" s="1"/>
  <c r="J99" i="13"/>
  <c r="H99" i="13"/>
  <c r="I99" i="13" s="1"/>
  <c r="G99" i="13"/>
  <c r="P98" i="13"/>
  <c r="Q98" i="13" s="1"/>
  <c r="R98" i="13" s="1"/>
  <c r="O98" i="13"/>
  <c r="N98" i="13"/>
  <c r="H98" i="13"/>
  <c r="I98" i="13" s="1"/>
  <c r="J98" i="13" s="1"/>
  <c r="K98" i="13" s="1"/>
  <c r="L98" i="13" s="1"/>
  <c r="M98" i="13" s="1"/>
  <c r="G98" i="13"/>
  <c r="J97" i="13"/>
  <c r="H97" i="13"/>
  <c r="I97" i="13" s="1"/>
  <c r="G97" i="13"/>
  <c r="G101" i="13" s="1"/>
  <c r="K95" i="13"/>
  <c r="H95" i="13"/>
  <c r="J94" i="13"/>
  <c r="K94" i="13" s="1"/>
  <c r="L94" i="13" s="1"/>
  <c r="M94" i="13" s="1"/>
  <c r="N94" i="13" s="1"/>
  <c r="O94" i="13" s="1"/>
  <c r="P94" i="13" s="1"/>
  <c r="Q94" i="13" s="1"/>
  <c r="R94" i="13" s="1"/>
  <c r="H94" i="13"/>
  <c r="I94" i="13" s="1"/>
  <c r="G94" i="13"/>
  <c r="G95" i="13" s="1"/>
  <c r="N93" i="13"/>
  <c r="M93" i="13"/>
  <c r="M95" i="13" s="1"/>
  <c r="J93" i="13"/>
  <c r="K93" i="13" s="1"/>
  <c r="L93" i="13" s="1"/>
  <c r="H93" i="13"/>
  <c r="I93" i="13" s="1"/>
  <c r="G93" i="13"/>
  <c r="H91" i="13"/>
  <c r="H90" i="13"/>
  <c r="I90" i="13" s="1"/>
  <c r="J90" i="13" s="1"/>
  <c r="K90" i="13" s="1"/>
  <c r="L90" i="13" s="1"/>
  <c r="M90" i="13" s="1"/>
  <c r="N90" i="13" s="1"/>
  <c r="O90" i="13" s="1"/>
  <c r="P90" i="13" s="1"/>
  <c r="Q90" i="13" s="1"/>
  <c r="R90" i="13" s="1"/>
  <c r="G90" i="13"/>
  <c r="H89" i="13"/>
  <c r="I89" i="13" s="1"/>
  <c r="J89" i="13" s="1"/>
  <c r="K89" i="13" s="1"/>
  <c r="L89" i="13" s="1"/>
  <c r="M89" i="13" s="1"/>
  <c r="N89" i="13" s="1"/>
  <c r="O89" i="13" s="1"/>
  <c r="P89" i="13" s="1"/>
  <c r="Q89" i="13" s="1"/>
  <c r="R89" i="13" s="1"/>
  <c r="G89" i="13"/>
  <c r="H88" i="13"/>
  <c r="I88" i="13" s="1"/>
  <c r="J88" i="13" s="1"/>
  <c r="K88" i="13" s="1"/>
  <c r="L88" i="13" s="1"/>
  <c r="M88" i="13" s="1"/>
  <c r="N88" i="13" s="1"/>
  <c r="O88" i="13" s="1"/>
  <c r="P88" i="13" s="1"/>
  <c r="Q88" i="13" s="1"/>
  <c r="R88" i="13" s="1"/>
  <c r="G88" i="13"/>
  <c r="H87" i="13"/>
  <c r="I87" i="13" s="1"/>
  <c r="J87" i="13" s="1"/>
  <c r="K87" i="13" s="1"/>
  <c r="L87" i="13" s="1"/>
  <c r="M87" i="13" s="1"/>
  <c r="N87" i="13" s="1"/>
  <c r="O87" i="13" s="1"/>
  <c r="P87" i="13" s="1"/>
  <c r="Q87" i="13" s="1"/>
  <c r="R87" i="13" s="1"/>
  <c r="G87" i="13"/>
  <c r="H86" i="13"/>
  <c r="I86" i="13" s="1"/>
  <c r="J86" i="13" s="1"/>
  <c r="K86" i="13" s="1"/>
  <c r="L86" i="13" s="1"/>
  <c r="M86" i="13" s="1"/>
  <c r="N86" i="13" s="1"/>
  <c r="O86" i="13" s="1"/>
  <c r="P86" i="13" s="1"/>
  <c r="Q86" i="13" s="1"/>
  <c r="R86" i="13" s="1"/>
  <c r="G86" i="13"/>
  <c r="P85" i="13"/>
  <c r="Q85" i="13" s="1"/>
  <c r="R85" i="13" s="1"/>
  <c r="O85" i="13"/>
  <c r="H85" i="13"/>
  <c r="I85" i="13" s="1"/>
  <c r="J85" i="13" s="1"/>
  <c r="K85" i="13" s="1"/>
  <c r="L85" i="13" s="1"/>
  <c r="M85" i="13" s="1"/>
  <c r="N85" i="13" s="1"/>
  <c r="G85" i="13"/>
  <c r="H84" i="13"/>
  <c r="I84" i="13" s="1"/>
  <c r="G84" i="13"/>
  <c r="G91" i="13" s="1"/>
  <c r="K81" i="13"/>
  <c r="L81" i="13" s="1"/>
  <c r="M81" i="13" s="1"/>
  <c r="N81" i="13" s="1"/>
  <c r="O81" i="13" s="1"/>
  <c r="P81" i="13" s="1"/>
  <c r="Q81" i="13" s="1"/>
  <c r="R81" i="13" s="1"/>
  <c r="J81" i="13"/>
  <c r="H81" i="13"/>
  <c r="I81" i="13" s="1"/>
  <c r="G81" i="13"/>
  <c r="N80" i="13"/>
  <c r="O80" i="13" s="1"/>
  <c r="P80" i="13" s="1"/>
  <c r="Q80" i="13" s="1"/>
  <c r="R80" i="13" s="1"/>
  <c r="H80" i="13"/>
  <c r="I80" i="13" s="1"/>
  <c r="J80" i="13" s="1"/>
  <c r="K80" i="13" s="1"/>
  <c r="L80" i="13" s="1"/>
  <c r="M80" i="13" s="1"/>
  <c r="G80" i="13"/>
  <c r="K79" i="13"/>
  <c r="L79" i="13" s="1"/>
  <c r="M79" i="13" s="1"/>
  <c r="N79" i="13" s="1"/>
  <c r="O79" i="13" s="1"/>
  <c r="P79" i="13" s="1"/>
  <c r="Q79" i="13" s="1"/>
  <c r="R79" i="13" s="1"/>
  <c r="J79" i="13"/>
  <c r="H79" i="13"/>
  <c r="I79" i="13" s="1"/>
  <c r="G79" i="13"/>
  <c r="J78" i="13"/>
  <c r="K78" i="13" s="1"/>
  <c r="H78" i="13"/>
  <c r="I78" i="13" s="1"/>
  <c r="G78" i="13"/>
  <c r="R77" i="13"/>
  <c r="Q77" i="13"/>
  <c r="P77" i="13"/>
  <c r="O77" i="13"/>
  <c r="N77" i="13"/>
  <c r="M77" i="13"/>
  <c r="L77" i="13"/>
  <c r="K77" i="13"/>
  <c r="J77" i="13"/>
  <c r="I77" i="13"/>
  <c r="I82" i="13" s="1"/>
  <c r="H77" i="13"/>
  <c r="H82" i="13" s="1"/>
  <c r="G77" i="13"/>
  <c r="G82" i="13" s="1"/>
  <c r="G139" i="13" s="1"/>
  <c r="F77" i="13"/>
  <c r="R75" i="13"/>
  <c r="Q75" i="13"/>
  <c r="P75" i="13"/>
  <c r="O75" i="13"/>
  <c r="N75" i="13"/>
  <c r="M75" i="13"/>
  <c r="L75" i="13"/>
  <c r="K75" i="13"/>
  <c r="J75" i="13"/>
  <c r="I75" i="13"/>
  <c r="H75" i="13"/>
  <c r="G75" i="13"/>
  <c r="F75" i="13"/>
  <c r="F74" i="13"/>
  <c r="F158" i="13" s="1"/>
  <c r="R73" i="13"/>
  <c r="R74" i="13" s="1"/>
  <c r="R158" i="13" s="1"/>
  <c r="R72" i="13"/>
  <c r="F72" i="13"/>
  <c r="R71" i="13"/>
  <c r="R70" i="13"/>
  <c r="R61" i="13" s="1"/>
  <c r="Q70" i="13"/>
  <c r="Q61" i="13" s="1"/>
  <c r="P70" i="13"/>
  <c r="O70" i="13"/>
  <c r="N70" i="13"/>
  <c r="N61" i="13" s="1"/>
  <c r="M70" i="13"/>
  <c r="L70" i="13"/>
  <c r="K70" i="13"/>
  <c r="J70" i="13"/>
  <c r="I70" i="13"/>
  <c r="I61" i="13" s="1"/>
  <c r="H70" i="13"/>
  <c r="G70" i="13"/>
  <c r="G61" i="13" s="1"/>
  <c r="F70" i="13"/>
  <c r="F61" i="13" s="1"/>
  <c r="R69" i="13"/>
  <c r="Q69" i="13"/>
  <c r="P69" i="13"/>
  <c r="O69" i="13"/>
  <c r="N69" i="13"/>
  <c r="M69" i="13"/>
  <c r="L69" i="13"/>
  <c r="K69" i="13"/>
  <c r="J69" i="13"/>
  <c r="I69" i="13"/>
  <c r="H69" i="13"/>
  <c r="G69" i="13"/>
  <c r="F69" i="13"/>
  <c r="R65" i="13"/>
  <c r="Q65" i="13"/>
  <c r="P65" i="13"/>
  <c r="O65" i="13"/>
  <c r="N65" i="13"/>
  <c r="M65" i="13"/>
  <c r="L65" i="13"/>
  <c r="K65" i="13"/>
  <c r="J65" i="13"/>
  <c r="I65" i="13"/>
  <c r="H65" i="13"/>
  <c r="G65" i="13"/>
  <c r="F65" i="13"/>
  <c r="P61" i="13"/>
  <c r="O61" i="13"/>
  <c r="M61" i="13"/>
  <c r="L61" i="13"/>
  <c r="K61" i="13"/>
  <c r="J61" i="13"/>
  <c r="H61" i="13"/>
  <c r="F57" i="13"/>
  <c r="F139" i="13" s="1"/>
  <c r="F56" i="13"/>
  <c r="F55" i="13"/>
  <c r="F54" i="13"/>
  <c r="F50" i="13"/>
  <c r="G46" i="13"/>
  <c r="F44" i="13"/>
  <c r="F41" i="13"/>
  <c r="H30" i="13"/>
  <c r="G30" i="13"/>
  <c r="H27" i="13"/>
  <c r="G27" i="13"/>
  <c r="G43" i="13" s="1"/>
  <c r="F25" i="13"/>
  <c r="H24" i="13"/>
  <c r="F24" i="13"/>
  <c r="F40" i="13" s="1"/>
  <c r="G23" i="13"/>
  <c r="G39" i="13" s="1"/>
  <c r="N16" i="13"/>
  <c r="J16" i="13"/>
  <c r="F34" i="13" s="1"/>
  <c r="H16" i="13"/>
  <c r="G16" i="13"/>
  <c r="F16" i="13"/>
  <c r="G34" i="13" s="1"/>
  <c r="N15" i="13"/>
  <c r="J15" i="13"/>
  <c r="F33" i="13" s="1"/>
  <c r="F49" i="13" s="1"/>
  <c r="H15" i="13"/>
  <c r="G15" i="13"/>
  <c r="F15" i="13"/>
  <c r="G33" i="13" s="1"/>
  <c r="H33" i="13" s="1"/>
  <c r="H49" i="13" s="1"/>
  <c r="N14" i="13"/>
  <c r="H14" i="13"/>
  <c r="G14" i="13"/>
  <c r="J14" i="13" s="1"/>
  <c r="F32" i="13" s="1"/>
  <c r="F48" i="13" s="1"/>
  <c r="F14" i="13"/>
  <c r="G32" i="13" s="1"/>
  <c r="N13" i="13"/>
  <c r="H13" i="13"/>
  <c r="J13" i="13" s="1"/>
  <c r="F31" i="13" s="1"/>
  <c r="F47" i="13" s="1"/>
  <c r="G13" i="13"/>
  <c r="F13" i="13"/>
  <c r="G31" i="13" s="1"/>
  <c r="N12" i="13"/>
  <c r="J12" i="13"/>
  <c r="F30" i="13" s="1"/>
  <c r="F46" i="13" s="1"/>
  <c r="H12" i="13"/>
  <c r="G12" i="13"/>
  <c r="F12" i="13"/>
  <c r="N11" i="13"/>
  <c r="H11" i="13"/>
  <c r="G11" i="13"/>
  <c r="J11" i="13" s="1"/>
  <c r="F29" i="13" s="1"/>
  <c r="F45" i="13" s="1"/>
  <c r="F11" i="13"/>
  <c r="N10" i="13"/>
  <c r="J10" i="13"/>
  <c r="F28" i="13" s="1"/>
  <c r="H10" i="13"/>
  <c r="G10" i="13"/>
  <c r="G28" i="13" s="1"/>
  <c r="F10" i="13"/>
  <c r="N9" i="13"/>
  <c r="H9" i="13"/>
  <c r="G9" i="13"/>
  <c r="F9" i="13"/>
  <c r="N8" i="13"/>
  <c r="H8" i="13"/>
  <c r="G8" i="13"/>
  <c r="J8" i="13" s="1"/>
  <c r="F26" i="13" s="1"/>
  <c r="F42" i="13" s="1"/>
  <c r="F8" i="13"/>
  <c r="N7" i="13"/>
  <c r="J7" i="13"/>
  <c r="H7" i="13"/>
  <c r="G7" i="13"/>
  <c r="F7" i="13"/>
  <c r="G25" i="13" s="1"/>
  <c r="N6" i="13"/>
  <c r="H6" i="13"/>
  <c r="G6" i="13"/>
  <c r="J6" i="13" s="1"/>
  <c r="F6" i="13"/>
  <c r="G24" i="13" s="1"/>
  <c r="N5" i="13"/>
  <c r="J5" i="13"/>
  <c r="H5" i="13"/>
  <c r="G5" i="13"/>
  <c r="F5" i="13"/>
  <c r="O205" i="12"/>
  <c r="L205" i="12"/>
  <c r="E199" i="12"/>
  <c r="D199" i="12"/>
  <c r="E198" i="12"/>
  <c r="D198" i="12"/>
  <c r="E197" i="12"/>
  <c r="D197" i="12"/>
  <c r="E196" i="12"/>
  <c r="D196" i="12"/>
  <c r="E195" i="12"/>
  <c r="D195" i="12"/>
  <c r="E194" i="12"/>
  <c r="D194" i="12"/>
  <c r="E193" i="12"/>
  <c r="D193" i="12"/>
  <c r="E192" i="12"/>
  <c r="D192" i="12"/>
  <c r="E191" i="12"/>
  <c r="D191" i="12"/>
  <c r="E190" i="12"/>
  <c r="D190" i="12"/>
  <c r="E189" i="12"/>
  <c r="D189" i="12"/>
  <c r="E188" i="12"/>
  <c r="D188" i="12"/>
  <c r="P187" i="12"/>
  <c r="P205" i="12" s="1"/>
  <c r="O187" i="12"/>
  <c r="N187" i="12"/>
  <c r="N205" i="12" s="1"/>
  <c r="M187" i="12"/>
  <c r="M205" i="12" s="1"/>
  <c r="L187" i="12"/>
  <c r="K187" i="12"/>
  <c r="K205" i="12" s="1"/>
  <c r="J187" i="12"/>
  <c r="J205" i="12" s="1"/>
  <c r="I187" i="12"/>
  <c r="I205" i="12" s="1"/>
  <c r="H187" i="12"/>
  <c r="H205" i="12" s="1"/>
  <c r="G187" i="12"/>
  <c r="G205" i="12" s="1"/>
  <c r="F187" i="12"/>
  <c r="F205" i="12" s="1"/>
  <c r="D183" i="12"/>
  <c r="I182" i="12"/>
  <c r="J182" i="12" s="1"/>
  <c r="K182" i="12" s="1"/>
  <c r="L182" i="12" s="1"/>
  <c r="M182" i="12" s="1"/>
  <c r="N182" i="12" s="1"/>
  <c r="O182" i="12" s="1"/>
  <c r="P182" i="12" s="1"/>
  <c r="H182" i="12"/>
  <c r="G182" i="12"/>
  <c r="D182" i="12"/>
  <c r="F182" i="12" s="1"/>
  <c r="H181" i="12"/>
  <c r="G181" i="12"/>
  <c r="G183" i="12" s="1"/>
  <c r="G214" i="12" s="1"/>
  <c r="F181" i="12"/>
  <c r="D181" i="12"/>
  <c r="M174" i="12"/>
  <c r="N174" i="12" s="1"/>
  <c r="O174" i="12" s="1"/>
  <c r="P174" i="12" s="1"/>
  <c r="D174" i="12"/>
  <c r="G174" i="12" s="1"/>
  <c r="H174" i="12" s="1"/>
  <c r="I174" i="12" s="1"/>
  <c r="J174" i="12" s="1"/>
  <c r="K174" i="12" s="1"/>
  <c r="L174" i="12" s="1"/>
  <c r="I173" i="12"/>
  <c r="J173" i="12" s="1"/>
  <c r="K173" i="12" s="1"/>
  <c r="L173" i="12" s="1"/>
  <c r="M173" i="12" s="1"/>
  <c r="N173" i="12" s="1"/>
  <c r="O173" i="12" s="1"/>
  <c r="P173" i="12" s="1"/>
  <c r="H173" i="12"/>
  <c r="G173" i="12"/>
  <c r="D173" i="12"/>
  <c r="F173" i="12" s="1"/>
  <c r="H172" i="12"/>
  <c r="I172" i="12" s="1"/>
  <c r="J172" i="12" s="1"/>
  <c r="K172" i="12" s="1"/>
  <c r="L172" i="12" s="1"/>
  <c r="M172" i="12" s="1"/>
  <c r="N172" i="12" s="1"/>
  <c r="O172" i="12" s="1"/>
  <c r="P172" i="12" s="1"/>
  <c r="G172" i="12"/>
  <c r="F172" i="12"/>
  <c r="D172" i="12"/>
  <c r="D171" i="12"/>
  <c r="M170" i="12"/>
  <c r="N170" i="12" s="1"/>
  <c r="O170" i="12" s="1"/>
  <c r="P170" i="12" s="1"/>
  <c r="D170" i="12"/>
  <c r="G170" i="12" s="1"/>
  <c r="H170" i="12" s="1"/>
  <c r="I170" i="12" s="1"/>
  <c r="J170" i="12" s="1"/>
  <c r="K170" i="12" s="1"/>
  <c r="L170" i="12" s="1"/>
  <c r="I169" i="12"/>
  <c r="J169" i="12" s="1"/>
  <c r="K169" i="12" s="1"/>
  <c r="L169" i="12" s="1"/>
  <c r="M169" i="12" s="1"/>
  <c r="N169" i="12" s="1"/>
  <c r="O169" i="12" s="1"/>
  <c r="P169" i="12" s="1"/>
  <c r="H169" i="12"/>
  <c r="G169" i="12"/>
  <c r="D169" i="12"/>
  <c r="F169" i="12" s="1"/>
  <c r="H168" i="12"/>
  <c r="I168" i="12" s="1"/>
  <c r="J168" i="12" s="1"/>
  <c r="K168" i="12" s="1"/>
  <c r="L168" i="12" s="1"/>
  <c r="M168" i="12" s="1"/>
  <c r="N168" i="12" s="1"/>
  <c r="O168" i="12" s="1"/>
  <c r="P168" i="12" s="1"/>
  <c r="G168" i="12"/>
  <c r="F168" i="12"/>
  <c r="D168" i="12"/>
  <c r="D167" i="12"/>
  <c r="O164" i="12"/>
  <c r="H164" i="12"/>
  <c r="F158" i="12"/>
  <c r="F156" i="12"/>
  <c r="F155" i="12"/>
  <c r="D154" i="12"/>
  <c r="D153" i="12"/>
  <c r="D152" i="12"/>
  <c r="D151" i="12"/>
  <c r="D150" i="12"/>
  <c r="D149" i="12"/>
  <c r="D148" i="12"/>
  <c r="P145" i="12"/>
  <c r="P164" i="12" s="1"/>
  <c r="N145" i="12"/>
  <c r="N164" i="12" s="1"/>
  <c r="M145" i="12"/>
  <c r="M164" i="12" s="1"/>
  <c r="L145" i="12"/>
  <c r="L164" i="12" s="1"/>
  <c r="K145" i="12"/>
  <c r="K164" i="12" s="1"/>
  <c r="D140" i="12"/>
  <c r="D139" i="12"/>
  <c r="D138" i="12"/>
  <c r="D137" i="12"/>
  <c r="D136" i="12"/>
  <c r="D135" i="12"/>
  <c r="D134" i="12"/>
  <c r="D133" i="12"/>
  <c r="D132" i="12"/>
  <c r="D131" i="12"/>
  <c r="D130" i="12"/>
  <c r="P127" i="12"/>
  <c r="O127" i="12"/>
  <c r="O145" i="12" s="1"/>
  <c r="N127" i="12"/>
  <c r="M127" i="12"/>
  <c r="L127" i="12"/>
  <c r="K127" i="12"/>
  <c r="J127" i="12"/>
  <c r="J145" i="12" s="1"/>
  <c r="J164" i="12" s="1"/>
  <c r="I127" i="12"/>
  <c r="I145" i="12" s="1"/>
  <c r="I164" i="12" s="1"/>
  <c r="H127" i="12"/>
  <c r="H145" i="12" s="1"/>
  <c r="G127" i="12"/>
  <c r="G145" i="12" s="1"/>
  <c r="G164" i="12" s="1"/>
  <c r="F127" i="12"/>
  <c r="F145" i="12" s="1"/>
  <c r="F164" i="12" s="1"/>
  <c r="D123" i="12"/>
  <c r="D122" i="12"/>
  <c r="D121" i="12"/>
  <c r="D120" i="12"/>
  <c r="D119" i="12"/>
  <c r="D118" i="12"/>
  <c r="D117" i="12"/>
  <c r="D116" i="12"/>
  <c r="D115" i="12"/>
  <c r="D114" i="12"/>
  <c r="D113" i="12"/>
  <c r="D107" i="12"/>
  <c r="D86" i="12"/>
  <c r="F77" i="12"/>
  <c r="D77" i="12"/>
  <c r="D92" i="12" s="1"/>
  <c r="G76" i="12"/>
  <c r="F76" i="12"/>
  <c r="D76" i="12"/>
  <c r="D91" i="12" s="1"/>
  <c r="G75" i="12"/>
  <c r="H75" i="12" s="1"/>
  <c r="I75" i="12" s="1"/>
  <c r="F75" i="12"/>
  <c r="D75" i="12"/>
  <c r="D90" i="12" s="1"/>
  <c r="G74" i="12"/>
  <c r="F74" i="12"/>
  <c r="D74" i="12"/>
  <c r="D89" i="12" s="1"/>
  <c r="G73" i="12"/>
  <c r="F73" i="12"/>
  <c r="D73" i="12"/>
  <c r="D88" i="12" s="1"/>
  <c r="F72" i="12"/>
  <c r="D72" i="12"/>
  <c r="D87" i="12" s="1"/>
  <c r="G71" i="12"/>
  <c r="H71" i="12" s="1"/>
  <c r="I71" i="12" s="1"/>
  <c r="F71" i="12"/>
  <c r="D71" i="12"/>
  <c r="F70" i="12"/>
  <c r="D70" i="12"/>
  <c r="D85" i="12" s="1"/>
  <c r="G69" i="12"/>
  <c r="F69" i="12"/>
  <c r="D69" i="12"/>
  <c r="D84" i="12" s="1"/>
  <c r="F68" i="12"/>
  <c r="D68" i="12"/>
  <c r="D83" i="12" s="1"/>
  <c r="G67" i="12"/>
  <c r="F67" i="12"/>
  <c r="P64" i="12"/>
  <c r="O64" i="12"/>
  <c r="N64" i="12"/>
  <c r="M64" i="12"/>
  <c r="L64" i="12"/>
  <c r="K64" i="12"/>
  <c r="J64" i="12"/>
  <c r="I64" i="12"/>
  <c r="H64" i="12"/>
  <c r="G64" i="12"/>
  <c r="F64" i="12"/>
  <c r="D44" i="12"/>
  <c r="D41" i="12"/>
  <c r="G38" i="12"/>
  <c r="D38" i="12"/>
  <c r="D37" i="12"/>
  <c r="G31" i="12"/>
  <c r="G30" i="12"/>
  <c r="G29" i="12"/>
  <c r="H29" i="12" s="1"/>
  <c r="H28" i="12"/>
  <c r="G28" i="12"/>
  <c r="G27" i="12"/>
  <c r="F27" i="12"/>
  <c r="I26" i="12"/>
  <c r="G26" i="12"/>
  <c r="H26" i="12" s="1"/>
  <c r="F26" i="12"/>
  <c r="G25" i="12"/>
  <c r="F25" i="12"/>
  <c r="G24" i="12"/>
  <c r="F24" i="12"/>
  <c r="G23" i="12"/>
  <c r="F23" i="12"/>
  <c r="G21" i="12"/>
  <c r="F21" i="12"/>
  <c r="F22" i="12" s="1"/>
  <c r="D15" i="12"/>
  <c r="D14" i="12"/>
  <c r="D13" i="12"/>
  <c r="D12" i="12"/>
  <c r="D11" i="12"/>
  <c r="D10" i="12"/>
  <c r="D9" i="12"/>
  <c r="D8" i="12"/>
  <c r="D7" i="12"/>
  <c r="D6" i="12"/>
  <c r="D5" i="12"/>
  <c r="I800" i="11"/>
  <c r="I795" i="11"/>
  <c r="I793" i="11"/>
  <c r="E793" i="11"/>
  <c r="I792" i="11"/>
  <c r="I788" i="11"/>
  <c r="I787" i="11"/>
  <c r="M768" i="11"/>
  <c r="L768" i="11"/>
  <c r="K768" i="11"/>
  <c r="J768" i="11"/>
  <c r="I768" i="11"/>
  <c r="H768" i="11"/>
  <c r="R751" i="11"/>
  <c r="Q751" i="11"/>
  <c r="P751" i="11"/>
  <c r="O751" i="11"/>
  <c r="N751" i="11"/>
  <c r="M751" i="11"/>
  <c r="L751" i="11"/>
  <c r="K751" i="11"/>
  <c r="J751" i="11"/>
  <c r="I751" i="11"/>
  <c r="H751" i="11"/>
  <c r="H749" i="11"/>
  <c r="H750" i="11" s="1"/>
  <c r="G749" i="11"/>
  <c r="F749" i="11"/>
  <c r="F750" i="11" s="1"/>
  <c r="E749" i="11"/>
  <c r="E750" i="11" s="1"/>
  <c r="H748" i="11"/>
  <c r="F748" i="11"/>
  <c r="E748" i="11"/>
  <c r="G747" i="11"/>
  <c r="G748" i="11" s="1"/>
  <c r="F747" i="11"/>
  <c r="E747" i="11"/>
  <c r="E746" i="11"/>
  <c r="E642" i="11"/>
  <c r="D51" i="20" s="1"/>
  <c r="E15" i="12" s="1"/>
  <c r="E641" i="11"/>
  <c r="D50" i="20" s="1"/>
  <c r="D106" i="12" s="1"/>
  <c r="E640" i="11"/>
  <c r="D49" i="20" s="1"/>
  <c r="D105" i="12" s="1"/>
  <c r="E639" i="11"/>
  <c r="D48" i="20" s="1"/>
  <c r="E638" i="11"/>
  <c r="D47" i="20" s="1"/>
  <c r="D27" i="12" s="1"/>
  <c r="F42" i="12" s="1"/>
  <c r="E637" i="11"/>
  <c r="D46" i="20" s="1"/>
  <c r="E636" i="11"/>
  <c r="D45" i="20" s="1"/>
  <c r="E635" i="11"/>
  <c r="D44" i="20" s="1"/>
  <c r="E8" i="12" s="1"/>
  <c r="E634" i="11"/>
  <c r="D43" i="20" s="1"/>
  <c r="D23" i="12" s="1"/>
  <c r="F38" i="12" s="1"/>
  <c r="E633" i="11"/>
  <c r="D42" i="20" s="1"/>
  <c r="E632" i="11"/>
  <c r="D41" i="20" s="1"/>
  <c r="D36" i="12" s="1"/>
  <c r="E627" i="11"/>
  <c r="E768" i="11" s="1"/>
  <c r="E606" i="11"/>
  <c r="E605" i="11"/>
  <c r="E604" i="11"/>
  <c r="C122" i="28" s="1"/>
  <c r="D122" i="28" s="1"/>
  <c r="E122" i="28" s="1"/>
  <c r="F122" i="28" s="1"/>
  <c r="G122" i="28" s="1"/>
  <c r="H122" i="28" s="1"/>
  <c r="I122" i="28" s="1"/>
  <c r="J122" i="28" s="1"/>
  <c r="K122" i="28" s="1"/>
  <c r="L122" i="28" s="1"/>
  <c r="M122" i="28" s="1"/>
  <c r="N122" i="28" s="1"/>
  <c r="O122" i="28" s="1"/>
  <c r="P122" i="28" s="1"/>
  <c r="E542" i="11"/>
  <c r="E541" i="11"/>
  <c r="E540" i="11"/>
  <c r="E539" i="11"/>
  <c r="E537" i="11"/>
  <c r="E536" i="11"/>
  <c r="E533" i="11"/>
  <c r="E520" i="11"/>
  <c r="E518" i="11"/>
  <c r="E493" i="11"/>
  <c r="E348" i="11"/>
  <c r="E285" i="11"/>
  <c r="D284" i="11"/>
  <c r="D280" i="11"/>
  <c r="E281" i="11" s="1"/>
  <c r="D275" i="11"/>
  <c r="D274" i="11"/>
  <c r="D273" i="11"/>
  <c r="D276" i="11" s="1"/>
  <c r="E277" i="11" s="1"/>
  <c r="D272" i="11"/>
  <c r="E121" i="11"/>
  <c r="E107" i="11"/>
  <c r="E56" i="11"/>
  <c r="D56" i="11"/>
  <c r="E51" i="11"/>
  <c r="C139" i="28" s="1"/>
  <c r="E37" i="11"/>
  <c r="E40" i="11" s="1"/>
  <c r="G33" i="11"/>
  <c r="E33" i="11"/>
  <c r="E34" i="11" s="1"/>
  <c r="E23" i="11"/>
  <c r="E17" i="11"/>
  <c r="C204" i="14" s="1"/>
  <c r="E223" i="9"/>
  <c r="I221" i="9"/>
  <c r="I222" i="9" s="1"/>
  <c r="I220" i="9"/>
  <c r="E220" i="9"/>
  <c r="E214" i="9"/>
  <c r="F213" i="9"/>
  <c r="F211" i="9"/>
  <c r="F197" i="9"/>
  <c r="E197" i="9"/>
  <c r="F186" i="9"/>
  <c r="E186" i="9"/>
  <c r="D186" i="9"/>
  <c r="C186" i="9"/>
  <c r="O119" i="9"/>
  <c r="N119" i="9"/>
  <c r="M119" i="9"/>
  <c r="L119" i="9"/>
  <c r="K119" i="9"/>
  <c r="J119" i="9"/>
  <c r="I119" i="9"/>
  <c r="H119" i="9"/>
  <c r="G119" i="9"/>
  <c r="F119" i="9"/>
  <c r="E119" i="9"/>
  <c r="D119" i="9"/>
  <c r="C119" i="9"/>
  <c r="C96" i="9"/>
  <c r="C95" i="9"/>
  <c r="O81" i="9"/>
  <c r="N81" i="9"/>
  <c r="M81" i="9"/>
  <c r="L81" i="9"/>
  <c r="K81" i="9"/>
  <c r="J81" i="9"/>
  <c r="I81" i="9"/>
  <c r="H81" i="9"/>
  <c r="G81" i="9"/>
  <c r="F81" i="9"/>
  <c r="E81" i="9"/>
  <c r="D81" i="9"/>
  <c r="C81" i="9"/>
  <c r="P65" i="9"/>
  <c r="O65" i="9"/>
  <c r="N65" i="9"/>
  <c r="C63" i="9"/>
  <c r="C59" i="9"/>
  <c r="C58" i="9"/>
  <c r="C60" i="9" s="1"/>
  <c r="C57" i="9"/>
  <c r="C38" i="9"/>
  <c r="C33" i="9"/>
  <c r="C32" i="9"/>
  <c r="C31" i="9"/>
  <c r="C16" i="9"/>
  <c r="C15" i="9"/>
  <c r="C12" i="28" s="1"/>
  <c r="C14" i="9"/>
  <c r="C13" i="9"/>
  <c r="C14" i="28" s="1"/>
  <c r="C12" i="9"/>
  <c r="C13" i="28" s="1"/>
  <c r="C11" i="9"/>
  <c r="C10" i="9"/>
  <c r="C11" i="28" s="1"/>
  <c r="C9" i="9"/>
  <c r="C7" i="9"/>
  <c r="C5" i="9"/>
  <c r="F57" i="8"/>
  <c r="C38" i="8"/>
  <c r="C34" i="8"/>
  <c r="F22" i="8"/>
  <c r="G21" i="8"/>
  <c r="F20" i="8"/>
  <c r="S19" i="8"/>
  <c r="R19" i="8"/>
  <c r="G11" i="8"/>
  <c r="F4" i="8"/>
  <c r="I102" i="7"/>
  <c r="E49" i="28" s="1"/>
  <c r="E133" i="28" s="1"/>
  <c r="H102" i="7"/>
  <c r="D49" i="28" s="1"/>
  <c r="D133" i="28" s="1"/>
  <c r="I100" i="7"/>
  <c r="T99" i="7"/>
  <c r="S99" i="7"/>
  <c r="R99" i="7"/>
  <c r="Q99" i="7"/>
  <c r="P99" i="7"/>
  <c r="O99" i="7"/>
  <c r="N99" i="7"/>
  <c r="M99" i="7"/>
  <c r="L99" i="7"/>
  <c r="K99" i="7"/>
  <c r="J99" i="7"/>
  <c r="I99" i="7"/>
  <c r="H99" i="7"/>
  <c r="H100" i="7" s="1"/>
  <c r="I62" i="7"/>
  <c r="I60" i="7"/>
  <c r="C58" i="7"/>
  <c r="T57" i="7"/>
  <c r="S57" i="7"/>
  <c r="R57" i="7"/>
  <c r="Q57" i="7"/>
  <c r="P57" i="7"/>
  <c r="O57" i="7"/>
  <c r="N57" i="7"/>
  <c r="M57" i="7"/>
  <c r="L57" i="7"/>
  <c r="K57" i="7"/>
  <c r="J57" i="7"/>
  <c r="I57" i="7"/>
  <c r="H57" i="7"/>
  <c r="I48" i="7"/>
  <c r="C26" i="7"/>
  <c r="C21" i="7"/>
  <c r="D10" i="7"/>
  <c r="C10" i="7"/>
  <c r="D9" i="7"/>
  <c r="D8" i="7"/>
  <c r="H5" i="7"/>
  <c r="G5" i="7"/>
  <c r="H4" i="7"/>
  <c r="D64" i="6"/>
  <c r="D50" i="6"/>
  <c r="Q27" i="6"/>
  <c r="P27" i="6"/>
  <c r="Q20" i="6"/>
  <c r="P20" i="6"/>
  <c r="O20" i="6"/>
  <c r="N20" i="6"/>
  <c r="M20" i="6"/>
  <c r="L20" i="6"/>
  <c r="K20" i="6"/>
  <c r="J20" i="6"/>
  <c r="I20" i="6"/>
  <c r="H20" i="6"/>
  <c r="G20" i="6"/>
  <c r="F20" i="6"/>
  <c r="E20" i="6"/>
  <c r="D20" i="6"/>
  <c r="D19" i="6"/>
  <c r="D6" i="6"/>
  <c r="D45" i="6" s="1"/>
  <c r="D5" i="6"/>
  <c r="D44" i="6" s="1"/>
  <c r="C72" i="5"/>
  <c r="C71" i="5"/>
  <c r="C70" i="5"/>
  <c r="C69" i="5"/>
  <c r="C68" i="5"/>
  <c r="C67" i="5"/>
  <c r="C66" i="5"/>
  <c r="C65" i="5"/>
  <c r="P58" i="5"/>
  <c r="C33" i="29" s="1"/>
  <c r="P57" i="5"/>
  <c r="C37" i="29" s="1"/>
  <c r="P56" i="5"/>
  <c r="C36" i="29" s="1"/>
  <c r="P55" i="5"/>
  <c r="C35" i="29" s="1"/>
  <c r="P54" i="5"/>
  <c r="C32" i="29" s="1"/>
  <c r="P53" i="5"/>
  <c r="C34" i="29" s="1"/>
  <c r="P52" i="5"/>
  <c r="C38" i="29" s="1"/>
  <c r="P47" i="5"/>
  <c r="P46" i="5"/>
  <c r="C11" i="29" s="1"/>
  <c r="P45" i="5"/>
  <c r="C9" i="29" s="1"/>
  <c r="P44" i="5"/>
  <c r="C8" i="29" s="1"/>
  <c r="C42" i="5"/>
  <c r="C41" i="5"/>
  <c r="C35" i="5"/>
  <c r="C34" i="5"/>
  <c r="C33" i="5"/>
  <c r="C10" i="29" s="1"/>
  <c r="C32" i="5"/>
  <c r="Q16" i="5"/>
  <c r="Q2" i="5"/>
  <c r="J192" i="4"/>
  <c r="H192" i="4"/>
  <c r="B161" i="4"/>
  <c r="F128" i="4"/>
  <c r="F280" i="29" s="1"/>
  <c r="E128" i="4"/>
  <c r="E280" i="29" s="1"/>
  <c r="D128" i="4"/>
  <c r="D280" i="29" s="1"/>
  <c r="C128" i="4"/>
  <c r="C280" i="29" s="1"/>
  <c r="B128" i="4"/>
  <c r="B280" i="29" s="1"/>
  <c r="F127" i="4"/>
  <c r="F279" i="29" s="1"/>
  <c r="E127" i="4"/>
  <c r="E279" i="29" s="1"/>
  <c r="D127" i="4"/>
  <c r="D279" i="29" s="1"/>
  <c r="C127" i="4"/>
  <c r="C279" i="29" s="1"/>
  <c r="B127" i="4"/>
  <c r="B279" i="29" s="1"/>
  <c r="F126" i="4"/>
  <c r="F278" i="29" s="1"/>
  <c r="E126" i="4"/>
  <c r="E278" i="29" s="1"/>
  <c r="D126" i="4"/>
  <c r="D278" i="29" s="1"/>
  <c r="C126" i="4"/>
  <c r="C278" i="29" s="1"/>
  <c r="B126" i="4"/>
  <c r="B278" i="29" s="1"/>
  <c r="F125" i="4"/>
  <c r="F277" i="29" s="1"/>
  <c r="E125" i="4"/>
  <c r="E277" i="29" s="1"/>
  <c r="D125" i="4"/>
  <c r="D277" i="29" s="1"/>
  <c r="C125" i="4"/>
  <c r="C277" i="29" s="1"/>
  <c r="B125" i="4"/>
  <c r="B277" i="29" s="1"/>
  <c r="F124" i="4"/>
  <c r="F276" i="29" s="1"/>
  <c r="E124" i="4"/>
  <c r="E276" i="29" s="1"/>
  <c r="D124" i="4"/>
  <c r="D276" i="29" s="1"/>
  <c r="C124" i="4"/>
  <c r="C276" i="29" s="1"/>
  <c r="B124" i="4"/>
  <c r="B276" i="29" s="1"/>
  <c r="F123" i="4"/>
  <c r="F275" i="29" s="1"/>
  <c r="E123" i="4"/>
  <c r="E275" i="29" s="1"/>
  <c r="D123" i="4"/>
  <c r="D275" i="29" s="1"/>
  <c r="C123" i="4"/>
  <c r="C275" i="29" s="1"/>
  <c r="B123" i="4"/>
  <c r="B275" i="29" s="1"/>
  <c r="F122" i="4"/>
  <c r="F274" i="29" s="1"/>
  <c r="E122" i="4"/>
  <c r="E274" i="29" s="1"/>
  <c r="D122" i="4"/>
  <c r="D274" i="29" s="1"/>
  <c r="C122" i="4"/>
  <c r="C274" i="29" s="1"/>
  <c r="B122" i="4"/>
  <c r="B274" i="29" s="1"/>
  <c r="F121" i="4"/>
  <c r="F273" i="29" s="1"/>
  <c r="E121" i="4"/>
  <c r="E273" i="29" s="1"/>
  <c r="D121" i="4"/>
  <c r="D273" i="29" s="1"/>
  <c r="C121" i="4"/>
  <c r="C273" i="29" s="1"/>
  <c r="B121" i="4"/>
  <c r="B273" i="29" s="1"/>
  <c r="H13" i="4"/>
  <c r="N408" i="29" s="1"/>
  <c r="N3" i="4"/>
  <c r="A7" i="1"/>
  <c r="A8" i="1" s="1"/>
  <c r="A9" i="1" s="1"/>
  <c r="A10" i="1" s="1"/>
  <c r="A11" i="1" s="1"/>
  <c r="A12" i="1" s="1"/>
  <c r="A13" i="1" s="1"/>
  <c r="A14" i="1" s="1"/>
  <c r="A15" i="1" s="1"/>
  <c r="A16" i="1" s="1"/>
  <c r="A17" i="1" s="1"/>
  <c r="A18" i="1" s="1"/>
  <c r="A19" i="1" s="1"/>
  <c r="A20" i="1" s="1"/>
  <c r="A21" i="1" s="1"/>
  <c r="A22" i="1" s="1"/>
  <c r="A23" i="1" s="1"/>
  <c r="A24" i="1" s="1"/>
  <c r="A25" i="1" s="1"/>
  <c r="A26" i="1" s="1"/>
  <c r="A27" i="1" s="1"/>
  <c r="A28" i="1" s="1"/>
  <c r="A6" i="1"/>
  <c r="C11" i="34" l="1"/>
  <c r="D3" i="19"/>
  <c r="E209" i="14"/>
  <c r="I12" i="17"/>
  <c r="G4" i="8"/>
  <c r="E5" i="6"/>
  <c r="E44" i="6" s="1"/>
  <c r="D4" i="19"/>
  <c r="I13" i="17"/>
  <c r="E210" i="14"/>
  <c r="G5" i="8"/>
  <c r="D54" i="9"/>
  <c r="I4" i="7"/>
  <c r="E6" i="6"/>
  <c r="E45" i="6" s="1"/>
  <c r="H6" i="7"/>
  <c r="H8" i="7"/>
  <c r="O64" i="9"/>
  <c r="P66" i="6"/>
  <c r="S111" i="7"/>
  <c r="C13" i="5"/>
  <c r="C8" i="5"/>
  <c r="C4" i="19"/>
  <c r="D210" i="14"/>
  <c r="H13" i="17"/>
  <c r="F5" i="8"/>
  <c r="C54" i="9"/>
  <c r="G8" i="7"/>
  <c r="G6" i="7"/>
  <c r="P64" i="9"/>
  <c r="Q66" i="6"/>
  <c r="T111" i="7"/>
  <c r="E751" i="11"/>
  <c r="E752" i="11"/>
  <c r="E754" i="11"/>
  <c r="H74" i="12"/>
  <c r="G750" i="11"/>
  <c r="E501" i="11"/>
  <c r="B9" i="15" s="1"/>
  <c r="E500" i="11"/>
  <c r="B8" i="15" s="1"/>
  <c r="E499" i="11"/>
  <c r="B12" i="15" s="1"/>
  <c r="E498" i="11"/>
  <c r="B11" i="15" s="1"/>
  <c r="E497" i="11"/>
  <c r="E495" i="11"/>
  <c r="B6" i="15" s="1"/>
  <c r="E496" i="11"/>
  <c r="B7" i="15" s="1"/>
  <c r="C202" i="14"/>
  <c r="E52" i="11"/>
  <c r="H38" i="12"/>
  <c r="D51" i="12"/>
  <c r="D67" i="12" s="1"/>
  <c r="D82" i="12" s="1"/>
  <c r="G36" i="12"/>
  <c r="F751" i="11"/>
  <c r="F754" i="11"/>
  <c r="F752" i="11"/>
  <c r="H30" i="12"/>
  <c r="I41" i="12"/>
  <c r="H41" i="12"/>
  <c r="I748" i="11"/>
  <c r="H67" i="12"/>
  <c r="D24" i="12"/>
  <c r="F39" i="12" s="1"/>
  <c r="D100" i="12"/>
  <c r="D39" i="12"/>
  <c r="J26" i="12"/>
  <c r="G41" i="12"/>
  <c r="H183" i="12"/>
  <c r="H214" i="12" s="1"/>
  <c r="I181" i="12"/>
  <c r="L78" i="13"/>
  <c r="M78" i="13" s="1"/>
  <c r="K82" i="13"/>
  <c r="D26" i="12"/>
  <c r="F41" i="12" s="1"/>
  <c r="D102" i="12"/>
  <c r="E10" i="12"/>
  <c r="H76" i="12"/>
  <c r="H44" i="12"/>
  <c r="G44" i="12"/>
  <c r="H69" i="12"/>
  <c r="D22" i="12"/>
  <c r="F37" i="12" s="1"/>
  <c r="D98" i="12"/>
  <c r="F768" i="11"/>
  <c r="E7" i="12"/>
  <c r="G22" i="12"/>
  <c r="F183" i="12"/>
  <c r="F214" i="12" s="1"/>
  <c r="C35" i="9"/>
  <c r="C71" i="9"/>
  <c r="C196" i="28" s="1"/>
  <c r="C147" i="4" s="1"/>
  <c r="C299" i="29" s="1"/>
  <c r="G768" i="11"/>
  <c r="E14" i="12"/>
  <c r="D30" i="12"/>
  <c r="F45" i="12" s="1"/>
  <c r="J71" i="12"/>
  <c r="D103" i="12"/>
  <c r="C73" i="9"/>
  <c r="D101" i="12"/>
  <c r="D25" i="12"/>
  <c r="F40" i="12" s="1"/>
  <c r="E9" i="12"/>
  <c r="H752" i="11"/>
  <c r="H753" i="11" s="1"/>
  <c r="H755" i="11" s="1"/>
  <c r="H756" i="11" s="1"/>
  <c r="J72" i="7" s="1"/>
  <c r="G41" i="13"/>
  <c r="H25" i="13"/>
  <c r="H40" i="13"/>
  <c r="I24" i="13"/>
  <c r="D29" i="12"/>
  <c r="F44" i="12" s="1"/>
  <c r="J82" i="13"/>
  <c r="N95" i="13"/>
  <c r="O93" i="13"/>
  <c r="C10" i="28"/>
  <c r="F13" i="4" s="1"/>
  <c r="L408" i="29" s="1"/>
  <c r="D28" i="12"/>
  <c r="F43" i="12" s="1"/>
  <c r="D104" i="12"/>
  <c r="I29" i="12"/>
  <c r="I44" i="12" s="1"/>
  <c r="D40" i="12"/>
  <c r="D43" i="12"/>
  <c r="D46" i="12"/>
  <c r="G72" i="12"/>
  <c r="G44" i="13"/>
  <c r="H28" i="13"/>
  <c r="E11" i="12"/>
  <c r="G77" i="12"/>
  <c r="G47" i="13"/>
  <c r="H31" i="13"/>
  <c r="E770" i="11"/>
  <c r="E5" i="12"/>
  <c r="D31" i="12"/>
  <c r="F46" i="12" s="1"/>
  <c r="G68" i="12"/>
  <c r="G70" i="12"/>
  <c r="G26" i="13"/>
  <c r="G50" i="13"/>
  <c r="H34" i="13"/>
  <c r="C45" i="9"/>
  <c r="C47" i="9" s="1"/>
  <c r="C166" i="9" s="1"/>
  <c r="E12" i="12"/>
  <c r="J75" i="12"/>
  <c r="F23" i="13"/>
  <c r="J17" i="13"/>
  <c r="E177" i="14" s="1"/>
  <c r="H43" i="13"/>
  <c r="I27" i="13"/>
  <c r="E6" i="12"/>
  <c r="H31" i="12"/>
  <c r="D42" i="12"/>
  <c r="D45" i="12"/>
  <c r="D99" i="12"/>
  <c r="G167" i="12"/>
  <c r="F167" i="12"/>
  <c r="G171" i="12"/>
  <c r="H171" i="12" s="1"/>
  <c r="I171" i="12" s="1"/>
  <c r="J171" i="12" s="1"/>
  <c r="K171" i="12" s="1"/>
  <c r="L171" i="12" s="1"/>
  <c r="M171" i="12" s="1"/>
  <c r="N171" i="12" s="1"/>
  <c r="O171" i="12" s="1"/>
  <c r="P171" i="12" s="1"/>
  <c r="F171" i="12"/>
  <c r="D175" i="12"/>
  <c r="D97" i="12"/>
  <c r="D21" i="12"/>
  <c r="F36" i="12" s="1"/>
  <c r="E13" i="12"/>
  <c r="H73" i="12"/>
  <c r="G40" i="13"/>
  <c r="L95" i="13"/>
  <c r="J95" i="13"/>
  <c r="H21" i="12"/>
  <c r="H23" i="12"/>
  <c r="H24" i="12"/>
  <c r="H25" i="12"/>
  <c r="H27" i="12"/>
  <c r="I28" i="12"/>
  <c r="I33" i="13"/>
  <c r="G29" i="13"/>
  <c r="H46" i="13"/>
  <c r="I30" i="13"/>
  <c r="H32" i="13"/>
  <c r="G48" i="13"/>
  <c r="J101" i="13"/>
  <c r="K97" i="13"/>
  <c r="J9" i="13"/>
  <c r="F27" i="13" s="1"/>
  <c r="F43" i="13" s="1"/>
  <c r="F170" i="12"/>
  <c r="F174" i="12"/>
  <c r="H23" i="13"/>
  <c r="H115" i="13"/>
  <c r="H139" i="13" s="1"/>
  <c r="I103" i="13"/>
  <c r="I100" i="13"/>
  <c r="J100" i="13" s="1"/>
  <c r="K100" i="13" s="1"/>
  <c r="L100" i="13" s="1"/>
  <c r="M100" i="13" s="1"/>
  <c r="N100" i="13" s="1"/>
  <c r="O100" i="13" s="1"/>
  <c r="P100" i="13" s="1"/>
  <c r="Q100" i="13" s="1"/>
  <c r="R100" i="13" s="1"/>
  <c r="H101" i="13"/>
  <c r="O36" i="14"/>
  <c r="O170" i="14"/>
  <c r="G49" i="13"/>
  <c r="M170" i="14"/>
  <c r="M36" i="14"/>
  <c r="Z24" i="14"/>
  <c r="AA24" i="14" s="1"/>
  <c r="Z48" i="14"/>
  <c r="AA48" i="14" s="1"/>
  <c r="Z36" i="14"/>
  <c r="L82" i="13"/>
  <c r="I95" i="13"/>
  <c r="I91" i="13"/>
  <c r="I117" i="13"/>
  <c r="H126" i="13"/>
  <c r="H128" i="13" s="1"/>
  <c r="J84" i="13"/>
  <c r="I101" i="13"/>
  <c r="L46" i="7" s="1"/>
  <c r="AA122" i="14"/>
  <c r="Z129" i="14"/>
  <c r="AA100" i="14"/>
  <c r="Z116" i="14"/>
  <c r="AA35" i="14"/>
  <c r="Z58" i="14"/>
  <c r="AA58" i="14" s="1"/>
  <c r="AA96" i="14"/>
  <c r="E174" i="14"/>
  <c r="D214" i="14"/>
  <c r="Z103" i="14"/>
  <c r="AA88" i="14"/>
  <c r="AA98" i="14"/>
  <c r="AA119" i="14"/>
  <c r="C231" i="28"/>
  <c r="C207" i="28"/>
  <c r="E36" i="14"/>
  <c r="AA70" i="14"/>
  <c r="E103" i="14"/>
  <c r="AA84" i="14"/>
  <c r="Z174" i="14"/>
  <c r="I75" i="17"/>
  <c r="H80" i="17"/>
  <c r="H82" i="17" s="1"/>
  <c r="H88" i="17"/>
  <c r="H84" i="17"/>
  <c r="B143" i="14"/>
  <c r="B147" i="14" s="1"/>
  <c r="E148" i="14" s="1"/>
  <c r="E160" i="14" s="1"/>
  <c r="C36" i="28"/>
  <c r="C23" i="19"/>
  <c r="C31" i="19" s="1"/>
  <c r="C36" i="19" s="1"/>
  <c r="H94" i="17"/>
  <c r="H86" i="17"/>
  <c r="C12" i="23"/>
  <c r="C11" i="23"/>
  <c r="C15" i="23"/>
  <c r="C16" i="23"/>
  <c r="C17" i="23" s="1"/>
  <c r="C19" i="23" s="1"/>
  <c r="C7" i="23"/>
  <c r="C13" i="23"/>
  <c r="C9" i="23"/>
  <c r="C8" i="23"/>
  <c r="C5" i="23"/>
  <c r="C10" i="23"/>
  <c r="C14" i="23"/>
  <c r="D4" i="23"/>
  <c r="C6" i="23"/>
  <c r="I76" i="17"/>
  <c r="J76" i="17"/>
  <c r="F67" i="20"/>
  <c r="F157" i="12" s="1"/>
  <c r="L27" i="24"/>
  <c r="E27" i="24"/>
  <c r="R25" i="24"/>
  <c r="F27" i="24"/>
  <c r="R10" i="24"/>
  <c r="R46" i="24"/>
  <c r="C47" i="28"/>
  <c r="H33" i="17" l="1"/>
  <c r="H95" i="17"/>
  <c r="E6" i="14"/>
  <c r="K84" i="13"/>
  <c r="J91" i="13"/>
  <c r="I46" i="13"/>
  <c r="J30" i="13"/>
  <c r="I25" i="12"/>
  <c r="K25" i="7"/>
  <c r="L25" i="7"/>
  <c r="J25" i="7"/>
  <c r="D224" i="14"/>
  <c r="D211" i="14"/>
  <c r="E3" i="19"/>
  <c r="J12" i="17"/>
  <c r="F209" i="14"/>
  <c r="H4" i="8"/>
  <c r="F5" i="6"/>
  <c r="F44" i="6" s="1"/>
  <c r="I5" i="7"/>
  <c r="I27" i="12"/>
  <c r="H42" i="12"/>
  <c r="G42" i="12"/>
  <c r="G57" i="12" s="1"/>
  <c r="I42" i="12"/>
  <c r="I57" i="12" s="1"/>
  <c r="I40" i="13"/>
  <c r="J24" i="13"/>
  <c r="H138" i="13"/>
  <c r="K47" i="7"/>
  <c r="I115" i="13"/>
  <c r="I139" i="13" s="1"/>
  <c r="J103" i="13"/>
  <c r="L60" i="7"/>
  <c r="I24" i="12"/>
  <c r="F51" i="12"/>
  <c r="I31" i="12"/>
  <c r="H123" i="12"/>
  <c r="I25" i="13"/>
  <c r="H41" i="13"/>
  <c r="K71" i="12"/>
  <c r="I67" i="12"/>
  <c r="J748" i="11"/>
  <c r="I30" i="12"/>
  <c r="H122" i="12"/>
  <c r="B30" i="15"/>
  <c r="B10" i="15"/>
  <c r="D106" i="9"/>
  <c r="D116" i="9" s="1"/>
  <c r="D55" i="9"/>
  <c r="D78" i="9" s="1"/>
  <c r="D79" i="9" s="1"/>
  <c r="C61" i="9"/>
  <c r="C62" i="9" s="1"/>
  <c r="I69" i="12"/>
  <c r="J65" i="7"/>
  <c r="K64" i="7"/>
  <c r="M62" i="7"/>
  <c r="N61" i="7"/>
  <c r="N146" i="7" s="1"/>
  <c r="L54" i="7"/>
  <c r="N52" i="7"/>
  <c r="O51" i="7"/>
  <c r="P50" i="7"/>
  <c r="Q49" i="7"/>
  <c r="R48" i="7"/>
  <c r="J46" i="7"/>
  <c r="K45" i="7"/>
  <c r="J64" i="7"/>
  <c r="L62" i="7"/>
  <c r="M61" i="7"/>
  <c r="M146" i="7" s="1"/>
  <c r="K54" i="7"/>
  <c r="M52" i="7"/>
  <c r="N51" i="7"/>
  <c r="O50" i="7"/>
  <c r="G132" i="7"/>
  <c r="T65" i="7"/>
  <c r="K62" i="7"/>
  <c r="L61" i="7"/>
  <c r="L146" i="7" s="1"/>
  <c r="J54" i="7"/>
  <c r="K53" i="7"/>
  <c r="L52" i="7"/>
  <c r="M51" i="7"/>
  <c r="N50" i="7"/>
  <c r="O49" i="7"/>
  <c r="S65" i="7"/>
  <c r="T64" i="7"/>
  <c r="J62" i="7"/>
  <c r="K61" i="7"/>
  <c r="K146" i="7" s="1"/>
  <c r="K60" i="7"/>
  <c r="J53" i="7"/>
  <c r="K52" i="7"/>
  <c r="L51" i="7"/>
  <c r="M50" i="7"/>
  <c r="N49" i="7"/>
  <c r="O48" i="7"/>
  <c r="G133" i="7"/>
  <c r="L65" i="7"/>
  <c r="M64" i="7"/>
  <c r="O62" i="7"/>
  <c r="P61" i="7"/>
  <c r="P146" i="7" s="1"/>
  <c r="N54" i="7"/>
  <c r="P52" i="7"/>
  <c r="Q51" i="7"/>
  <c r="R50" i="7"/>
  <c r="S49" i="7"/>
  <c r="T48" i="7"/>
  <c r="O65" i="7"/>
  <c r="N62" i="7"/>
  <c r="O52" i="7"/>
  <c r="T50" i="7"/>
  <c r="L49" i="7"/>
  <c r="J48" i="7"/>
  <c r="N65" i="7"/>
  <c r="J52" i="7"/>
  <c r="S50" i="7"/>
  <c r="K49" i="7"/>
  <c r="M65" i="7"/>
  <c r="K65" i="7"/>
  <c r="T61" i="7"/>
  <c r="T146" i="7" s="1"/>
  <c r="J60" i="7"/>
  <c r="L50" i="7"/>
  <c r="S64" i="7"/>
  <c r="S61" i="7"/>
  <c r="S146" i="7" s="1"/>
  <c r="T54" i="7"/>
  <c r="P53" i="7"/>
  <c r="T51" i="7"/>
  <c r="K50" i="7"/>
  <c r="R64" i="7"/>
  <c r="R61" i="7"/>
  <c r="R146" i="7" s="1"/>
  <c r="S54" i="7"/>
  <c r="N53" i="7"/>
  <c r="S51" i="7"/>
  <c r="J50" i="7"/>
  <c r="S48" i="7"/>
  <c r="Q64" i="7"/>
  <c r="Q61" i="7"/>
  <c r="Q146" i="7" s="1"/>
  <c r="R54" i="7"/>
  <c r="R51" i="7"/>
  <c r="G134" i="7"/>
  <c r="P64" i="7"/>
  <c r="T62" i="7"/>
  <c r="O61" i="7"/>
  <c r="O146" i="7" s="1"/>
  <c r="Q54" i="7"/>
  <c r="P51" i="7"/>
  <c r="O64" i="7"/>
  <c r="S62" i="7"/>
  <c r="J61" i="7"/>
  <c r="J146" i="7" s="1"/>
  <c r="P54" i="7"/>
  <c r="T52" i="7"/>
  <c r="K51" i="7"/>
  <c r="T49" i="7"/>
  <c r="N48" i="7"/>
  <c r="R65" i="7"/>
  <c r="N64" i="7"/>
  <c r="R62" i="7"/>
  <c r="O54" i="7"/>
  <c r="S52" i="7"/>
  <c r="J51" i="7"/>
  <c r="R49" i="7"/>
  <c r="M48" i="7"/>
  <c r="M54" i="7"/>
  <c r="Q48" i="7"/>
  <c r="P48" i="7"/>
  <c r="Q62" i="7"/>
  <c r="L48" i="7"/>
  <c r="Q65" i="7"/>
  <c r="R52" i="7"/>
  <c r="K48" i="7"/>
  <c r="P65" i="7"/>
  <c r="Q52" i="7"/>
  <c r="L64" i="7"/>
  <c r="L45" i="7"/>
  <c r="J45" i="7"/>
  <c r="P62" i="7"/>
  <c r="Q50" i="7"/>
  <c r="J47" i="7"/>
  <c r="P49" i="7"/>
  <c r="M49" i="7"/>
  <c r="J49" i="7"/>
  <c r="R27" i="24"/>
  <c r="J117" i="13"/>
  <c r="I126" i="13"/>
  <c r="I128" i="13" s="1"/>
  <c r="L97" i="13"/>
  <c r="K101" i="13"/>
  <c r="N46" i="7" s="1"/>
  <c r="G45" i="13"/>
  <c r="H29" i="13"/>
  <c r="H115" i="12"/>
  <c r="I23" i="12"/>
  <c r="H72" i="12"/>
  <c r="G87" i="12"/>
  <c r="F58" i="12"/>
  <c r="C39" i="9"/>
  <c r="I750" i="11"/>
  <c r="I752" i="11"/>
  <c r="I753" i="11" s="1"/>
  <c r="I755" i="11" s="1"/>
  <c r="I756" i="11" s="1"/>
  <c r="K72" i="7" s="1"/>
  <c r="E753" i="11"/>
  <c r="E755" i="11" s="1"/>
  <c r="E756" i="11" s="1"/>
  <c r="H47" i="13"/>
  <c r="I31" i="13"/>
  <c r="F32" i="20"/>
  <c r="F31" i="20"/>
  <c r="H31" i="20" s="1"/>
  <c r="F30" i="20"/>
  <c r="H30" i="20" s="1"/>
  <c r="F29" i="20"/>
  <c r="H29" i="20" s="1"/>
  <c r="F28" i="20"/>
  <c r="H28" i="20" s="1"/>
  <c r="F27" i="20"/>
  <c r="H27" i="20" s="1"/>
  <c r="F26" i="20"/>
  <c r="H26" i="20" s="1"/>
  <c r="F14" i="20"/>
  <c r="G13" i="20"/>
  <c r="H12" i="20"/>
  <c r="I11" i="20"/>
  <c r="J10" i="20"/>
  <c r="J118" i="12" s="1"/>
  <c r="K9" i="20"/>
  <c r="L8" i="20"/>
  <c r="M7" i="20"/>
  <c r="N6" i="20"/>
  <c r="O5" i="20"/>
  <c r="P32" i="20"/>
  <c r="O32" i="20"/>
  <c r="P31" i="20"/>
  <c r="H15" i="20"/>
  <c r="I14" i="20"/>
  <c r="J13" i="20"/>
  <c r="K12" i="20"/>
  <c r="M32" i="20"/>
  <c r="P29" i="20"/>
  <c r="M28" i="20"/>
  <c r="P25" i="20"/>
  <c r="N24" i="20"/>
  <c r="L23" i="20"/>
  <c r="P14" i="20"/>
  <c r="O13" i="20"/>
  <c r="N12" i="20"/>
  <c r="M11" i="20"/>
  <c r="M10" i="20"/>
  <c r="M9" i="20"/>
  <c r="M8" i="20"/>
  <c r="L7" i="20"/>
  <c r="L6" i="20"/>
  <c r="L5" i="20"/>
  <c r="L32" i="20"/>
  <c r="O29" i="20"/>
  <c r="L28" i="20"/>
  <c r="O25" i="20"/>
  <c r="M24" i="20"/>
  <c r="K23" i="20"/>
  <c r="P15" i="20"/>
  <c r="O14" i="20"/>
  <c r="N13" i="20"/>
  <c r="M12" i="20"/>
  <c r="L11" i="20"/>
  <c r="L10" i="20"/>
  <c r="L9" i="20"/>
  <c r="K8" i="20"/>
  <c r="K7" i="20"/>
  <c r="K6" i="20"/>
  <c r="K5" i="20"/>
  <c r="K32" i="20"/>
  <c r="N29" i="20"/>
  <c r="K28" i="20"/>
  <c r="N25" i="20"/>
  <c r="L24" i="20"/>
  <c r="F22" i="20"/>
  <c r="O15" i="20"/>
  <c r="N14" i="20"/>
  <c r="M13" i="20"/>
  <c r="L12" i="20"/>
  <c r="K11" i="20"/>
  <c r="K10" i="20"/>
  <c r="J9" i="20"/>
  <c r="J8" i="20"/>
  <c r="J7" i="20"/>
  <c r="J6" i="20"/>
  <c r="J5" i="20"/>
  <c r="P30" i="20"/>
  <c r="M29" i="20"/>
  <c r="P26" i="20"/>
  <c r="M25" i="20"/>
  <c r="K24" i="20"/>
  <c r="N15" i="20"/>
  <c r="M14" i="20"/>
  <c r="L13" i="20"/>
  <c r="J12" i="20"/>
  <c r="J11" i="20"/>
  <c r="I10" i="20"/>
  <c r="I9" i="20"/>
  <c r="I8" i="20"/>
  <c r="I7" i="20"/>
  <c r="I6" i="20"/>
  <c r="I5" i="20"/>
  <c r="O30" i="20"/>
  <c r="L29" i="20"/>
  <c r="O26" i="20"/>
  <c r="L25" i="20"/>
  <c r="F23" i="20"/>
  <c r="H23" i="20" s="1"/>
  <c r="M15" i="20"/>
  <c r="N30" i="20"/>
  <c r="K29" i="20"/>
  <c r="N26" i="20"/>
  <c r="K25" i="20"/>
  <c r="L15" i="20"/>
  <c r="K14" i="20"/>
  <c r="I13" i="20"/>
  <c r="I59" i="12" s="1"/>
  <c r="G12" i="20"/>
  <c r="G11" i="20"/>
  <c r="G10" i="20"/>
  <c r="G56" i="12" s="1"/>
  <c r="G102" i="12" s="1"/>
  <c r="C343" i="29" s="1"/>
  <c r="G9" i="20"/>
  <c r="G8" i="20"/>
  <c r="G85" i="12" s="1"/>
  <c r="G7" i="20"/>
  <c r="G6" i="20"/>
  <c r="G5" i="20"/>
  <c r="M30" i="20"/>
  <c r="P27" i="20"/>
  <c r="M26" i="20"/>
  <c r="F24" i="20"/>
  <c r="H24" i="20" s="1"/>
  <c r="P22" i="20"/>
  <c r="K15" i="20"/>
  <c r="J14" i="20"/>
  <c r="H13" i="20"/>
  <c r="F12" i="20"/>
  <c r="F11" i="20"/>
  <c r="F10" i="20"/>
  <c r="F9" i="20"/>
  <c r="F8" i="20"/>
  <c r="F7" i="20"/>
  <c r="F6" i="20"/>
  <c r="F5" i="20"/>
  <c r="O31" i="20"/>
  <c r="L30" i="20"/>
  <c r="O27" i="20"/>
  <c r="L26" i="20"/>
  <c r="O22" i="20"/>
  <c r="J15" i="20"/>
  <c r="H14" i="20"/>
  <c r="F13" i="20"/>
  <c r="L31" i="20"/>
  <c r="O28" i="20"/>
  <c r="L27" i="20"/>
  <c r="P24" i="20"/>
  <c r="N23" i="20"/>
  <c r="L22" i="20"/>
  <c r="F15" i="20"/>
  <c r="P12" i="20"/>
  <c r="O11" i="20"/>
  <c r="O10" i="20"/>
  <c r="O9" i="20"/>
  <c r="O8" i="20"/>
  <c r="O7" i="20"/>
  <c r="O6" i="20"/>
  <c r="N5" i="20"/>
  <c r="N32" i="20"/>
  <c r="K31" i="20"/>
  <c r="N28" i="20"/>
  <c r="K27" i="20"/>
  <c r="O24" i="20"/>
  <c r="M23" i="20"/>
  <c r="K22" i="20"/>
  <c r="P13" i="20"/>
  <c r="O12" i="20"/>
  <c r="N11" i="20"/>
  <c r="N10" i="20"/>
  <c r="N9" i="20"/>
  <c r="N8" i="20"/>
  <c r="N7" i="20"/>
  <c r="M6" i="20"/>
  <c r="M5" i="20"/>
  <c r="N27" i="20"/>
  <c r="N22" i="20"/>
  <c r="K13" i="20"/>
  <c r="H9" i="20"/>
  <c r="H5" i="20"/>
  <c r="M27" i="20"/>
  <c r="M22" i="20"/>
  <c r="P8" i="20"/>
  <c r="N31" i="20"/>
  <c r="K26" i="20"/>
  <c r="I12" i="20"/>
  <c r="H8" i="20"/>
  <c r="H116" i="12" s="1"/>
  <c r="M31" i="20"/>
  <c r="I15" i="20"/>
  <c r="P11" i="20"/>
  <c r="P7" i="20"/>
  <c r="K30" i="20"/>
  <c r="F25" i="20"/>
  <c r="H25" i="20" s="1"/>
  <c r="G15" i="20"/>
  <c r="H11" i="20"/>
  <c r="H7" i="20"/>
  <c r="H84" i="12" s="1"/>
  <c r="P28" i="20"/>
  <c r="O23" i="20"/>
  <c r="P9" i="20"/>
  <c r="P5" i="20"/>
  <c r="G14" i="20"/>
  <c r="H6" i="20"/>
  <c r="P10" i="20"/>
  <c r="H10" i="20"/>
  <c r="P23" i="20"/>
  <c r="P6" i="20"/>
  <c r="L14" i="20"/>
  <c r="E772" i="11"/>
  <c r="L53" i="7"/>
  <c r="I43" i="13"/>
  <c r="J27" i="13"/>
  <c r="J43" i="12"/>
  <c r="J58" i="12" s="1"/>
  <c r="I43" i="12"/>
  <c r="I58" i="12" s="1"/>
  <c r="H43" i="12"/>
  <c r="H58" i="12" s="1"/>
  <c r="H104" i="12" s="1"/>
  <c r="C358" i="29" s="1"/>
  <c r="G43" i="12"/>
  <c r="G58" i="12" s="1"/>
  <c r="N78" i="13"/>
  <c r="M82" i="13"/>
  <c r="P45" i="7" s="1"/>
  <c r="I56" i="12"/>
  <c r="I95" i="17"/>
  <c r="I33" i="17"/>
  <c r="I21" i="12"/>
  <c r="N45" i="7"/>
  <c r="H53" i="12"/>
  <c r="O45" i="7"/>
  <c r="G35" i="13"/>
  <c r="G135" i="13" s="1"/>
  <c r="F175" i="12"/>
  <c r="G42" i="13"/>
  <c r="G51" i="13" s="1"/>
  <c r="G136" i="13" s="1"/>
  <c r="H26" i="13"/>
  <c r="H77" i="12"/>
  <c r="I40" i="12"/>
  <c r="I55" i="12" s="1"/>
  <c r="H40" i="12"/>
  <c r="G40" i="12"/>
  <c r="P93" i="13"/>
  <c r="O95" i="13"/>
  <c r="R53" i="7" s="1"/>
  <c r="G148" i="13"/>
  <c r="F60" i="12"/>
  <c r="I183" i="12"/>
  <c r="I214" i="12" s="1"/>
  <c r="J181" i="12"/>
  <c r="F753" i="11"/>
  <c r="F755" i="11" s="1"/>
  <c r="F756" i="11" s="1"/>
  <c r="H72" i="7" s="1"/>
  <c r="D12" i="23"/>
  <c r="D11" i="23"/>
  <c r="D13" i="23"/>
  <c r="D15" i="23"/>
  <c r="D16" i="23"/>
  <c r="D17" i="23" s="1"/>
  <c r="D19" i="23" s="1"/>
  <c r="D7" i="23"/>
  <c r="D6" i="23"/>
  <c r="D9" i="23"/>
  <c r="D10" i="23"/>
  <c r="D8" i="23"/>
  <c r="D5" i="23"/>
  <c r="D14" i="23"/>
  <c r="E4" i="23"/>
  <c r="H50" i="13"/>
  <c r="I34" i="13"/>
  <c r="M53" i="7"/>
  <c r="H167" i="12"/>
  <c r="G175" i="12"/>
  <c r="Q53" i="7"/>
  <c r="G59" i="12"/>
  <c r="G51" i="12"/>
  <c r="M46" i="7"/>
  <c r="O53" i="7"/>
  <c r="F35" i="13"/>
  <c r="F39" i="13"/>
  <c r="F51" i="13" s="1"/>
  <c r="M45" i="7"/>
  <c r="F55" i="12"/>
  <c r="H36" i="12"/>
  <c r="H51" i="12" s="1"/>
  <c r="G754" i="11"/>
  <c r="G751" i="11"/>
  <c r="G752" i="11"/>
  <c r="C39" i="28"/>
  <c r="C5" i="19"/>
  <c r="C34" i="19" s="1"/>
  <c r="H14" i="17"/>
  <c r="D208" i="14"/>
  <c r="C53" i="9"/>
  <c r="F6" i="8"/>
  <c r="G120" i="7"/>
  <c r="D7" i="6"/>
  <c r="E211" i="14"/>
  <c r="E224" i="14"/>
  <c r="J117" i="17"/>
  <c r="F19" i="6"/>
  <c r="I117" i="17"/>
  <c r="E19" i="6"/>
  <c r="I73" i="12"/>
  <c r="H70" i="12"/>
  <c r="H59" i="12"/>
  <c r="K26" i="12"/>
  <c r="G149" i="7"/>
  <c r="G150" i="7"/>
  <c r="G147" i="7"/>
  <c r="G141" i="7" a="1"/>
  <c r="G141" i="7" s="1"/>
  <c r="G138" i="7" a="1"/>
  <c r="G138" i="7" s="1"/>
  <c r="G136" i="7" a="1"/>
  <c r="G136" i="7" s="1"/>
  <c r="G129" i="7" a="1"/>
  <c r="G129" i="7" s="1"/>
  <c r="G127" i="7" a="1"/>
  <c r="G127" i="7" s="1"/>
  <c r="G125" i="7" a="1"/>
  <c r="G125" i="7" s="1"/>
  <c r="G123" i="7" a="1"/>
  <c r="G123" i="7" s="1"/>
  <c r="G87" i="7"/>
  <c r="G148" i="7"/>
  <c r="G144" i="7" a="1"/>
  <c r="G144" i="7" s="1"/>
  <c r="G122" i="7" a="1"/>
  <c r="G122" i="7" s="1"/>
  <c r="G137" i="7" a="1"/>
  <c r="G137" i="7" s="1"/>
  <c r="G124" i="7" a="1"/>
  <c r="G124" i="7" s="1"/>
  <c r="G139" i="7" a="1"/>
  <c r="G139" i="7" s="1"/>
  <c r="G126" i="7" a="1"/>
  <c r="G126" i="7" s="1"/>
  <c r="G145" i="7"/>
  <c r="G128" i="7" a="1"/>
  <c r="G128" i="7" s="1"/>
  <c r="G142" i="7"/>
  <c r="G130" i="7" a="1"/>
  <c r="G130" i="7" s="1"/>
  <c r="G143" i="7"/>
  <c r="G146" i="7"/>
  <c r="G9" i="7"/>
  <c r="I32" i="17"/>
  <c r="I94" i="17"/>
  <c r="E14" i="14"/>
  <c r="C166" i="28" s="1"/>
  <c r="C253" i="29" s="1"/>
  <c r="E156" i="11"/>
  <c r="E157" i="11" s="1"/>
  <c r="I78" i="17"/>
  <c r="I81" i="17" s="1"/>
  <c r="I80" i="17"/>
  <c r="I88" i="17"/>
  <c r="I23" i="13"/>
  <c r="H39" i="13"/>
  <c r="H35" i="13"/>
  <c r="H135" i="13" s="1"/>
  <c r="H22" i="12"/>
  <c r="G114" i="12"/>
  <c r="H56" i="12"/>
  <c r="K46" i="7"/>
  <c r="I32" i="13"/>
  <c r="H48" i="13"/>
  <c r="I49" i="13"/>
  <c r="J33" i="13"/>
  <c r="J90" i="12"/>
  <c r="K75" i="12"/>
  <c r="G83" i="12"/>
  <c r="H68" i="12"/>
  <c r="F59" i="12"/>
  <c r="C198" i="28"/>
  <c r="C149" i="4" s="1"/>
  <c r="C301" i="29" s="1"/>
  <c r="C7" i="30" s="1"/>
  <c r="C164" i="9"/>
  <c r="H89" i="12"/>
  <c r="I74" i="12"/>
  <c r="C106" i="9"/>
  <c r="C116" i="9" s="1"/>
  <c r="C55" i="9"/>
  <c r="C78" i="9" s="1"/>
  <c r="C79" i="9" s="1"/>
  <c r="H87" i="7" a="1"/>
  <c r="H87" i="7" s="1"/>
  <c r="H47" i="7" a="1"/>
  <c r="H47" i="7" s="1"/>
  <c r="H136" i="7" s="1" a="1"/>
  <c r="H136" i="7" s="1"/>
  <c r="H65" i="7"/>
  <c r="H56" i="7"/>
  <c r="H148" i="7" s="1"/>
  <c r="H64" i="7"/>
  <c r="H55" i="7"/>
  <c r="H147" i="7" s="1"/>
  <c r="H45" i="7"/>
  <c r="H70" i="7"/>
  <c r="H150" i="7" s="1"/>
  <c r="H69" i="7" a="1"/>
  <c r="H69" i="7" s="1"/>
  <c r="H139" i="7" s="1" a="1"/>
  <c r="H139" i="7" s="1"/>
  <c r="H58" i="7" a="1"/>
  <c r="H58" i="7" s="1"/>
  <c r="H137" i="7" s="1" a="1"/>
  <c r="H137" i="7" s="1"/>
  <c r="H48" i="7"/>
  <c r="H143" i="7" s="1"/>
  <c r="H19" i="7" a="1"/>
  <c r="H19" i="7" s="1"/>
  <c r="H15" i="7" a="1"/>
  <c r="H15" i="7" s="1"/>
  <c r="H68" i="7" a="1"/>
  <c r="H68" i="7" s="1"/>
  <c r="H59" i="7"/>
  <c r="H62" i="7"/>
  <c r="H144" i="7" s="1" a="1"/>
  <c r="H144" i="7" s="1"/>
  <c r="H52" i="7"/>
  <c r="H49" i="7"/>
  <c r="H60" i="7"/>
  <c r="H145" i="7" s="1"/>
  <c r="H63" i="7"/>
  <c r="H149" i="7" s="1"/>
  <c r="H53" i="7"/>
  <c r="H50" i="7"/>
  <c r="H76" i="7"/>
  <c r="H79" i="7" s="1"/>
  <c r="C22" i="32" s="1"/>
  <c r="H25" i="7" a="1"/>
  <c r="H25" i="7" s="1"/>
  <c r="H20" i="7" a="1"/>
  <c r="H20" i="7" s="1"/>
  <c r="H17" i="7" a="1"/>
  <c r="H17" i="7" s="1"/>
  <c r="H54" i="7"/>
  <c r="H51" i="7"/>
  <c r="H46" i="7"/>
  <c r="H142" i="7" s="1"/>
  <c r="H18" i="7" a="1"/>
  <c r="H18" i="7" s="1"/>
  <c r="H14" i="7" a="1"/>
  <c r="H14" i="7" s="1"/>
  <c r="H9" i="7"/>
  <c r="H61" i="7" s="1"/>
  <c r="H146" i="7" s="1"/>
  <c r="H24" i="7" a="1"/>
  <c r="H24" i="7" s="1"/>
  <c r="H16" i="7" a="1"/>
  <c r="H16" i="7" s="1"/>
  <c r="E213" i="14"/>
  <c r="E212" i="14"/>
  <c r="E214" i="14"/>
  <c r="H46" i="12"/>
  <c r="H61" i="12" s="1"/>
  <c r="G46" i="12"/>
  <c r="G61" i="12" s="1"/>
  <c r="AA36" i="14"/>
  <c r="AA103" i="14"/>
  <c r="E10" i="14"/>
  <c r="C163" i="28" s="1"/>
  <c r="C250" i="29" s="1"/>
  <c r="I120" i="12"/>
  <c r="J28" i="12"/>
  <c r="H45" i="12"/>
  <c r="H60" i="12" s="1"/>
  <c r="G45" i="12"/>
  <c r="I45" i="12"/>
  <c r="I60" i="12" s="1"/>
  <c r="G37" i="12"/>
  <c r="G52" i="12" s="1"/>
  <c r="G98" i="12" s="1"/>
  <c r="C339" i="29" s="1"/>
  <c r="H44" i="13"/>
  <c r="I28" i="13"/>
  <c r="I121" i="12"/>
  <c r="J29" i="12"/>
  <c r="I76" i="12"/>
  <c r="H91" i="12"/>
  <c r="H39" i="12"/>
  <c r="H54" i="12" s="1"/>
  <c r="G39" i="12"/>
  <c r="I39" i="12"/>
  <c r="I54" i="12" s="1"/>
  <c r="J41" i="12"/>
  <c r="D39" i="28"/>
  <c r="I14" i="17"/>
  <c r="D5" i="19"/>
  <c r="D34" i="19" s="1"/>
  <c r="E208" i="14"/>
  <c r="G6" i="8"/>
  <c r="D53" i="9"/>
  <c r="H120" i="7"/>
  <c r="E7" i="6"/>
  <c r="F59" i="20" l="1"/>
  <c r="F149" i="12" s="1"/>
  <c r="F189" i="12"/>
  <c r="F83" i="12"/>
  <c r="F42" i="20"/>
  <c r="F131" i="12" s="1"/>
  <c r="F114" i="12"/>
  <c r="D243" i="28"/>
  <c r="D232" i="28"/>
  <c r="G753" i="11"/>
  <c r="G755" i="11" s="1"/>
  <c r="G756" i="11" s="1"/>
  <c r="I72" i="7" s="1"/>
  <c r="I72" i="12"/>
  <c r="H87" i="12"/>
  <c r="G60" i="12"/>
  <c r="G106" i="12" s="1"/>
  <c r="C347" i="29" s="1"/>
  <c r="E219" i="14"/>
  <c r="D234" i="28" s="1"/>
  <c r="E218" i="14"/>
  <c r="I113" i="12"/>
  <c r="J21" i="12"/>
  <c r="I36" i="12"/>
  <c r="I51" i="12" s="1"/>
  <c r="I97" i="12" s="1"/>
  <c r="H63" i="20"/>
  <c r="H153" i="12" s="1"/>
  <c r="H193" i="12"/>
  <c r="H46" i="20"/>
  <c r="G135" i="12" s="1"/>
  <c r="H118" i="12"/>
  <c r="H58" i="20"/>
  <c r="H16" i="20"/>
  <c r="E5" i="20" s="1"/>
  <c r="H188" i="12"/>
  <c r="H41" i="20"/>
  <c r="O65" i="20"/>
  <c r="O155" i="12" s="1"/>
  <c r="O195" i="12"/>
  <c r="O48" i="20"/>
  <c r="O61" i="20"/>
  <c r="O151" i="12" s="1"/>
  <c r="O191" i="12"/>
  <c r="O44" i="20"/>
  <c r="F196" i="12"/>
  <c r="F121" i="12"/>
  <c r="F49" i="20"/>
  <c r="F138" i="12" s="1"/>
  <c r="F90" i="12"/>
  <c r="F105" i="12" s="1"/>
  <c r="C333" i="29" s="1"/>
  <c r="F62" i="20"/>
  <c r="F152" i="12" s="1"/>
  <c r="F117" i="12"/>
  <c r="F192" i="12"/>
  <c r="F45" i="20"/>
  <c r="F134" i="12" s="1"/>
  <c r="F86" i="12"/>
  <c r="G58" i="20"/>
  <c r="G16" i="20"/>
  <c r="G188" i="12"/>
  <c r="G82" i="12"/>
  <c r="G113" i="12"/>
  <c r="G124" i="12" s="1"/>
  <c r="G41" i="20"/>
  <c r="I61" i="20"/>
  <c r="I151" i="12" s="1"/>
  <c r="I191" i="12"/>
  <c r="I44" i="20"/>
  <c r="H133" i="12" s="1"/>
  <c r="I133" i="12" s="1"/>
  <c r="J133" i="12" s="1"/>
  <c r="K133" i="12" s="1"/>
  <c r="L133" i="12" s="1"/>
  <c r="M133" i="12" s="1"/>
  <c r="N133" i="12" s="1"/>
  <c r="O133" i="12" s="1"/>
  <c r="P133" i="12" s="1"/>
  <c r="F33" i="20"/>
  <c r="H22" i="20"/>
  <c r="L64" i="20"/>
  <c r="L154" i="12" s="1"/>
  <c r="L194" i="12"/>
  <c r="L47" i="20"/>
  <c r="L59" i="20"/>
  <c r="L149" i="12" s="1"/>
  <c r="L189" i="12"/>
  <c r="L42" i="20"/>
  <c r="M190" i="12"/>
  <c r="M43" i="20"/>
  <c r="M60" i="20"/>
  <c r="M150" i="12" s="1"/>
  <c r="I30" i="20"/>
  <c r="J30" i="20" s="1"/>
  <c r="I115" i="12"/>
  <c r="J23" i="12"/>
  <c r="I38" i="12"/>
  <c r="I53" i="12" s="1"/>
  <c r="I122" i="12"/>
  <c r="J30" i="12"/>
  <c r="I116" i="12"/>
  <c r="J24" i="12"/>
  <c r="H57" i="12"/>
  <c r="F213" i="14"/>
  <c r="F212" i="14"/>
  <c r="F214" i="14"/>
  <c r="C159" i="28"/>
  <c r="E15" i="14"/>
  <c r="C66" i="28"/>
  <c r="C52" i="28"/>
  <c r="C75" i="29" a="1"/>
  <c r="C75" i="29" s="1"/>
  <c r="P61" i="20"/>
  <c r="P151" i="12" s="1"/>
  <c r="P191" i="12"/>
  <c r="M53" i="5" a="1"/>
  <c r="M53" i="5" s="1"/>
  <c r="P44" i="20"/>
  <c r="M66" i="20"/>
  <c r="M156" i="12" s="1"/>
  <c r="M196" i="12"/>
  <c r="M49" i="20"/>
  <c r="G105" i="12"/>
  <c r="C346" i="29" s="1"/>
  <c r="G68" i="20"/>
  <c r="G158" i="12" s="1"/>
  <c r="G198" i="12"/>
  <c r="G51" i="20"/>
  <c r="G123" i="12"/>
  <c r="O59" i="20"/>
  <c r="O149" i="12" s="1"/>
  <c r="O189" i="12"/>
  <c r="O42" i="20"/>
  <c r="F60" i="20"/>
  <c r="F150" i="12" s="1"/>
  <c r="F190" i="12"/>
  <c r="F43" i="20"/>
  <c r="F132" i="12" s="1"/>
  <c r="F84" i="12"/>
  <c r="F53" i="12"/>
  <c r="F115" i="12"/>
  <c r="L68" i="20"/>
  <c r="L158" i="12" s="1"/>
  <c r="L198" i="12"/>
  <c r="L51" i="20"/>
  <c r="N67" i="20"/>
  <c r="N157" i="12" s="1"/>
  <c r="N197" i="12"/>
  <c r="N50" i="20"/>
  <c r="I28" i="20"/>
  <c r="J28" i="20" s="1"/>
  <c r="J31" i="12"/>
  <c r="I123" i="12"/>
  <c r="L84" i="13"/>
  <c r="K91" i="13"/>
  <c r="D73" i="28"/>
  <c r="H130" i="7" a="1"/>
  <c r="H130" i="7" s="1"/>
  <c r="K118" i="12"/>
  <c r="L26" i="12"/>
  <c r="K41" i="12"/>
  <c r="K56" i="12" s="1"/>
  <c r="O60" i="20"/>
  <c r="O150" i="12" s="1"/>
  <c r="O190" i="12"/>
  <c r="O43" i="20"/>
  <c r="I60" i="20"/>
  <c r="I150" i="12" s="1"/>
  <c r="I190" i="12"/>
  <c r="I43" i="20"/>
  <c r="H132" i="12" s="1"/>
  <c r="O68" i="20"/>
  <c r="O158" i="12" s="1"/>
  <c r="O198" i="12"/>
  <c r="O51" i="20"/>
  <c r="L63" i="20"/>
  <c r="L153" i="12" s="1"/>
  <c r="L193" i="12"/>
  <c r="L46" i="20"/>
  <c r="L58" i="20"/>
  <c r="L16" i="20"/>
  <c r="L188" i="12"/>
  <c r="L41" i="20"/>
  <c r="I29" i="20"/>
  <c r="J29" i="20" s="1"/>
  <c r="H106" i="12"/>
  <c r="C360" i="29" s="1"/>
  <c r="D44" i="28"/>
  <c r="D58" i="9"/>
  <c r="E64" i="6"/>
  <c r="C22" i="5"/>
  <c r="D72" i="28"/>
  <c r="H129" i="7" a="1"/>
  <c r="H129" i="7" s="1"/>
  <c r="J49" i="13"/>
  <c r="K33" i="13"/>
  <c r="J23" i="13"/>
  <c r="I39" i="13"/>
  <c r="H113" i="12"/>
  <c r="C77" i="29" a="1"/>
  <c r="C77" i="29" s="1"/>
  <c r="P63" i="20"/>
  <c r="P153" i="12" s="1"/>
  <c r="P193" i="12"/>
  <c r="M55" i="5" a="1"/>
  <c r="M55" i="5" s="1"/>
  <c r="P46" i="20"/>
  <c r="P60" i="20"/>
  <c r="P150" i="12" s="1"/>
  <c r="P190" i="12"/>
  <c r="P43" i="20"/>
  <c r="H62" i="20"/>
  <c r="H152" i="12" s="1"/>
  <c r="H192" i="12"/>
  <c r="H86" i="12"/>
  <c r="H45" i="20"/>
  <c r="G134" i="12" s="1"/>
  <c r="C80" i="29" a="1"/>
  <c r="C80" i="29" s="1"/>
  <c r="P66" i="20"/>
  <c r="P156" i="12" s="1"/>
  <c r="P196" i="12"/>
  <c r="M58" i="5" a="1"/>
  <c r="M58" i="5" s="1"/>
  <c r="P49" i="20"/>
  <c r="O62" i="20"/>
  <c r="O152" i="12" s="1"/>
  <c r="O192" i="12"/>
  <c r="O45" i="20"/>
  <c r="H67" i="20"/>
  <c r="H157" i="12" s="1"/>
  <c r="H197" i="12"/>
  <c r="H50" i="20"/>
  <c r="G139" i="12" s="1"/>
  <c r="F63" i="20"/>
  <c r="F153" i="12" s="1"/>
  <c r="F193" i="12"/>
  <c r="F118" i="12"/>
  <c r="F46" i="20"/>
  <c r="F135" i="12" s="1"/>
  <c r="F87" i="12"/>
  <c r="G59" i="20"/>
  <c r="G149" i="12" s="1"/>
  <c r="G189" i="12"/>
  <c r="G42" i="20"/>
  <c r="I62" i="20"/>
  <c r="I152" i="12" s="1"/>
  <c r="I192" i="12"/>
  <c r="I45" i="20"/>
  <c r="H134" i="12" s="1"/>
  <c r="I134" i="12" s="1"/>
  <c r="J134" i="12" s="1"/>
  <c r="K134" i="12" s="1"/>
  <c r="L134" i="12" s="1"/>
  <c r="M134" i="12" s="1"/>
  <c r="N134" i="12" s="1"/>
  <c r="O134" i="12" s="1"/>
  <c r="P134" i="12" s="1"/>
  <c r="I86" i="12"/>
  <c r="I101" i="12" s="1"/>
  <c r="C368" i="29" s="1"/>
  <c r="J16" i="20"/>
  <c r="J58" i="20"/>
  <c r="J188" i="12"/>
  <c r="J41" i="20"/>
  <c r="M65" i="20"/>
  <c r="M155" i="12" s="1"/>
  <c r="M195" i="12"/>
  <c r="M48" i="20"/>
  <c r="L60" i="20"/>
  <c r="L150" i="12" s="1"/>
  <c r="L190" i="12"/>
  <c r="L43" i="20"/>
  <c r="L191" i="12"/>
  <c r="L61" i="20"/>
  <c r="L151" i="12" s="1"/>
  <c r="L44" i="20"/>
  <c r="I31" i="20"/>
  <c r="J31" i="20" s="1"/>
  <c r="I84" i="12"/>
  <c r="J69" i="12"/>
  <c r="H82" i="12"/>
  <c r="H97" i="12" s="1"/>
  <c r="J32" i="17"/>
  <c r="J94" i="17"/>
  <c r="I68" i="12"/>
  <c r="H83" i="12"/>
  <c r="L67" i="20"/>
  <c r="L157" i="12" s="1"/>
  <c r="L197" i="12"/>
  <c r="L50" i="20"/>
  <c r="N62" i="20"/>
  <c r="N152" i="12" s="1"/>
  <c r="N192" i="12"/>
  <c r="N45" i="20"/>
  <c r="N58" i="20"/>
  <c r="N16" i="20"/>
  <c r="N188" i="12"/>
  <c r="N41" i="20"/>
  <c r="I16" i="20"/>
  <c r="I58" i="20"/>
  <c r="I188" i="12"/>
  <c r="I41" i="20"/>
  <c r="K61" i="20"/>
  <c r="K151" i="12" s="1"/>
  <c r="K191" i="12"/>
  <c r="K44" i="20"/>
  <c r="I27" i="20"/>
  <c r="J27" i="20" s="1"/>
  <c r="D70" i="28"/>
  <c r="H32" i="7"/>
  <c r="H125" i="7" a="1"/>
  <c r="H125" i="7" s="1"/>
  <c r="K181" i="12"/>
  <c r="J183" i="12"/>
  <c r="H99" i="12"/>
  <c r="C353" i="29" s="1"/>
  <c r="P59" i="20"/>
  <c r="P149" i="12" s="1"/>
  <c r="P189" i="12"/>
  <c r="P42" i="20"/>
  <c r="M33" i="20"/>
  <c r="N63" i="20"/>
  <c r="N153" i="12" s="1"/>
  <c r="N193" i="12"/>
  <c r="N46" i="20"/>
  <c r="I59" i="20"/>
  <c r="I149" i="12" s="1"/>
  <c r="I189" i="12"/>
  <c r="I42" i="20"/>
  <c r="H131" i="12" s="1"/>
  <c r="L62" i="20"/>
  <c r="L152" i="12" s="1"/>
  <c r="L192" i="12"/>
  <c r="L45" i="20"/>
  <c r="O16" i="20"/>
  <c r="O188" i="12"/>
  <c r="O199" i="12" s="1"/>
  <c r="O41" i="20"/>
  <c r="O58" i="20"/>
  <c r="G75" i="28"/>
  <c r="H67" i="7"/>
  <c r="H74" i="7" s="1"/>
  <c r="D10" i="34" s="1"/>
  <c r="H138" i="7" a="1"/>
  <c r="H138" i="7" s="1"/>
  <c r="L75" i="12"/>
  <c r="K90" i="12"/>
  <c r="I25" i="20"/>
  <c r="J25" i="20" s="1"/>
  <c r="N64" i="20"/>
  <c r="N154" i="12" s="1"/>
  <c r="N194" i="12"/>
  <c r="N47" i="20"/>
  <c r="F61" i="20"/>
  <c r="F151" i="12" s="1"/>
  <c r="F191" i="12"/>
  <c r="F44" i="20"/>
  <c r="F133" i="12" s="1"/>
  <c r="F85" i="12"/>
  <c r="F116" i="12"/>
  <c r="N189" i="12"/>
  <c r="N42" i="20"/>
  <c r="N59" i="20"/>
  <c r="N149" i="12" s="1"/>
  <c r="E235" i="14"/>
  <c r="E220" i="14"/>
  <c r="E231" i="14" s="1"/>
  <c r="E232" i="14" s="1"/>
  <c r="D75" i="28"/>
  <c r="H127" i="7" a="1"/>
  <c r="H127" i="7" s="1"/>
  <c r="D68" i="28"/>
  <c r="H123" i="7" a="1"/>
  <c r="H123" i="7" s="1"/>
  <c r="I96" i="17"/>
  <c r="I34" i="17"/>
  <c r="D69" i="28"/>
  <c r="H34" i="7"/>
  <c r="H134" i="7" s="1"/>
  <c r="H124" i="7" a="1"/>
  <c r="H124" i="7" s="1"/>
  <c r="H33" i="7"/>
  <c r="H133" i="7" s="1"/>
  <c r="C83" i="9"/>
  <c r="F52" i="12"/>
  <c r="F98" i="12" s="1"/>
  <c r="C326" i="29" s="1"/>
  <c r="G213" i="12"/>
  <c r="K24" i="7"/>
  <c r="H59" i="20"/>
  <c r="H149" i="12" s="1"/>
  <c r="H189" i="12"/>
  <c r="H42" i="20"/>
  <c r="G131" i="12" s="1"/>
  <c r="C78" i="29" a="1"/>
  <c r="C78" i="29" s="1"/>
  <c r="P64" i="20"/>
  <c r="P154" i="12" s="1"/>
  <c r="P194" i="12"/>
  <c r="M56" i="5" a="1"/>
  <c r="M56" i="5" s="1"/>
  <c r="P47" i="20"/>
  <c r="K66" i="20"/>
  <c r="K156" i="12" s="1"/>
  <c r="K196" i="12"/>
  <c r="K49" i="20"/>
  <c r="K33" i="20"/>
  <c r="O63" i="20"/>
  <c r="O153" i="12" s="1"/>
  <c r="O193" i="12"/>
  <c r="O46" i="20"/>
  <c r="J68" i="20"/>
  <c r="J158" i="12" s="1"/>
  <c r="J198" i="12"/>
  <c r="J51" i="20"/>
  <c r="F64" i="20"/>
  <c r="F154" i="12" s="1"/>
  <c r="F194" i="12"/>
  <c r="F88" i="12"/>
  <c r="F57" i="12"/>
  <c r="F119" i="12"/>
  <c r="F47" i="20"/>
  <c r="F136" i="12" s="1"/>
  <c r="G60" i="20"/>
  <c r="G150" i="12" s="1"/>
  <c r="G190" i="12"/>
  <c r="G53" i="12"/>
  <c r="G115" i="12"/>
  <c r="G43" i="20"/>
  <c r="G84" i="12"/>
  <c r="I63" i="20"/>
  <c r="I153" i="12" s="1"/>
  <c r="I193" i="12"/>
  <c r="I118" i="12"/>
  <c r="I46" i="20"/>
  <c r="H135" i="12" s="1"/>
  <c r="I135" i="12" s="1"/>
  <c r="J135" i="12" s="1"/>
  <c r="K135" i="12" s="1"/>
  <c r="L135" i="12" s="1"/>
  <c r="M135" i="12" s="1"/>
  <c r="N135" i="12" s="1"/>
  <c r="O135" i="12" s="1"/>
  <c r="P135" i="12" s="1"/>
  <c r="J59" i="20"/>
  <c r="J149" i="12" s="1"/>
  <c r="J189" i="12"/>
  <c r="J42" i="20"/>
  <c r="I131" i="12" s="1"/>
  <c r="J131" i="12" s="1"/>
  <c r="K131" i="12" s="1"/>
  <c r="L131" i="12" s="1"/>
  <c r="M131" i="12" s="1"/>
  <c r="N131" i="12" s="1"/>
  <c r="O131" i="12" s="1"/>
  <c r="P131" i="12" s="1"/>
  <c r="N66" i="20"/>
  <c r="N156" i="12" s="1"/>
  <c r="N196" i="12"/>
  <c r="N49" i="20"/>
  <c r="M61" i="20"/>
  <c r="M151" i="12" s="1"/>
  <c r="M191" i="12"/>
  <c r="M44" i="20"/>
  <c r="K192" i="12"/>
  <c r="K62" i="20"/>
  <c r="K152" i="12" s="1"/>
  <c r="K45" i="20"/>
  <c r="H32" i="20"/>
  <c r="I32" i="20" s="1"/>
  <c r="J32" i="20" s="1"/>
  <c r="G32" i="20"/>
  <c r="H45" i="13"/>
  <c r="I29" i="13"/>
  <c r="J752" i="11"/>
  <c r="J753" i="11" s="1"/>
  <c r="J755" i="11" s="1"/>
  <c r="J756" i="11" s="1"/>
  <c r="L72" i="7" s="1"/>
  <c r="J750" i="11"/>
  <c r="D219" i="14"/>
  <c r="D218" i="14"/>
  <c r="G107" i="12"/>
  <c r="C348" i="29" s="1"/>
  <c r="G67" i="20"/>
  <c r="G157" i="12" s="1"/>
  <c r="E14" i="20"/>
  <c r="G197" i="12"/>
  <c r="G91" i="12"/>
  <c r="G50" i="20"/>
  <c r="G122" i="12"/>
  <c r="M68" i="20"/>
  <c r="M158" i="12" s="1"/>
  <c r="M198" i="12"/>
  <c r="M51" i="20"/>
  <c r="K65" i="20"/>
  <c r="K155" i="12" s="1"/>
  <c r="K195" i="12"/>
  <c r="K48" i="20"/>
  <c r="I89" i="12"/>
  <c r="I104" i="12" s="1"/>
  <c r="C371" i="29" s="1"/>
  <c r="J74" i="12"/>
  <c r="I48" i="13"/>
  <c r="J32" i="13"/>
  <c r="I82" i="17"/>
  <c r="F43" i="8" a="1"/>
  <c r="F43" i="8" s="1"/>
  <c r="P95" i="13"/>
  <c r="S53" i="7" s="1"/>
  <c r="Q93" i="13"/>
  <c r="G92" i="12"/>
  <c r="C74" i="29" a="1"/>
  <c r="C74" i="29" s="1"/>
  <c r="P58" i="20"/>
  <c r="P16" i="20"/>
  <c r="P188" i="12"/>
  <c r="M52" i="5" a="1"/>
  <c r="M52" i="5" s="1"/>
  <c r="P41" i="20"/>
  <c r="C79" i="29" a="1"/>
  <c r="C79" i="29" s="1"/>
  <c r="P65" i="20"/>
  <c r="P155" i="12" s="1"/>
  <c r="P195" i="12"/>
  <c r="M57" i="5" a="1"/>
  <c r="M57" i="5" s="1"/>
  <c r="P48" i="20"/>
  <c r="H66" i="20"/>
  <c r="H156" i="12" s="1"/>
  <c r="H196" i="12"/>
  <c r="H49" i="20"/>
  <c r="G138" i="12" s="1"/>
  <c r="H90" i="12"/>
  <c r="H105" i="12" s="1"/>
  <c r="C359" i="29" s="1"/>
  <c r="H121" i="12"/>
  <c r="G62" i="20"/>
  <c r="G152" i="12" s="1"/>
  <c r="G192" i="12"/>
  <c r="G86" i="12"/>
  <c r="G45" i="20"/>
  <c r="G117" i="12"/>
  <c r="I23" i="20"/>
  <c r="J23" i="20" s="1"/>
  <c r="J65" i="20"/>
  <c r="J155" i="12" s="1"/>
  <c r="J195" i="12"/>
  <c r="J48" i="20"/>
  <c r="J61" i="20"/>
  <c r="J151" i="12" s="1"/>
  <c r="J191" i="12"/>
  <c r="J44" i="20"/>
  <c r="C81" i="29" a="1"/>
  <c r="C81" i="29" s="1"/>
  <c r="P68" i="20"/>
  <c r="P158" i="12" s="1"/>
  <c r="P198" i="12"/>
  <c r="P51" i="20"/>
  <c r="M63" i="20"/>
  <c r="M153" i="12" s="1"/>
  <c r="M193" i="12"/>
  <c r="M46" i="20"/>
  <c r="J66" i="20"/>
  <c r="J156" i="12" s="1"/>
  <c r="J196" i="12"/>
  <c r="J49" i="20"/>
  <c r="I194" i="12"/>
  <c r="I64" i="20"/>
  <c r="I154" i="12" s="1"/>
  <c r="I47" i="20"/>
  <c r="H136" i="12" s="1"/>
  <c r="I136" i="12" s="1"/>
  <c r="J136" i="12" s="1"/>
  <c r="K136" i="12" s="1"/>
  <c r="L136" i="12" s="1"/>
  <c r="M136" i="12" s="1"/>
  <c r="N136" i="12" s="1"/>
  <c r="O136" i="12" s="1"/>
  <c r="P136" i="12" s="1"/>
  <c r="F56" i="12"/>
  <c r="F102" i="12" s="1"/>
  <c r="C330" i="29" s="1"/>
  <c r="C243" i="28"/>
  <c r="C232" i="28"/>
  <c r="D225" i="14"/>
  <c r="F54" i="12"/>
  <c r="F100" i="12" s="1"/>
  <c r="C328" i="29" s="1"/>
  <c r="I68" i="20"/>
  <c r="I158" i="12" s="1"/>
  <c r="I198" i="12"/>
  <c r="I51" i="20"/>
  <c r="H140" i="12" s="1"/>
  <c r="I140" i="12" s="1"/>
  <c r="J140" i="12" s="1"/>
  <c r="K140" i="12" s="1"/>
  <c r="L140" i="12" s="1"/>
  <c r="M140" i="12" s="1"/>
  <c r="N140" i="12" s="1"/>
  <c r="O140" i="12" s="1"/>
  <c r="P140" i="12" s="1"/>
  <c r="G61" i="20"/>
  <c r="G151" i="12" s="1"/>
  <c r="E8" i="20"/>
  <c r="G191" i="12"/>
  <c r="G116" i="12"/>
  <c r="G44" i="20"/>
  <c r="J193" i="12"/>
  <c r="J46" i="20"/>
  <c r="J63" i="20"/>
  <c r="J153" i="12" s="1"/>
  <c r="J67" i="12"/>
  <c r="K748" i="11"/>
  <c r="I82" i="12"/>
  <c r="J121" i="12"/>
  <c r="K29" i="12"/>
  <c r="J44" i="12"/>
  <c r="J59" i="12" s="1"/>
  <c r="J105" i="12" s="1"/>
  <c r="I46" i="12"/>
  <c r="I61" i="12" s="1"/>
  <c r="D67" i="28"/>
  <c r="F746" i="11"/>
  <c r="H122" i="7" a="1"/>
  <c r="H122" i="7" s="1"/>
  <c r="H21" i="7"/>
  <c r="I84" i="17"/>
  <c r="J75" i="17"/>
  <c r="I86" i="17"/>
  <c r="I88" i="12"/>
  <c r="I103" i="12" s="1"/>
  <c r="C370" i="29" s="1"/>
  <c r="J73" i="12"/>
  <c r="C115" i="9"/>
  <c r="C77" i="9"/>
  <c r="C105" i="9"/>
  <c r="F136" i="13"/>
  <c r="E181" i="14"/>
  <c r="I69" i="7"/>
  <c r="J34" i="13"/>
  <c r="I50" i="13"/>
  <c r="I26" i="13"/>
  <c r="I35" i="13" s="1"/>
  <c r="I135" i="13" s="1"/>
  <c r="H42" i="13"/>
  <c r="H51" i="13" s="1"/>
  <c r="H136" i="13" s="1"/>
  <c r="J43" i="13"/>
  <c r="K27" i="13"/>
  <c r="C76" i="29" a="1"/>
  <c r="C76" i="29" s="1"/>
  <c r="P62" i="20"/>
  <c r="P152" i="12" s="1"/>
  <c r="P192" i="12"/>
  <c r="M54" i="5" a="1"/>
  <c r="M54" i="5" s="1"/>
  <c r="P45" i="20"/>
  <c r="H61" i="20"/>
  <c r="H151" i="12" s="1"/>
  <c r="H191" i="12"/>
  <c r="H44" i="20"/>
  <c r="G133" i="12" s="1"/>
  <c r="M58" i="20"/>
  <c r="M16" i="20"/>
  <c r="M188" i="12"/>
  <c r="M41" i="20"/>
  <c r="F198" i="12"/>
  <c r="F123" i="12"/>
  <c r="F51" i="20"/>
  <c r="F140" i="12" s="1"/>
  <c r="F92" i="12"/>
  <c r="J67" i="20"/>
  <c r="J157" i="12" s="1"/>
  <c r="J197" i="12"/>
  <c r="J50" i="20"/>
  <c r="G63" i="20"/>
  <c r="G153" i="12" s="1"/>
  <c r="G193" i="12"/>
  <c r="G118" i="12"/>
  <c r="G46" i="20"/>
  <c r="L66" i="20"/>
  <c r="L156" i="12" s="1"/>
  <c r="L196" i="12"/>
  <c r="L49" i="20"/>
  <c r="J62" i="20"/>
  <c r="J152" i="12" s="1"/>
  <c r="J192" i="12"/>
  <c r="J45" i="20"/>
  <c r="M64" i="20"/>
  <c r="M154" i="12" s="1"/>
  <c r="M194" i="12"/>
  <c r="M47" i="20"/>
  <c r="I67" i="20"/>
  <c r="I157" i="12" s="1"/>
  <c r="I197" i="12"/>
  <c r="I50" i="20"/>
  <c r="H139" i="12" s="1"/>
  <c r="I139" i="12" s="1"/>
  <c r="J139" i="12" s="1"/>
  <c r="K139" i="12" s="1"/>
  <c r="L139" i="12" s="1"/>
  <c r="M139" i="12" s="1"/>
  <c r="N139" i="12" s="1"/>
  <c r="O139" i="12" s="1"/>
  <c r="P139" i="12" s="1"/>
  <c r="H65" i="20"/>
  <c r="H155" i="12" s="1"/>
  <c r="H195" i="12"/>
  <c r="H48" i="20"/>
  <c r="G137" i="12" s="1"/>
  <c r="H120" i="12"/>
  <c r="L101" i="13"/>
  <c r="O46" i="7" s="1"/>
  <c r="M97" i="13"/>
  <c r="L71" i="12"/>
  <c r="K86" i="12"/>
  <c r="F75" i="28"/>
  <c r="I117" i="12"/>
  <c r="J25" i="12"/>
  <c r="H64" i="20"/>
  <c r="H154" i="12" s="1"/>
  <c r="H194" i="12"/>
  <c r="H47" i="20"/>
  <c r="G136" i="12" s="1"/>
  <c r="D74" i="28"/>
  <c r="H26" i="7"/>
  <c r="H126" i="7" a="1"/>
  <c r="H126" i="7" s="1"/>
  <c r="D48" i="6" a="1"/>
  <c r="D48" i="6" s="1"/>
  <c r="C7" i="32" s="1"/>
  <c r="D43" i="6"/>
  <c r="D29" i="6" a="1"/>
  <c r="D29" i="6" s="1"/>
  <c r="D22" i="6" a="1"/>
  <c r="D22" i="6" s="1"/>
  <c r="D49" i="6" a="1"/>
  <c r="D49" i="6" s="1"/>
  <c r="D32" i="6" a="1"/>
  <c r="D32" i="6" s="1"/>
  <c r="D15" i="6"/>
  <c r="D86" i="6" s="1"/>
  <c r="D81" i="6"/>
  <c r="D14" i="6"/>
  <c r="C6" i="5"/>
  <c r="D24" i="6"/>
  <c r="D30" i="6" a="1"/>
  <c r="D30" i="6" s="1"/>
  <c r="D33" i="6" a="1"/>
  <c r="D33" i="6" s="1"/>
  <c r="C118" i="9" s="1"/>
  <c r="D34" i="6" a="1"/>
  <c r="D34" i="6" s="1"/>
  <c r="D13" i="6"/>
  <c r="O33" i="20"/>
  <c r="J56" i="12"/>
  <c r="I91" i="12"/>
  <c r="I106" i="12" s="1"/>
  <c r="C373" i="29" s="1"/>
  <c r="J76" i="12"/>
  <c r="D15" i="19"/>
  <c r="H141" i="7" a="1"/>
  <c r="H141" i="7" s="1"/>
  <c r="H88" i="12"/>
  <c r="F135" i="13"/>
  <c r="F142" i="13" s="1"/>
  <c r="I68" i="7"/>
  <c r="N82" i="13"/>
  <c r="Q45" i="7" s="1"/>
  <c r="O78" i="13"/>
  <c r="I65" i="20"/>
  <c r="I155" i="12" s="1"/>
  <c r="I195" i="12"/>
  <c r="I48" i="20"/>
  <c r="H137" i="12" s="1"/>
  <c r="I137" i="12" s="1"/>
  <c r="J137" i="12" s="1"/>
  <c r="K137" i="12" s="1"/>
  <c r="L137" i="12" s="1"/>
  <c r="M137" i="12" s="1"/>
  <c r="N137" i="12" s="1"/>
  <c r="O137" i="12" s="1"/>
  <c r="P137" i="12" s="1"/>
  <c r="M59" i="20"/>
  <c r="M149" i="12" s="1"/>
  <c r="M189" i="12"/>
  <c r="M42" i="20"/>
  <c r="L33" i="20"/>
  <c r="K68" i="20"/>
  <c r="K158" i="12" s="1"/>
  <c r="K198" i="12"/>
  <c r="K51" i="20"/>
  <c r="G64" i="20"/>
  <c r="G154" i="12" s="1"/>
  <c r="G194" i="12"/>
  <c r="G88" i="12"/>
  <c r="G103" i="12" s="1"/>
  <c r="C344" i="29" s="1"/>
  <c r="G47" i="20"/>
  <c r="G119" i="12"/>
  <c r="M67" i="20"/>
  <c r="M157" i="12" s="1"/>
  <c r="M197" i="12"/>
  <c r="M50" i="20"/>
  <c r="K63" i="20"/>
  <c r="K153" i="12" s="1"/>
  <c r="K193" i="12"/>
  <c r="K46" i="20"/>
  <c r="K16" i="20"/>
  <c r="K58" i="20"/>
  <c r="K188" i="12"/>
  <c r="K41" i="20"/>
  <c r="N65" i="20"/>
  <c r="N155" i="12" s="1"/>
  <c r="N195" i="12"/>
  <c r="N48" i="20"/>
  <c r="H68" i="20"/>
  <c r="H158" i="12" s="1"/>
  <c r="H198" i="12"/>
  <c r="H51" i="20"/>
  <c r="G140" i="12" s="1"/>
  <c r="G66" i="20"/>
  <c r="G156" i="12" s="1"/>
  <c r="E13" i="20"/>
  <c r="G196" i="12"/>
  <c r="G90" i="12"/>
  <c r="G49" i="20"/>
  <c r="G121" i="12"/>
  <c r="H148" i="13"/>
  <c r="I138" i="13"/>
  <c r="L47" i="7"/>
  <c r="J86" i="12"/>
  <c r="H75" i="28"/>
  <c r="C112" i="28" s="1"/>
  <c r="H117" i="12"/>
  <c r="F61" i="12"/>
  <c r="F107" i="12" s="1"/>
  <c r="C335" i="29" s="1"/>
  <c r="E4" i="19"/>
  <c r="J13" i="17"/>
  <c r="F210" i="14"/>
  <c r="E54" i="9"/>
  <c r="H5" i="8"/>
  <c r="I6" i="7"/>
  <c r="J4" i="7"/>
  <c r="I8" i="7"/>
  <c r="F6" i="6"/>
  <c r="D77" i="9"/>
  <c r="D115" i="9"/>
  <c r="D105" i="9"/>
  <c r="I22" i="12"/>
  <c r="H37" i="12"/>
  <c r="H52" i="12" s="1"/>
  <c r="H98" i="12" s="1"/>
  <c r="C352" i="29" s="1"/>
  <c r="H114" i="12"/>
  <c r="O64" i="20"/>
  <c r="O154" i="12" s="1"/>
  <c r="O194" i="12"/>
  <c r="O47" i="20"/>
  <c r="M62" i="20"/>
  <c r="M152" i="12" s="1"/>
  <c r="M192" i="12"/>
  <c r="M45" i="20"/>
  <c r="J115" i="13"/>
  <c r="J139" i="13" s="1"/>
  <c r="K103" i="13"/>
  <c r="M60" i="7"/>
  <c r="D71" i="28"/>
  <c r="H128" i="7" a="1"/>
  <c r="H128" i="7" s="1"/>
  <c r="E158" i="11"/>
  <c r="G159" i="11"/>
  <c r="I44" i="13"/>
  <c r="J28" i="13"/>
  <c r="H34" i="17"/>
  <c r="H96" i="17"/>
  <c r="E17" i="23"/>
  <c r="E19" i="23" s="1"/>
  <c r="E11" i="23"/>
  <c r="E10" i="23"/>
  <c r="E16" i="23"/>
  <c r="E15" i="23"/>
  <c r="E12" i="23"/>
  <c r="E7" i="23"/>
  <c r="E6" i="23"/>
  <c r="E13" i="23"/>
  <c r="E9" i="23"/>
  <c r="E8" i="23"/>
  <c r="E14" i="23"/>
  <c r="E5" i="23"/>
  <c r="F4" i="23"/>
  <c r="G55" i="12"/>
  <c r="G101" i="12" s="1"/>
  <c r="C342" i="29" s="1"/>
  <c r="F213" i="12"/>
  <c r="J24" i="7"/>
  <c r="N60" i="20"/>
  <c r="N150" i="12" s="1"/>
  <c r="N190" i="12"/>
  <c r="N43" i="20"/>
  <c r="P33" i="20"/>
  <c r="G65" i="20"/>
  <c r="G155" i="12" s="1"/>
  <c r="G195" i="12"/>
  <c r="G89" i="12"/>
  <c r="G104" i="12" s="1"/>
  <c r="C345" i="29" s="1"/>
  <c r="G48" i="20"/>
  <c r="G120" i="12"/>
  <c r="N68" i="20"/>
  <c r="N158" i="12" s="1"/>
  <c r="N198" i="12"/>
  <c r="N51" i="20"/>
  <c r="K64" i="20"/>
  <c r="K154" i="12" s="1"/>
  <c r="K194" i="12"/>
  <c r="K47" i="20"/>
  <c r="K59" i="20"/>
  <c r="K149" i="12" s="1"/>
  <c r="K189" i="12"/>
  <c r="K42" i="20"/>
  <c r="O66" i="20"/>
  <c r="O156" i="12" s="1"/>
  <c r="O196" i="12"/>
  <c r="O49" i="20"/>
  <c r="F197" i="12"/>
  <c r="F122" i="12"/>
  <c r="F50" i="20"/>
  <c r="F139" i="12" s="1"/>
  <c r="F91" i="12"/>
  <c r="F106" i="12" s="1"/>
  <c r="C334" i="29" s="1"/>
  <c r="J126" i="13"/>
  <c r="J128" i="13" s="1"/>
  <c r="K117" i="13"/>
  <c r="D83" i="9"/>
  <c r="J40" i="13"/>
  <c r="K24" i="13"/>
  <c r="I119" i="12"/>
  <c r="J27" i="12"/>
  <c r="M25" i="7"/>
  <c r="J46" i="13"/>
  <c r="K30" i="13"/>
  <c r="K67" i="20"/>
  <c r="K157" i="12" s="1"/>
  <c r="K197" i="12"/>
  <c r="K50" i="20"/>
  <c r="D66" i="28"/>
  <c r="D52" i="28"/>
  <c r="H85" i="12"/>
  <c r="H100" i="12" s="1"/>
  <c r="C354" i="29" s="1"/>
  <c r="I70" i="12"/>
  <c r="F101" i="12"/>
  <c r="C329" i="29" s="1"/>
  <c r="I167" i="12"/>
  <c r="H175" i="12"/>
  <c r="H92" i="12"/>
  <c r="H107" i="12" s="1"/>
  <c r="C361" i="29" s="1"/>
  <c r="I77" i="12"/>
  <c r="N33" i="20"/>
  <c r="F120" i="12"/>
  <c r="F195" i="12"/>
  <c r="F89" i="12"/>
  <c r="F104" i="12" s="1"/>
  <c r="C332" i="29" s="1"/>
  <c r="F48" i="20"/>
  <c r="F137" i="12" s="1"/>
  <c r="J64" i="20"/>
  <c r="J154" i="12" s="1"/>
  <c r="J194" i="12"/>
  <c r="J47" i="20"/>
  <c r="J60" i="20"/>
  <c r="J150" i="12" s="1"/>
  <c r="J190" i="12"/>
  <c r="J43" i="20"/>
  <c r="I132" i="12" s="1"/>
  <c r="J132" i="12" s="1"/>
  <c r="K132" i="12" s="1"/>
  <c r="L132" i="12" s="1"/>
  <c r="M132" i="12" s="1"/>
  <c r="N132" i="12" s="1"/>
  <c r="O132" i="12" s="1"/>
  <c r="P132" i="12" s="1"/>
  <c r="O67" i="20"/>
  <c r="O157" i="12" s="1"/>
  <c r="O197" i="12"/>
  <c r="O50" i="20"/>
  <c r="I47" i="13"/>
  <c r="J31" i="13"/>
  <c r="E43" i="6"/>
  <c r="E15" i="6"/>
  <c r="E86" i="6" s="1"/>
  <c r="E81" i="6"/>
  <c r="E14" i="6"/>
  <c r="E34" i="6" a="1"/>
  <c r="E34" i="6" s="1"/>
  <c r="D6" i="5"/>
  <c r="E13" i="6"/>
  <c r="E30" i="6" a="1"/>
  <c r="E30" i="6" s="1"/>
  <c r="E24" i="6"/>
  <c r="G54" i="12"/>
  <c r="G100" i="12" s="1"/>
  <c r="C341" i="29" s="1"/>
  <c r="J120" i="12"/>
  <c r="K28" i="12"/>
  <c r="H102" i="12"/>
  <c r="C356" i="29" s="1"/>
  <c r="H55" i="12"/>
  <c r="H101" i="12" s="1"/>
  <c r="C355" i="29" s="1"/>
  <c r="H60" i="20"/>
  <c r="H150" i="12" s="1"/>
  <c r="H190" i="12"/>
  <c r="H43" i="20"/>
  <c r="G132" i="12" s="1"/>
  <c r="N61" i="20"/>
  <c r="N151" i="12" s="1"/>
  <c r="N191" i="12"/>
  <c r="N44" i="20"/>
  <c r="F16" i="20"/>
  <c r="F58" i="20"/>
  <c r="F113" i="12"/>
  <c r="F188" i="12"/>
  <c r="F82" i="12"/>
  <c r="F97" i="12" s="1"/>
  <c r="F41" i="20"/>
  <c r="E24" i="20"/>
  <c r="I24" i="20"/>
  <c r="J24" i="20" s="1"/>
  <c r="I66" i="20"/>
  <c r="I156" i="12" s="1"/>
  <c r="I196" i="12"/>
  <c r="I90" i="12"/>
  <c r="I105" i="12" s="1"/>
  <c r="C372" i="29" s="1"/>
  <c r="I49" i="20"/>
  <c r="H138" i="12" s="1"/>
  <c r="I138" i="12" s="1"/>
  <c r="J138" i="12" s="1"/>
  <c r="K138" i="12" s="1"/>
  <c r="L138" i="12" s="1"/>
  <c r="M138" i="12" s="1"/>
  <c r="N138" i="12" s="1"/>
  <c r="O138" i="12" s="1"/>
  <c r="P138" i="12" s="1"/>
  <c r="L65" i="20"/>
  <c r="L155" i="12" s="1"/>
  <c r="L195" i="12"/>
  <c r="L48" i="20"/>
  <c r="K60" i="20"/>
  <c r="K150" i="12" s="1"/>
  <c r="K190" i="12"/>
  <c r="K43" i="20"/>
  <c r="C82" i="29" a="1"/>
  <c r="C82" i="29" s="1"/>
  <c r="P67" i="20"/>
  <c r="P157" i="12" s="1"/>
  <c r="P197" i="12"/>
  <c r="M59" i="5" a="1"/>
  <c r="M59" i="5" s="1"/>
  <c r="P50" i="20"/>
  <c r="I26" i="20"/>
  <c r="J26" i="20" s="1"/>
  <c r="I41" i="13"/>
  <c r="J25" i="13"/>
  <c r="H119" i="12"/>
  <c r="D11" i="34" l="1"/>
  <c r="D13" i="32"/>
  <c r="D8" i="32"/>
  <c r="C325" i="29"/>
  <c r="C351" i="29"/>
  <c r="D43" i="28"/>
  <c r="D10" i="16"/>
  <c r="E50" i="6"/>
  <c r="J123" i="12"/>
  <c r="K31" i="12"/>
  <c r="J46" i="12"/>
  <c r="J61" i="12" s="1"/>
  <c r="F199" i="12"/>
  <c r="I75" i="28"/>
  <c r="E39" i="28"/>
  <c r="E5" i="19"/>
  <c r="E34" i="19" s="1"/>
  <c r="J14" i="17"/>
  <c r="F208" i="14"/>
  <c r="E53" i="9"/>
  <c r="I120" i="7"/>
  <c r="H6" i="8"/>
  <c r="F7" i="6"/>
  <c r="C7" i="5"/>
  <c r="D53" i="6"/>
  <c r="D58" i="6" s="1"/>
  <c r="M54" i="20"/>
  <c r="Q18" i="7" s="1"/>
  <c r="M52" i="20"/>
  <c r="Q19" i="7" s="1"/>
  <c r="K43" i="13"/>
  <c r="L27" i="13"/>
  <c r="G74" i="28"/>
  <c r="K55" i="7"/>
  <c r="K56" i="7"/>
  <c r="K26" i="7"/>
  <c r="I52" i="20"/>
  <c r="M19" i="7" s="1"/>
  <c r="I54" i="20"/>
  <c r="M18" i="7" s="1"/>
  <c r="H130" i="12"/>
  <c r="H141" i="12" s="1"/>
  <c r="E6" i="20"/>
  <c r="L118" i="12"/>
  <c r="M26" i="12"/>
  <c r="L41" i="12"/>
  <c r="L56" i="12" s="1"/>
  <c r="E28" i="20"/>
  <c r="G199" i="12"/>
  <c r="I87" i="12"/>
  <c r="I102" i="12" s="1"/>
  <c r="C369" i="29" s="1"/>
  <c r="J72" i="12"/>
  <c r="I138" i="7" a="1"/>
  <c r="I138" i="7" s="1"/>
  <c r="J82" i="12"/>
  <c r="K67" i="12"/>
  <c r="L748" i="11"/>
  <c r="J44" i="13"/>
  <c r="K28" i="13"/>
  <c r="F74" i="28"/>
  <c r="J56" i="7"/>
  <c r="J55" i="7"/>
  <c r="J26" i="7"/>
  <c r="G33" i="20"/>
  <c r="E32" i="20"/>
  <c r="D238" i="28"/>
  <c r="E16" i="6"/>
  <c r="E84" i="6"/>
  <c r="J119" i="12"/>
  <c r="K27" i="12"/>
  <c r="J42" i="12"/>
  <c r="J57" i="12" s="1"/>
  <c r="J103" i="12" s="1"/>
  <c r="E17" i="14"/>
  <c r="E159" i="11"/>
  <c r="E268" i="11"/>
  <c r="E134" i="14" s="1"/>
  <c r="E135" i="14" s="1"/>
  <c r="E163" i="14" s="1"/>
  <c r="M199" i="12"/>
  <c r="D76" i="28"/>
  <c r="C233" i="28"/>
  <c r="D221" i="14"/>
  <c r="D227" i="14"/>
  <c r="L90" i="12"/>
  <c r="M75" i="12"/>
  <c r="J214" i="12"/>
  <c r="N25" i="7"/>
  <c r="I199" i="12"/>
  <c r="K23" i="13"/>
  <c r="J39" i="13"/>
  <c r="J41" i="13"/>
  <c r="K25" i="13"/>
  <c r="E185" i="14"/>
  <c r="E189" i="14"/>
  <c r="E118" i="11" s="1"/>
  <c r="E225" i="14"/>
  <c r="F18" i="8"/>
  <c r="P199" i="12"/>
  <c r="I45" i="13"/>
  <c r="J29" i="13"/>
  <c r="J35" i="13" s="1"/>
  <c r="J135" i="13" s="1"/>
  <c r="J84" i="12"/>
  <c r="K69" i="12"/>
  <c r="L69" i="20"/>
  <c r="L53" i="20" s="1"/>
  <c r="P98" i="7" s="1"/>
  <c r="P100" i="7" s="1"/>
  <c r="P102" i="7" s="1"/>
  <c r="L49" i="28" s="1"/>
  <c r="L133" i="28" s="1"/>
  <c r="L148" i="12"/>
  <c r="L159" i="12" s="1"/>
  <c r="H151" i="28"/>
  <c r="B88" i="4" s="1"/>
  <c r="H36" i="20"/>
  <c r="J747" i="11"/>
  <c r="J29" i="5"/>
  <c r="C66" i="29" s="1"/>
  <c r="H213" i="12"/>
  <c r="L24" i="7"/>
  <c r="E25" i="20"/>
  <c r="O151" i="28"/>
  <c r="O36" i="20"/>
  <c r="Q747" i="11"/>
  <c r="P69" i="20"/>
  <c r="P53" i="20" s="1"/>
  <c r="T98" i="7" s="1"/>
  <c r="T100" i="7" s="1"/>
  <c r="T102" i="7" s="1"/>
  <c r="P49" i="28" s="1"/>
  <c r="P133" i="28" s="1"/>
  <c r="P148" i="12"/>
  <c r="P159" i="12" s="1"/>
  <c r="D100" i="28"/>
  <c r="G93" i="12"/>
  <c r="F124" i="12"/>
  <c r="I85" i="12"/>
  <c r="I100" i="12" s="1"/>
  <c r="C367" i="29" s="1"/>
  <c r="J70" i="12"/>
  <c r="F69" i="20"/>
  <c r="F53" i="20" s="1"/>
  <c r="J98" i="7" s="1"/>
  <c r="J100" i="7" s="1"/>
  <c r="J102" i="7" s="1"/>
  <c r="F49" i="28" s="1"/>
  <c r="F133" i="28" s="1"/>
  <c r="F148" i="12"/>
  <c r="F159" i="12" s="1"/>
  <c r="F11" i="23"/>
  <c r="F10" i="23"/>
  <c r="F16" i="23"/>
  <c r="F17" i="23" s="1"/>
  <c r="F19" i="23" s="1"/>
  <c r="F12" i="23"/>
  <c r="F7" i="23"/>
  <c r="F6" i="23"/>
  <c r="F13" i="23"/>
  <c r="F9" i="23"/>
  <c r="F8" i="23"/>
  <c r="F14" i="23"/>
  <c r="G4" i="23"/>
  <c r="F15" i="23"/>
  <c r="F5" i="23"/>
  <c r="E55" i="9"/>
  <c r="E78" i="9" s="1"/>
  <c r="E79" i="9" s="1"/>
  <c r="E106" i="9"/>
  <c r="E116" i="9" s="1"/>
  <c r="C239" i="28"/>
  <c r="D85" i="6"/>
  <c r="L86" i="12"/>
  <c r="M71" i="12"/>
  <c r="M151" i="28"/>
  <c r="M36" i="20"/>
  <c r="O747" i="11"/>
  <c r="J88" i="12"/>
  <c r="K73" i="12"/>
  <c r="E23" i="20"/>
  <c r="F13" i="8" a="1"/>
  <c r="F13" i="8" s="1"/>
  <c r="C234" i="28"/>
  <c r="F103" i="12"/>
  <c r="C331" i="29" s="1"/>
  <c r="K183" i="12"/>
  <c r="L181" i="12"/>
  <c r="I69" i="20"/>
  <c r="I53" i="20" s="1"/>
  <c r="M98" i="7" s="1"/>
  <c r="M100" i="7" s="1"/>
  <c r="M102" i="7" s="1"/>
  <c r="I49" i="28" s="1"/>
  <c r="I133" i="28" s="1"/>
  <c r="I148" i="12"/>
  <c r="I159" i="12" s="1"/>
  <c r="J52" i="20"/>
  <c r="N19" i="7" s="1"/>
  <c r="J54" i="20"/>
  <c r="N18" i="7" s="1"/>
  <c r="I130" i="12"/>
  <c r="K49" i="13"/>
  <c r="L33" i="13"/>
  <c r="C246" i="29"/>
  <c r="I99" i="12"/>
  <c r="C366" i="29" s="1"/>
  <c r="G151" i="28"/>
  <c r="G36" i="20"/>
  <c r="I747" i="11"/>
  <c r="F45" i="6"/>
  <c r="F68" i="6"/>
  <c r="J89" i="12"/>
  <c r="J104" i="12" s="1"/>
  <c r="K74" i="12"/>
  <c r="O211" i="12"/>
  <c r="S20" i="7"/>
  <c r="G52" i="20"/>
  <c r="K19" i="7" s="1"/>
  <c r="G54" i="20"/>
  <c r="K18" i="7" s="1"/>
  <c r="F52" i="20"/>
  <c r="J19" i="7" s="1"/>
  <c r="F54" i="20"/>
  <c r="J18" i="7" s="1"/>
  <c r="F130" i="12"/>
  <c r="F141" i="12" s="1"/>
  <c r="C235" i="28"/>
  <c r="J33" i="17"/>
  <c r="J95" i="17"/>
  <c r="K121" i="12"/>
  <c r="L29" i="12"/>
  <c r="K44" i="12"/>
  <c r="K59" i="12" s="1"/>
  <c r="K105" i="12" s="1"/>
  <c r="H132" i="7"/>
  <c r="H35" i="7"/>
  <c r="N54" i="20"/>
  <c r="R18" i="7" s="1"/>
  <c r="N52" i="20"/>
  <c r="R19" i="7" s="1"/>
  <c r="E31" i="20"/>
  <c r="J69" i="20"/>
  <c r="J53" i="20" s="1"/>
  <c r="N98" i="7" s="1"/>
  <c r="N100" i="7" s="1"/>
  <c r="N102" i="7" s="1"/>
  <c r="J49" i="28" s="1"/>
  <c r="J133" i="28" s="1"/>
  <c r="J148" i="12"/>
  <c r="J159" i="12" s="1"/>
  <c r="F220" i="14"/>
  <c r="F231" i="14" s="1"/>
  <c r="F235" i="14"/>
  <c r="I83" i="7" s="1"/>
  <c r="I22" i="20"/>
  <c r="H33" i="20"/>
  <c r="J113" i="12"/>
  <c r="K21" i="12"/>
  <c r="J36" i="12"/>
  <c r="J51" i="12" s="1"/>
  <c r="J97" i="12" s="1"/>
  <c r="K46" i="13"/>
  <c r="L30" i="13"/>
  <c r="D7" i="19"/>
  <c r="D9" i="19" s="1"/>
  <c r="H28" i="7"/>
  <c r="E7" i="20"/>
  <c r="F93" i="12"/>
  <c r="F151" i="28"/>
  <c r="H747" i="11"/>
  <c r="K40" i="13"/>
  <c r="L24" i="13"/>
  <c r="R93" i="13"/>
  <c r="R95" i="13" s="1"/>
  <c r="Q95" i="13"/>
  <c r="T53" i="7" s="1"/>
  <c r="F148" i="13"/>
  <c r="E26" i="20"/>
  <c r="E12" i="20"/>
  <c r="I114" i="12"/>
  <c r="J22" i="12"/>
  <c r="I37" i="12"/>
  <c r="I52" i="12" s="1"/>
  <c r="K52" i="20"/>
  <c r="O19" i="7" s="1"/>
  <c r="K54" i="20"/>
  <c r="O18" i="7" s="1"/>
  <c r="I42" i="13"/>
  <c r="I51" i="13" s="1"/>
  <c r="I136" i="13" s="1"/>
  <c r="J26" i="13"/>
  <c r="I148" i="13"/>
  <c r="N199" i="12"/>
  <c r="I83" i="12"/>
  <c r="I93" i="12" s="1"/>
  <c r="J68" i="12"/>
  <c r="J151" i="28"/>
  <c r="L747" i="11"/>
  <c r="E29" i="20"/>
  <c r="I124" i="12"/>
  <c r="H69" i="20"/>
  <c r="H53" i="20" s="1"/>
  <c r="L98" i="7" s="1"/>
  <c r="L100" i="7" s="1"/>
  <c r="L102" i="7" s="1"/>
  <c r="H49" i="28" s="1"/>
  <c r="H133" i="28" s="1"/>
  <c r="H148" i="12"/>
  <c r="H159" i="12" s="1"/>
  <c r="J167" i="12"/>
  <c r="I175" i="12"/>
  <c r="F3" i="19"/>
  <c r="K12" i="17"/>
  <c r="G209" i="14"/>
  <c r="I4" i="8"/>
  <c r="J5" i="7"/>
  <c r="G5" i="6"/>
  <c r="G44" i="6" s="1"/>
  <c r="M69" i="20"/>
  <c r="M53" i="20" s="1"/>
  <c r="Q98" i="7" s="1"/>
  <c r="Q100" i="7" s="1"/>
  <c r="Q102" i="7" s="1"/>
  <c r="M49" i="28" s="1"/>
  <c r="M133" i="28" s="1"/>
  <c r="M148" i="12"/>
  <c r="M159" i="12" s="1"/>
  <c r="J47" i="13"/>
  <c r="K31" i="13"/>
  <c r="L103" i="13"/>
  <c r="K115" i="13"/>
  <c r="K139" i="13" s="1"/>
  <c r="N60" i="7"/>
  <c r="K199" i="12"/>
  <c r="N97" i="13"/>
  <c r="M101" i="13"/>
  <c r="P46" i="7" s="1"/>
  <c r="F230" i="14"/>
  <c r="E238" i="14"/>
  <c r="G22" i="8" s="1"/>
  <c r="G57" i="8" s="1"/>
  <c r="G20" i="8"/>
  <c r="N151" i="28"/>
  <c r="N36" i="20"/>
  <c r="P747" i="11"/>
  <c r="H124" i="12"/>
  <c r="L54" i="20"/>
  <c r="P18" i="7" s="1"/>
  <c r="L52" i="20"/>
  <c r="P19" i="7" s="1"/>
  <c r="H103" i="12"/>
  <c r="C357" i="29" s="1"/>
  <c r="E30" i="20"/>
  <c r="I146" i="7"/>
  <c r="D146" i="7" s="1" a="1"/>
  <c r="D146" i="7" s="1"/>
  <c r="I24" i="7" a="1"/>
  <c r="I24" i="7" s="1"/>
  <c r="I65" i="7"/>
  <c r="I56" i="7"/>
  <c r="I64" i="7"/>
  <c r="I55" i="7"/>
  <c r="I63" i="7"/>
  <c r="I54" i="7"/>
  <c r="I47" i="7" a="1"/>
  <c r="I47" i="7" s="1"/>
  <c r="I136" i="7" s="1" a="1"/>
  <c r="I136" i="7" s="1"/>
  <c r="I59" i="7"/>
  <c r="I111" i="7"/>
  <c r="I49" i="7"/>
  <c r="I74" i="7" s="1"/>
  <c r="E10" i="34" s="1"/>
  <c r="E11" i="34" s="1"/>
  <c r="I16" i="7" a="1"/>
  <c r="I16" i="7" s="1"/>
  <c r="I53" i="7"/>
  <c r="I50" i="7"/>
  <c r="I76" i="7"/>
  <c r="I79" i="7" s="1"/>
  <c r="D22" i="32" s="1"/>
  <c r="I70" i="7"/>
  <c r="I67" i="7" s="1"/>
  <c r="I144" i="7" a="1"/>
  <c r="I144" i="7" s="1"/>
  <c r="I58" i="7" a="1"/>
  <c r="I58" i="7" s="1"/>
  <c r="I137" i="7" s="1" a="1"/>
  <c r="I137" i="7" s="1"/>
  <c r="I46" i="7"/>
  <c r="I142" i="7" s="1"/>
  <c r="I45" i="7"/>
  <c r="J59" i="7"/>
  <c r="I14" i="7" a="1"/>
  <c r="I14" i="7" s="1"/>
  <c r="I18" i="7" a="1"/>
  <c r="I18" i="7" s="1"/>
  <c r="I52" i="7"/>
  <c r="I15" i="7" a="1"/>
  <c r="I15" i="7" s="1"/>
  <c r="I9" i="7"/>
  <c r="I51" i="7"/>
  <c r="I20" i="7" a="1"/>
  <c r="I20" i="7" s="1"/>
  <c r="I25" i="7" a="1"/>
  <c r="I25" i="7" s="1"/>
  <c r="I17" i="7" a="1"/>
  <c r="I17" i="7" s="1"/>
  <c r="I19" i="7" a="1"/>
  <c r="I19" i="7" s="1"/>
  <c r="I145" i="7"/>
  <c r="I143" i="7"/>
  <c r="P151" i="28"/>
  <c r="P36" i="20"/>
  <c r="R747" i="11"/>
  <c r="J75" i="5"/>
  <c r="F211" i="14"/>
  <c r="F224" i="14"/>
  <c r="J91" i="12"/>
  <c r="K76" i="12"/>
  <c r="I151" i="28"/>
  <c r="K747" i="11"/>
  <c r="G69" i="20"/>
  <c r="G53" i="20" s="1"/>
  <c r="K98" i="7" s="1"/>
  <c r="K100" i="7" s="1"/>
  <c r="K102" i="7" s="1"/>
  <c r="G49" i="28" s="1"/>
  <c r="G133" i="28" s="1"/>
  <c r="G148" i="12"/>
  <c r="G159" i="12" s="1"/>
  <c r="K120" i="12"/>
  <c r="L28" i="12"/>
  <c r="K43" i="12"/>
  <c r="K58" i="12" s="1"/>
  <c r="K126" i="13"/>
  <c r="K128" i="13" s="1"/>
  <c r="L117" i="13"/>
  <c r="K69" i="20"/>
  <c r="K53" i="20" s="1"/>
  <c r="O98" i="7" s="1"/>
  <c r="O100" i="7" s="1"/>
  <c r="O102" i="7" s="1"/>
  <c r="K49" i="28" s="1"/>
  <c r="K133" i="28" s="1"/>
  <c r="K148" i="12"/>
  <c r="K159" i="12" s="1"/>
  <c r="E11" i="20"/>
  <c r="P78" i="13"/>
  <c r="O82" i="13"/>
  <c r="R45" i="7" s="1"/>
  <c r="C238" i="28"/>
  <c r="D16" i="6"/>
  <c r="D84" i="6"/>
  <c r="D87" i="6" s="1"/>
  <c r="D89" i="6" s="1"/>
  <c r="G97" i="12"/>
  <c r="J50" i="13"/>
  <c r="K34" i="13"/>
  <c r="J78" i="17"/>
  <c r="J80" i="17"/>
  <c r="J82" i="17" s="1"/>
  <c r="J88" i="17"/>
  <c r="J81" i="17"/>
  <c r="E9" i="20"/>
  <c r="P54" i="20"/>
  <c r="T18" i="7" s="1"/>
  <c r="P52" i="20"/>
  <c r="T19" i="7" s="1"/>
  <c r="J48" i="13"/>
  <c r="K32" i="13"/>
  <c r="H83" i="7"/>
  <c r="E236" i="14"/>
  <c r="F234" i="14" s="1"/>
  <c r="O69" i="20"/>
  <c r="O53" i="20" s="1"/>
  <c r="S98" i="7" s="1"/>
  <c r="S100" i="7" s="1"/>
  <c r="S102" i="7" s="1"/>
  <c r="O49" i="28" s="1"/>
  <c r="O133" i="28" s="1"/>
  <c r="O148" i="12"/>
  <c r="O159" i="12" s="1"/>
  <c r="N69" i="20"/>
  <c r="N53" i="20" s="1"/>
  <c r="R98" i="7" s="1"/>
  <c r="R100" i="7" s="1"/>
  <c r="R102" i="7" s="1"/>
  <c r="N49" i="28" s="1"/>
  <c r="N133" i="28" s="1"/>
  <c r="N148" i="12"/>
  <c r="N159" i="12" s="1"/>
  <c r="L199" i="12"/>
  <c r="L91" i="13"/>
  <c r="M84" i="13"/>
  <c r="J116" i="12"/>
  <c r="K24" i="12"/>
  <c r="J39" i="12"/>
  <c r="J54" i="12" s="1"/>
  <c r="H52" i="20"/>
  <c r="L19" i="7" s="1"/>
  <c r="H54" i="20"/>
  <c r="L18" i="7" s="1"/>
  <c r="G130" i="12"/>
  <c r="G141" i="12" s="1"/>
  <c r="D233" i="28"/>
  <c r="D235" i="28" s="1"/>
  <c r="D174" i="4" s="1"/>
  <c r="E227" i="14"/>
  <c r="E27" i="6" s="1"/>
  <c r="J122" i="12"/>
  <c r="K30" i="12"/>
  <c r="J45" i="12"/>
  <c r="J60" i="12" s="1"/>
  <c r="G208" i="12"/>
  <c r="K15" i="7"/>
  <c r="E10" i="20"/>
  <c r="J199" i="12"/>
  <c r="J115" i="12"/>
  <c r="K23" i="12"/>
  <c r="J38" i="12"/>
  <c r="J53" i="12" s="1"/>
  <c r="J99" i="12" s="1"/>
  <c r="C364" i="29"/>
  <c r="D239" i="28"/>
  <c r="E85" i="6"/>
  <c r="I92" i="12"/>
  <c r="I107" i="12" s="1"/>
  <c r="C374" i="29" s="1"/>
  <c r="J77" i="12"/>
  <c r="J138" i="13"/>
  <c r="M47" i="7"/>
  <c r="K151" i="28"/>
  <c r="K36" i="20"/>
  <c r="M747" i="11"/>
  <c r="D55" i="6"/>
  <c r="D60" i="6" s="1"/>
  <c r="D54" i="6"/>
  <c r="D59" i="6" s="1"/>
  <c r="J117" i="12"/>
  <c r="K25" i="12"/>
  <c r="J40" i="12"/>
  <c r="J55" i="12" s="1"/>
  <c r="J101" i="12" s="1"/>
  <c r="I139" i="7" a="1"/>
  <c r="I139" i="7" s="1"/>
  <c r="K752" i="11"/>
  <c r="K753" i="11" s="1"/>
  <c r="K755" i="11" s="1"/>
  <c r="K756" i="11" s="1"/>
  <c r="M72" i="7" s="1"/>
  <c r="K750" i="11"/>
  <c r="G99" i="12"/>
  <c r="C340" i="29" s="1"/>
  <c r="O52" i="20"/>
  <c r="S19" i="7" s="1"/>
  <c r="O54" i="20"/>
  <c r="S18" i="7" s="1"/>
  <c r="E27" i="20"/>
  <c r="H93" i="12"/>
  <c r="D8" i="5"/>
  <c r="D13" i="5"/>
  <c r="L151" i="28"/>
  <c r="L36" i="20"/>
  <c r="N747" i="11"/>
  <c r="F99" i="12"/>
  <c r="C327" i="29" s="1"/>
  <c r="E15" i="20"/>
  <c r="H199" i="12"/>
  <c r="F30" i="8" l="1" a="1"/>
  <c r="F30" i="8" s="1"/>
  <c r="E43" i="28"/>
  <c r="E10" i="16"/>
  <c r="F144" i="13"/>
  <c r="F146" i="13" s="1"/>
  <c r="F155" i="13" s="1"/>
  <c r="I81" i="7"/>
  <c r="O72" i="28"/>
  <c r="O228" i="12"/>
  <c r="O97" i="13"/>
  <c r="N101" i="13"/>
  <c r="Q46" i="7" s="1"/>
  <c r="K71" i="28"/>
  <c r="K227" i="12"/>
  <c r="L40" i="13"/>
  <c r="M24" i="13"/>
  <c r="N71" i="28"/>
  <c r="N227" i="12"/>
  <c r="G73" i="13"/>
  <c r="J34" i="7" s="1"/>
  <c r="J134" i="7" s="1"/>
  <c r="F210" i="12"/>
  <c r="G71" i="13"/>
  <c r="J17" i="7"/>
  <c r="M181" i="12"/>
  <c r="L183" i="12"/>
  <c r="D61" i="6"/>
  <c r="D36" i="6" s="1"/>
  <c r="C44" i="34" s="1"/>
  <c r="K13" i="17"/>
  <c r="F4" i="19"/>
  <c r="G210" i="14"/>
  <c r="I5" i="8"/>
  <c r="J6" i="7"/>
  <c r="J128" i="7" s="1" a="1"/>
  <c r="J128" i="7" s="1"/>
  <c r="F54" i="9"/>
  <c r="K4" i="7"/>
  <c r="J8" i="7"/>
  <c r="G6" i="6"/>
  <c r="K214" i="12"/>
  <c r="O25" i="7"/>
  <c r="K39" i="13"/>
  <c r="L23" i="13"/>
  <c r="I71" i="28"/>
  <c r="I227" i="12"/>
  <c r="H108" i="12"/>
  <c r="H72" i="28"/>
  <c r="C109" i="28" s="1"/>
  <c r="H228" i="12"/>
  <c r="F236" i="14"/>
  <c r="G234" i="14" s="1"/>
  <c r="J84" i="17"/>
  <c r="K75" i="17"/>
  <c r="J86" i="17"/>
  <c r="E15" i="19"/>
  <c r="I141" i="7" a="1"/>
  <c r="I141" i="7" s="1"/>
  <c r="L71" i="28"/>
  <c r="L227" i="12"/>
  <c r="I98" i="12"/>
  <c r="F72" i="28"/>
  <c r="F228" i="12"/>
  <c r="F208" i="12"/>
  <c r="J15" i="7"/>
  <c r="H74" i="28"/>
  <c r="C111" i="28" s="1"/>
  <c r="L56" i="7"/>
  <c r="L55" i="7"/>
  <c r="L26" i="7"/>
  <c r="P211" i="12"/>
  <c r="T20" i="7"/>
  <c r="I211" i="12"/>
  <c r="M20" i="7"/>
  <c r="F12" i="8" a="1"/>
  <c r="F12" i="8" s="1"/>
  <c r="I72" i="28"/>
  <c r="I228" i="12"/>
  <c r="G68" i="28"/>
  <c r="L76" i="12"/>
  <c r="K91" i="12"/>
  <c r="E57" i="11"/>
  <c r="E120" i="11"/>
  <c r="C31" i="5"/>
  <c r="C7" i="29" s="1"/>
  <c r="H73" i="13"/>
  <c r="K34" i="7" s="1"/>
  <c r="H71" i="13"/>
  <c r="G210" i="12"/>
  <c r="K17" i="7"/>
  <c r="E67" i="28"/>
  <c r="G746" i="11"/>
  <c r="I122" i="7" a="1"/>
  <c r="I122" i="7" s="1"/>
  <c r="I21" i="7"/>
  <c r="J85" i="12"/>
  <c r="K70" i="12"/>
  <c r="H71" i="28"/>
  <c r="C108" i="28" s="1"/>
  <c r="H227" i="12"/>
  <c r="K211" i="12"/>
  <c r="O20" i="7"/>
  <c r="K113" i="12"/>
  <c r="L21" i="12"/>
  <c r="K36" i="12"/>
  <c r="K51" i="12" s="1"/>
  <c r="D41" i="28"/>
  <c r="D14" i="19"/>
  <c r="D17" i="19" s="1"/>
  <c r="D19" i="19" s="1"/>
  <c r="D25" i="19" s="1"/>
  <c r="D29" i="19" s="1"/>
  <c r="D8" i="16"/>
  <c r="E49" i="6" a="1"/>
  <c r="E49" i="6" s="1"/>
  <c r="M86" i="12"/>
  <c r="N71" i="12"/>
  <c r="J148" i="13"/>
  <c r="J100" i="12"/>
  <c r="D59" i="9"/>
  <c r="D60" i="9" s="1"/>
  <c r="D63" i="9"/>
  <c r="L34" i="13"/>
  <c r="K50" i="13"/>
  <c r="L72" i="13"/>
  <c r="O33" i="7" s="1"/>
  <c r="K209" i="12"/>
  <c r="O16" i="7"/>
  <c r="E72" i="28"/>
  <c r="I129" i="7" a="1"/>
  <c r="I129" i="7" s="1"/>
  <c r="H208" i="12"/>
  <c r="L15" i="7"/>
  <c r="G213" i="14"/>
  <c r="G212" i="14"/>
  <c r="G214" i="14"/>
  <c r="J114" i="12"/>
  <c r="J124" i="12" s="1"/>
  <c r="K22" i="12"/>
  <c r="J37" i="12"/>
  <c r="J52" i="12" s="1"/>
  <c r="G71" i="28"/>
  <c r="G227" i="12"/>
  <c r="J75" i="28"/>
  <c r="C201" i="14"/>
  <c r="D242" i="14" s="1"/>
  <c r="C21" i="15"/>
  <c r="D21" i="15" s="1"/>
  <c r="E21" i="15" s="1"/>
  <c r="F21" i="15" s="1"/>
  <c r="B21" i="15"/>
  <c r="E123" i="11"/>
  <c r="E75" i="11"/>
  <c r="D5" i="17" s="1"/>
  <c r="P43" i="5" s="1"/>
  <c r="E66" i="11"/>
  <c r="E786" i="11"/>
  <c r="I786" i="11" s="1"/>
  <c r="J41" i="5"/>
  <c r="F43" i="6"/>
  <c r="F15" i="6"/>
  <c r="F86" i="6" s="1"/>
  <c r="F81" i="6"/>
  <c r="F34" i="6" a="1"/>
  <c r="F34" i="6" s="1"/>
  <c r="H11" i="8" s="1" a="1"/>
  <c r="H11" i="8" s="1"/>
  <c r="F14" i="6"/>
  <c r="E6" i="5"/>
  <c r="F13" i="6"/>
  <c r="F30" i="6" a="1"/>
  <c r="F30" i="6" s="1"/>
  <c r="F24" i="6"/>
  <c r="F211" i="12"/>
  <c r="J20" i="7"/>
  <c r="M90" i="12"/>
  <c r="N75" i="12"/>
  <c r="H72" i="13"/>
  <c r="K33" i="7" s="1"/>
  <c r="G209" i="12"/>
  <c r="K16" i="7"/>
  <c r="J45" i="13"/>
  <c r="K29" i="13"/>
  <c r="M211" i="12"/>
  <c r="Q20" i="7"/>
  <c r="I73" i="13"/>
  <c r="L34" i="7" s="1"/>
  <c r="H210" i="12"/>
  <c r="I71" i="13"/>
  <c r="L17" i="7"/>
  <c r="E52" i="28"/>
  <c r="E66" i="28"/>
  <c r="H211" i="12"/>
  <c r="L20" i="7"/>
  <c r="L23" i="12"/>
  <c r="K115" i="12"/>
  <c r="K38" i="12"/>
  <c r="K53" i="12" s="1"/>
  <c r="Q78" i="13"/>
  <c r="P82" i="13"/>
  <c r="S45" i="7" s="1"/>
  <c r="L72" i="28"/>
  <c r="L228" i="12"/>
  <c r="K72" i="28"/>
  <c r="K228" i="12"/>
  <c r="F71" i="28"/>
  <c r="F227" i="12"/>
  <c r="J211" i="12"/>
  <c r="N20" i="7"/>
  <c r="K116" i="12"/>
  <c r="L24" i="12"/>
  <c r="K39" i="12"/>
  <c r="K54" i="12" s="1"/>
  <c r="K48" i="13"/>
  <c r="L32" i="13"/>
  <c r="E70" i="28"/>
  <c r="I32" i="7"/>
  <c r="I125" i="7" a="1"/>
  <c r="I125" i="7" s="1"/>
  <c r="F150" i="13"/>
  <c r="I149" i="7"/>
  <c r="L115" i="13"/>
  <c r="L139" i="13" s="1"/>
  <c r="M103" i="13"/>
  <c r="O60" i="7"/>
  <c r="K32" i="17"/>
  <c r="K94" i="17"/>
  <c r="J83" i="12"/>
  <c r="J93" i="12" s="1"/>
  <c r="K68" i="12"/>
  <c r="I33" i="20"/>
  <c r="I36" i="20" s="1"/>
  <c r="J22" i="20"/>
  <c r="G72" i="28"/>
  <c r="G228" i="12"/>
  <c r="F225" i="14"/>
  <c r="G18" i="8"/>
  <c r="C167" i="28"/>
  <c r="E18" i="14"/>
  <c r="F18" i="14" s="1"/>
  <c r="G151" i="13"/>
  <c r="J147" i="7"/>
  <c r="J87" i="12"/>
  <c r="J102" i="12" s="1"/>
  <c r="K72" i="12"/>
  <c r="H152" i="13"/>
  <c r="L31" i="12"/>
  <c r="K123" i="12"/>
  <c r="K46" i="12"/>
  <c r="K61" i="12" s="1"/>
  <c r="E75" i="28"/>
  <c r="I127" i="7" a="1"/>
  <c r="I127" i="7" s="1"/>
  <c r="C338" i="29"/>
  <c r="G108" i="12"/>
  <c r="F149" i="13"/>
  <c r="I150" i="7"/>
  <c r="E59" i="9"/>
  <c r="E63" i="9"/>
  <c r="K119" i="12"/>
  <c r="L27" i="12"/>
  <c r="K42" i="12"/>
  <c r="K57" i="12" s="1"/>
  <c r="K103" i="12" s="1"/>
  <c r="G152" i="13"/>
  <c r="J148" i="7"/>
  <c r="G211" i="12"/>
  <c r="K20" i="7"/>
  <c r="H151" i="13"/>
  <c r="E29" i="6" a="1"/>
  <c r="E29" i="6" s="1"/>
  <c r="H153" i="7" s="1"/>
  <c r="L121" i="12"/>
  <c r="M29" i="12"/>
  <c r="L44" i="12"/>
  <c r="L59" i="12" s="1"/>
  <c r="L105" i="12" s="1"/>
  <c r="L49" i="13"/>
  <c r="M33" i="13"/>
  <c r="N84" i="13"/>
  <c r="M91" i="13"/>
  <c r="I213" i="12"/>
  <c r="M24" i="7"/>
  <c r="N211" i="12"/>
  <c r="R20" i="7"/>
  <c r="L126" i="13"/>
  <c r="L128" i="13" s="1"/>
  <c r="M117" i="13"/>
  <c r="E243" i="28"/>
  <c r="E232" i="28"/>
  <c r="F152" i="13"/>
  <c r="I148" i="7"/>
  <c r="J130" i="12"/>
  <c r="I141" i="12"/>
  <c r="E83" i="9"/>
  <c r="K117" i="12"/>
  <c r="L25" i="12"/>
  <c r="K40" i="12"/>
  <c r="K55" i="12" s="1"/>
  <c r="K101" i="12" s="1"/>
  <c r="K122" i="12"/>
  <c r="L30" i="12"/>
  <c r="K45" i="12"/>
  <c r="K60" i="12" s="1"/>
  <c r="K106" i="12" s="1"/>
  <c r="P71" i="28"/>
  <c r="F108" i="28" s="1"/>
  <c r="P227" i="12"/>
  <c r="F218" i="14"/>
  <c r="I72" i="13"/>
  <c r="L33" i="7" s="1"/>
  <c r="H209" i="12"/>
  <c r="L16" i="7"/>
  <c r="L46" i="13"/>
  <c r="M30" i="13"/>
  <c r="K72" i="13"/>
  <c r="N33" i="7" s="1"/>
  <c r="J209" i="12"/>
  <c r="N16" i="7"/>
  <c r="J71" i="28"/>
  <c r="J227" i="12"/>
  <c r="L73" i="12"/>
  <c r="K88" i="12"/>
  <c r="P209" i="12"/>
  <c r="Q72" i="13"/>
  <c r="T33" i="7" s="1"/>
  <c r="T16" i="7"/>
  <c r="M72" i="13"/>
  <c r="P33" i="7" s="1"/>
  <c r="P133" i="7" s="1"/>
  <c r="L209" i="12"/>
  <c r="P16" i="7"/>
  <c r="K41" i="13"/>
  <c r="L25" i="13"/>
  <c r="D27" i="6"/>
  <c r="E87" i="6"/>
  <c r="K44" i="13"/>
  <c r="L28" i="13"/>
  <c r="L43" i="13"/>
  <c r="M27" i="13"/>
  <c r="E105" i="9"/>
  <c r="E115" i="9"/>
  <c r="E77" i="9"/>
  <c r="F108" i="12"/>
  <c r="O73" i="28"/>
  <c r="S43" i="7"/>
  <c r="E73" i="28"/>
  <c r="I130" i="7" a="1"/>
  <c r="I130" i="7" s="1"/>
  <c r="D40" i="28"/>
  <c r="D7" i="16"/>
  <c r="D57" i="9"/>
  <c r="H40" i="7"/>
  <c r="D42" i="28" s="1"/>
  <c r="C21" i="5"/>
  <c r="H80" i="7"/>
  <c r="H37" i="7"/>
  <c r="H41" i="7"/>
  <c r="E22" i="6" a="1"/>
  <c r="E22" i="6" s="1"/>
  <c r="E48" i="6" a="1"/>
  <c r="E48" i="6" s="1"/>
  <c r="D7" i="32" s="1"/>
  <c r="J106" i="12"/>
  <c r="P72" i="28"/>
  <c r="F109" i="28" s="1"/>
  <c r="P228" i="12"/>
  <c r="E44" i="28"/>
  <c r="E58" i="9"/>
  <c r="E60" i="9" s="1"/>
  <c r="I85" i="7"/>
  <c r="E12" i="34" s="1"/>
  <c r="F64" i="6"/>
  <c r="D22" i="5"/>
  <c r="K47" i="13"/>
  <c r="L31" i="13"/>
  <c r="K167" i="12"/>
  <c r="J175" i="12"/>
  <c r="D23" i="19"/>
  <c r="D31" i="19" s="1"/>
  <c r="D36" i="19" s="1"/>
  <c r="L74" i="12"/>
  <c r="K89" i="12"/>
  <c r="K104" i="12" s="1"/>
  <c r="L211" i="12"/>
  <c r="P20" i="7"/>
  <c r="E83" i="6"/>
  <c r="D91" i="6"/>
  <c r="F42" i="8" a="1"/>
  <c r="F42" i="8" s="1"/>
  <c r="F45" i="8" s="1"/>
  <c r="C32" i="34" s="1"/>
  <c r="K138" i="13"/>
  <c r="N47" i="7"/>
  <c r="O72" i="13"/>
  <c r="R33" i="7" s="1"/>
  <c r="N209" i="12"/>
  <c r="R16" i="7"/>
  <c r="C117" i="9"/>
  <c r="D77" i="6"/>
  <c r="C54" i="28" s="1"/>
  <c r="C52" i="29"/>
  <c r="F192" i="4"/>
  <c r="E68" i="28"/>
  <c r="I123" i="7" a="1"/>
  <c r="I123" i="7" s="1"/>
  <c r="E74" i="28"/>
  <c r="I126" i="7" a="1"/>
  <c r="I126" i="7" s="1"/>
  <c r="I26" i="7"/>
  <c r="F232" i="14"/>
  <c r="N72" i="13"/>
  <c r="Q33" i="7" s="1"/>
  <c r="Q133" i="7" s="1"/>
  <c r="M209" i="12"/>
  <c r="Q16" i="7"/>
  <c r="J42" i="13"/>
  <c r="K26" i="13"/>
  <c r="J72" i="28"/>
  <c r="J228" i="12"/>
  <c r="E217" i="14"/>
  <c r="E221" i="14" s="1"/>
  <c r="F19" i="8"/>
  <c r="F23" i="8" s="1"/>
  <c r="C24" i="16" s="1"/>
  <c r="D117" i="9"/>
  <c r="E77" i="6"/>
  <c r="D54" i="28" s="1"/>
  <c r="D127" i="28" s="1"/>
  <c r="M118" i="12"/>
  <c r="N26" i="12"/>
  <c r="M41" i="12"/>
  <c r="M56" i="12" s="1"/>
  <c r="H152" i="7"/>
  <c r="J92" i="12"/>
  <c r="J107" i="12" s="1"/>
  <c r="K77" i="12"/>
  <c r="C240" i="28"/>
  <c r="L120" i="12"/>
  <c r="M28" i="12"/>
  <c r="L43" i="12"/>
  <c r="L58" i="12" s="1"/>
  <c r="J72" i="13"/>
  <c r="M33" i="7" s="1"/>
  <c r="M133" i="7" s="1"/>
  <c r="I209" i="12"/>
  <c r="M16" i="7"/>
  <c r="G16" i="23"/>
  <c r="G17" i="23" s="1"/>
  <c r="G19" i="23" s="1"/>
  <c r="G10" i="23"/>
  <c r="G9" i="23"/>
  <c r="G15" i="23"/>
  <c r="G7" i="23"/>
  <c r="G12" i="23"/>
  <c r="G6" i="23"/>
  <c r="G5" i="23"/>
  <c r="H4" i="23"/>
  <c r="G13" i="23"/>
  <c r="G8" i="23"/>
  <c r="G14" i="23"/>
  <c r="G11" i="23"/>
  <c r="G72" i="13"/>
  <c r="J33" i="7" s="1"/>
  <c r="J133" i="7" s="1"/>
  <c r="F209" i="12"/>
  <c r="J16" i="7"/>
  <c r="L69" i="12"/>
  <c r="K84" i="12"/>
  <c r="D240" i="28"/>
  <c r="L752" i="11"/>
  <c r="L753" i="11" s="1"/>
  <c r="L755" i="11" s="1"/>
  <c r="L756" i="11" s="1"/>
  <c r="N72" i="7" s="1"/>
  <c r="L750" i="11"/>
  <c r="M72" i="28"/>
  <c r="M228" i="12"/>
  <c r="J96" i="17"/>
  <c r="J34" i="17"/>
  <c r="O15" i="17"/>
  <c r="H15" i="17"/>
  <c r="I15" i="17"/>
  <c r="L15" i="17"/>
  <c r="N15" i="17"/>
  <c r="R15" i="17"/>
  <c r="M15" i="17"/>
  <c r="U15" i="17"/>
  <c r="P15" i="17"/>
  <c r="Q15" i="17"/>
  <c r="J15" i="17"/>
  <c r="S15" i="17"/>
  <c r="T15" i="17"/>
  <c r="K15" i="17"/>
  <c r="F151" i="13"/>
  <c r="I147" i="7"/>
  <c r="E789" i="11"/>
  <c r="I789" i="11" s="1"/>
  <c r="D64" i="9"/>
  <c r="E69" i="28"/>
  <c r="I124" i="7" a="1"/>
  <c r="I124" i="7" s="1"/>
  <c r="I34" i="7"/>
  <c r="I134" i="7" s="1"/>
  <c r="I33" i="7"/>
  <c r="I133" i="7" s="1"/>
  <c r="O71" i="28"/>
  <c r="O227" i="12"/>
  <c r="O209" i="12"/>
  <c r="P72" i="13"/>
  <c r="S33" i="7" s="1"/>
  <c r="S133" i="7" s="1"/>
  <c r="S16" i="7"/>
  <c r="E71" i="28"/>
  <c r="I128" i="7" a="1"/>
  <c r="I128" i="7" s="1"/>
  <c r="I208" i="12"/>
  <c r="M15" i="7"/>
  <c r="N72" i="28"/>
  <c r="N228" i="12"/>
  <c r="C250" i="28"/>
  <c r="D250" i="28" s="1"/>
  <c r="C174" i="4"/>
  <c r="J51" i="13"/>
  <c r="J136" i="13" s="1"/>
  <c r="L67" i="12"/>
  <c r="M748" i="11"/>
  <c r="K82" i="12"/>
  <c r="M71" i="28"/>
  <c r="M227" i="12"/>
  <c r="D21" i="19" l="1"/>
  <c r="E13" i="32"/>
  <c r="E8" i="32"/>
  <c r="H154" i="7"/>
  <c r="J208" i="12"/>
  <c r="N15" i="7"/>
  <c r="N117" i="13"/>
  <c r="M126" i="13"/>
  <c r="M128" i="13" s="1"/>
  <c r="N103" i="13"/>
  <c r="M115" i="13"/>
  <c r="M139" i="13" s="1"/>
  <c r="P60" i="7"/>
  <c r="H74" i="13"/>
  <c r="H158" i="13" s="1"/>
  <c r="K32" i="7"/>
  <c r="J129" i="7" a="1"/>
  <c r="J129" i="7" s="1"/>
  <c r="M46" i="13"/>
  <c r="N30" i="13"/>
  <c r="D153" i="28"/>
  <c r="D99" i="28"/>
  <c r="D45" i="28"/>
  <c r="M121" i="12"/>
  <c r="N29" i="12"/>
  <c r="M44" i="12"/>
  <c r="M59" i="12" s="1"/>
  <c r="M105" i="12" s="1"/>
  <c r="L116" i="12"/>
  <c r="M24" i="12"/>
  <c r="L39" i="12"/>
  <c r="L54" i="12" s="1"/>
  <c r="K175" i="12"/>
  <c r="L167" i="12"/>
  <c r="L44" i="13"/>
  <c r="M28" i="13"/>
  <c r="L117" i="12"/>
  <c r="M25" i="12"/>
  <c r="L40" i="12"/>
  <c r="L55" i="12" s="1"/>
  <c r="L101" i="12" s="1"/>
  <c r="L138" i="13"/>
  <c r="O47" i="7"/>
  <c r="L123" i="12"/>
  <c r="M31" i="12"/>
  <c r="L46" i="12"/>
  <c r="L61" i="12" s="1"/>
  <c r="H70" i="28"/>
  <c r="C107" i="28" s="1"/>
  <c r="H267" i="28"/>
  <c r="E50" i="11"/>
  <c r="E784" i="11"/>
  <c r="I784" i="11" s="1"/>
  <c r="C29" i="5"/>
  <c r="C36" i="5"/>
  <c r="C12" i="29" s="1"/>
  <c r="C30" i="5"/>
  <c r="K134" i="7"/>
  <c r="I73" i="28"/>
  <c r="M43" i="7"/>
  <c r="G211" i="14"/>
  <c r="G224" i="14"/>
  <c r="N37" i="17"/>
  <c r="H37" i="17"/>
  <c r="M37" i="17"/>
  <c r="U37" i="17"/>
  <c r="T37" i="17"/>
  <c r="R37" i="17"/>
  <c r="I37" i="17"/>
  <c r="O37" i="17"/>
  <c r="S37" i="17"/>
  <c r="Q37" i="17"/>
  <c r="J37" i="17"/>
  <c r="K37" i="17"/>
  <c r="P37" i="17"/>
  <c r="L37" i="17"/>
  <c r="L77" i="12"/>
  <c r="K92" i="12"/>
  <c r="N69" i="28"/>
  <c r="M43" i="13"/>
  <c r="N27" i="13"/>
  <c r="L122" i="12"/>
  <c r="M30" i="12"/>
  <c r="L45" i="12"/>
  <c r="L60" i="12" s="1"/>
  <c r="J18" i="17"/>
  <c r="P69" i="28"/>
  <c r="F106" i="28" s="1"/>
  <c r="H68" i="28"/>
  <c r="C105" i="28" s="1"/>
  <c r="T133" i="7"/>
  <c r="G225" i="14"/>
  <c r="H18" i="8"/>
  <c r="P20" i="17"/>
  <c r="O69" i="28"/>
  <c r="U25" i="17"/>
  <c r="U22" i="17"/>
  <c r="U24" i="17"/>
  <c r="U18" i="17"/>
  <c r="U20" i="17"/>
  <c r="I69" i="28"/>
  <c r="L47" i="13"/>
  <c r="M31" i="13"/>
  <c r="D7" i="5"/>
  <c r="E53" i="6"/>
  <c r="L133" i="7"/>
  <c r="N73" i="28"/>
  <c r="R43" i="7"/>
  <c r="L72" i="12"/>
  <c r="K87" i="12"/>
  <c r="K102" i="12" s="1"/>
  <c r="I74" i="13"/>
  <c r="I158" i="13" s="1"/>
  <c r="L32" i="7"/>
  <c r="N90" i="12"/>
  <c r="O75" i="12"/>
  <c r="E238" i="28"/>
  <c r="F84" i="6"/>
  <c r="F16" i="6"/>
  <c r="N86" i="12"/>
  <c r="O71" i="12"/>
  <c r="L39" i="13"/>
  <c r="M23" i="13"/>
  <c r="L35" i="13"/>
  <c r="L135" i="13" s="1"/>
  <c r="G69" i="28"/>
  <c r="K42" i="7"/>
  <c r="G70" i="28"/>
  <c r="K73" i="28"/>
  <c r="O43" i="7"/>
  <c r="M752" i="11"/>
  <c r="M753" i="11" s="1"/>
  <c r="M755" i="11" s="1"/>
  <c r="M756" i="11" s="1"/>
  <c r="O72" i="7" s="1"/>
  <c r="M750" i="11"/>
  <c r="J213" i="12"/>
  <c r="N24" i="7"/>
  <c r="L82" i="12"/>
  <c r="M67" i="12"/>
  <c r="N748" i="11"/>
  <c r="N118" i="12"/>
  <c r="O26" i="12"/>
  <c r="N41" i="12"/>
  <c r="N56" i="12" s="1"/>
  <c r="L26" i="13"/>
  <c r="K42" i="13"/>
  <c r="C62" i="28"/>
  <c r="C144" i="28" s="1"/>
  <c r="C32" i="16"/>
  <c r="L88" i="12"/>
  <c r="M73" i="12"/>
  <c r="J73" i="28"/>
  <c r="N43" i="7"/>
  <c r="H266" i="28"/>
  <c r="E783" i="11"/>
  <c r="G53" i="5"/>
  <c r="G55" i="5"/>
  <c r="P73" i="28"/>
  <c r="F110" i="28" s="1"/>
  <c r="T43" i="7"/>
  <c r="K76" i="17" a="1"/>
  <c r="K76" i="17" s="1"/>
  <c r="K95" i="17"/>
  <c r="K33" i="17"/>
  <c r="M40" i="13"/>
  <c r="N24" i="13"/>
  <c r="F68" i="28"/>
  <c r="C13" i="19"/>
  <c r="C17" i="19" s="1"/>
  <c r="C19" i="19" s="1"/>
  <c r="C21" i="19" s="1"/>
  <c r="D76" i="6"/>
  <c r="C53" i="28" s="1"/>
  <c r="C126" i="28" s="1"/>
  <c r="C64" i="9"/>
  <c r="E233" i="28"/>
  <c r="C28" i="28"/>
  <c r="F227" i="14"/>
  <c r="F203" i="14"/>
  <c r="I74" i="28"/>
  <c r="M26" i="7"/>
  <c r="M55" i="7"/>
  <c r="M56" i="7"/>
  <c r="R78" i="13"/>
  <c r="R82" i="13" s="1"/>
  <c r="Q82" i="13"/>
  <c r="T45" i="7" s="1"/>
  <c r="L134" i="7"/>
  <c r="F73" i="28"/>
  <c r="J43" i="7"/>
  <c r="E239" i="28"/>
  <c r="F85" i="6"/>
  <c r="K69" i="28"/>
  <c r="E54" i="6"/>
  <c r="E55" i="6"/>
  <c r="L70" i="12"/>
  <c r="K85" i="12"/>
  <c r="K100" i="12" s="1"/>
  <c r="E58" i="11"/>
  <c r="K35" i="13"/>
  <c r="K135" i="13" s="1"/>
  <c r="C44" i="16"/>
  <c r="C65" i="9"/>
  <c r="F106" i="9"/>
  <c r="F116" i="9" s="1"/>
  <c r="F55" i="9"/>
  <c r="F78" i="9" s="1"/>
  <c r="F79" i="9" s="1"/>
  <c r="R20" i="17"/>
  <c r="K148" i="13"/>
  <c r="F259" i="28"/>
  <c r="D175" i="4"/>
  <c r="L104" i="12"/>
  <c r="M69" i="28"/>
  <c r="E89" i="6"/>
  <c r="J73" i="13"/>
  <c r="M34" i="7" s="1"/>
  <c r="J71" i="13"/>
  <c r="I210" i="12"/>
  <c r="M17" i="7"/>
  <c r="J33" i="20"/>
  <c r="J36" i="20" s="1"/>
  <c r="E22" i="20"/>
  <c r="M73" i="28"/>
  <c r="Q43" i="7"/>
  <c r="J98" i="12"/>
  <c r="J108" i="12" s="1"/>
  <c r="C365" i="29"/>
  <c r="I108" i="12"/>
  <c r="K75" i="28"/>
  <c r="H99" i="17"/>
  <c r="H100" i="17" s="1"/>
  <c r="R99" i="17"/>
  <c r="R100" i="17" s="1"/>
  <c r="J99" i="17"/>
  <c r="U99" i="17"/>
  <c r="U100" i="17" s="1"/>
  <c r="N99" i="17"/>
  <c r="O99" i="17"/>
  <c r="L99" i="17"/>
  <c r="I99" i="17"/>
  <c r="I100" i="17" s="1"/>
  <c r="Q99" i="17"/>
  <c r="Q100" i="17" s="1"/>
  <c r="K99" i="17"/>
  <c r="T99" i="17"/>
  <c r="T100" i="17" s="1"/>
  <c r="S99" i="17"/>
  <c r="S100" i="17" s="1"/>
  <c r="P99" i="17"/>
  <c r="P100" i="17" s="1"/>
  <c r="M99" i="17"/>
  <c r="N20" i="17"/>
  <c r="H15" i="23"/>
  <c r="H9" i="23"/>
  <c r="H8" i="23"/>
  <c r="H16" i="23"/>
  <c r="H17" i="23" s="1"/>
  <c r="H19" i="23" s="1"/>
  <c r="H11" i="23"/>
  <c r="H12" i="23"/>
  <c r="H6" i="23"/>
  <c r="H5" i="23"/>
  <c r="H13" i="23"/>
  <c r="H14" i="23"/>
  <c r="H10" i="23"/>
  <c r="I4" i="23"/>
  <c r="H7" i="23"/>
  <c r="L20" i="17"/>
  <c r="M120" i="12"/>
  <c r="N28" i="12"/>
  <c r="M43" i="12"/>
  <c r="M58" i="12" s="1"/>
  <c r="C55" i="28"/>
  <c r="D55" i="28" s="1"/>
  <c r="C127" i="28"/>
  <c r="C128" i="28" s="1"/>
  <c r="D128" i="28" s="1"/>
  <c r="L73" i="28"/>
  <c r="P43" i="7"/>
  <c r="E8" i="5"/>
  <c r="E13" i="5"/>
  <c r="F207" i="12"/>
  <c r="J14" i="7"/>
  <c r="L41" i="13"/>
  <c r="M25" i="13"/>
  <c r="K130" i="12"/>
  <c r="J141" i="12"/>
  <c r="G207" i="12"/>
  <c r="G217" i="12" s="1"/>
  <c r="K14" i="7"/>
  <c r="I132" i="7"/>
  <c r="I35" i="7"/>
  <c r="K99" i="12"/>
  <c r="K114" i="12"/>
  <c r="K124" i="12" s="1"/>
  <c r="L22" i="12"/>
  <c r="K37" i="12"/>
  <c r="K52" i="12" s="1"/>
  <c r="O133" i="7"/>
  <c r="E7" i="19"/>
  <c r="E9" i="19" s="1"/>
  <c r="I28" i="7"/>
  <c r="M76" i="12"/>
  <c r="L91" i="12"/>
  <c r="I151" i="13"/>
  <c r="L214" i="12"/>
  <c r="P25" i="7"/>
  <c r="D9" i="16"/>
  <c r="K107" i="12"/>
  <c r="R133" i="7"/>
  <c r="H69" i="28"/>
  <c r="C106" i="28" s="1"/>
  <c r="L42" i="7"/>
  <c r="L119" i="12"/>
  <c r="M27" i="12"/>
  <c r="L42" i="12"/>
  <c r="L57" i="12" s="1"/>
  <c r="E12" i="16"/>
  <c r="J69" i="28"/>
  <c r="O84" i="13"/>
  <c r="N91" i="13"/>
  <c r="G73" i="28"/>
  <c r="K43" i="7"/>
  <c r="L68" i="12"/>
  <c r="K83" i="12"/>
  <c r="K93" i="12" s="1"/>
  <c r="K45" i="13"/>
  <c r="K51" i="13" s="1"/>
  <c r="K136" i="13" s="1"/>
  <c r="L29" i="13"/>
  <c r="G45" i="6"/>
  <c r="G68" i="6"/>
  <c r="N181" i="12"/>
  <c r="M183" i="12"/>
  <c r="I68" i="28"/>
  <c r="E61" i="9"/>
  <c r="E62" i="9" s="1"/>
  <c r="L69" i="28"/>
  <c r="N33" i="13"/>
  <c r="M49" i="13"/>
  <c r="L48" i="13"/>
  <c r="M32" i="13"/>
  <c r="L115" i="12"/>
  <c r="M23" i="12"/>
  <c r="L38" i="12"/>
  <c r="L53" i="12" s="1"/>
  <c r="L50" i="13"/>
  <c r="M34" i="13"/>
  <c r="K97" i="12"/>
  <c r="I152" i="13"/>
  <c r="J81" i="7" a="1"/>
  <c r="J81" i="7" s="1"/>
  <c r="J70" i="7"/>
  <c r="J69" i="7" a="1"/>
  <c r="J69" i="7" s="1"/>
  <c r="J139" i="7" s="1" a="1"/>
  <c r="J139" i="7" s="1"/>
  <c r="J68" i="7" a="1"/>
  <c r="J68" i="7" s="1"/>
  <c r="J9" i="7"/>
  <c r="J142" i="7"/>
  <c r="J144" i="7" a="1"/>
  <c r="J144" i="7" s="1"/>
  <c r="J145" i="7"/>
  <c r="J136" i="7" a="1"/>
  <c r="J136" i="7" s="1"/>
  <c r="J143" i="7"/>
  <c r="J141" i="7" a="1"/>
  <c r="J141" i="7" s="1"/>
  <c r="F70" i="28"/>
  <c r="S20" i="17"/>
  <c r="F217" i="14"/>
  <c r="G19" i="8"/>
  <c r="G23" i="8" s="1"/>
  <c r="D24" i="16" s="1"/>
  <c r="C254" i="29"/>
  <c r="C168" i="28"/>
  <c r="D61" i="9"/>
  <c r="D62" i="9" s="1"/>
  <c r="F39" i="28"/>
  <c r="F5" i="19"/>
  <c r="F34" i="19" s="1"/>
  <c r="K14" i="17"/>
  <c r="G208" i="14"/>
  <c r="F19" i="12"/>
  <c r="D188" i="9"/>
  <c r="E188" i="9" s="1"/>
  <c r="F188" i="9" s="1"/>
  <c r="I6" i="8"/>
  <c r="F53" i="9"/>
  <c r="J120" i="7"/>
  <c r="G7" i="6"/>
  <c r="Q20" i="17"/>
  <c r="K133" i="7"/>
  <c r="M20" i="17"/>
  <c r="I22" i="17"/>
  <c r="I21" i="17"/>
  <c r="I24" i="17"/>
  <c r="I20" i="17"/>
  <c r="I25" i="17"/>
  <c r="I18" i="17"/>
  <c r="C120" i="9"/>
  <c r="K20" i="17"/>
  <c r="H20" i="17"/>
  <c r="H24" i="17"/>
  <c r="H16" i="17" s="1"/>
  <c r="H22" i="17"/>
  <c r="H18" i="17"/>
  <c r="H25" i="17"/>
  <c r="H21" i="17"/>
  <c r="L84" i="12"/>
  <c r="M69" i="12"/>
  <c r="G230" i="14"/>
  <c r="F238" i="14"/>
  <c r="H22" i="8" s="1"/>
  <c r="H57" i="8" s="1"/>
  <c r="H20" i="8"/>
  <c r="T25" i="17"/>
  <c r="T20" i="17"/>
  <c r="T24" i="17"/>
  <c r="T18" i="17"/>
  <c r="T22" i="17"/>
  <c r="O20" i="17"/>
  <c r="F69" i="28"/>
  <c r="J42" i="7"/>
  <c r="C247" i="28"/>
  <c r="D247" i="28" s="1"/>
  <c r="C175" i="4"/>
  <c r="L89" i="12"/>
  <c r="M74" i="12"/>
  <c r="E100" i="28"/>
  <c r="N133" i="7"/>
  <c r="D133" i="7" s="1" a="1"/>
  <c r="D133" i="7" s="1"/>
  <c r="H73" i="28"/>
  <c r="C110" i="28" s="1"/>
  <c r="L43" i="7"/>
  <c r="L113" i="12"/>
  <c r="M21" i="12"/>
  <c r="L36" i="12"/>
  <c r="L51" i="12" s="1"/>
  <c r="L97" i="12" s="1"/>
  <c r="E76" i="28"/>
  <c r="H207" i="12"/>
  <c r="H217" i="12" s="1"/>
  <c r="L14" i="7"/>
  <c r="G3" i="19"/>
  <c r="L12" i="17"/>
  <c r="H209" i="14"/>
  <c r="J4" i="8"/>
  <c r="K5" i="7"/>
  <c r="H5" i="6"/>
  <c r="H44" i="6" s="1"/>
  <c r="G74" i="13"/>
  <c r="G158" i="13" s="1"/>
  <c r="J32" i="7"/>
  <c r="P97" i="13"/>
  <c r="O101" i="13"/>
  <c r="R46" i="7" s="1"/>
  <c r="U16" i="17" l="1"/>
  <c r="P24" i="32"/>
  <c r="I16" i="17"/>
  <c r="C24" i="32"/>
  <c r="T16" i="17"/>
  <c r="O24" i="32"/>
  <c r="K208" i="12"/>
  <c r="O15" i="7"/>
  <c r="N73" i="12"/>
  <c r="M88" i="12"/>
  <c r="O181" i="12"/>
  <c r="N183" i="12"/>
  <c r="O90" i="12"/>
  <c r="P75" i="12"/>
  <c r="P90" i="12" s="1"/>
  <c r="N28" i="13"/>
  <c r="M44" i="13"/>
  <c r="K107" i="17"/>
  <c r="N40" i="13"/>
  <c r="O24" i="13"/>
  <c r="M47" i="13"/>
  <c r="N31" i="13"/>
  <c r="J42" i="17"/>
  <c r="J47" i="17" s="1"/>
  <c r="J45" i="17"/>
  <c r="J40" i="17" s="1"/>
  <c r="J44" i="17"/>
  <c r="J36" i="17" s="1"/>
  <c r="F243" i="28"/>
  <c r="F232" i="28"/>
  <c r="M138" i="13"/>
  <c r="P47" i="7"/>
  <c r="Q97" i="13"/>
  <c r="P101" i="13"/>
  <c r="S46" i="7" s="1"/>
  <c r="M89" i="12"/>
  <c r="M104" i="12" s="1"/>
  <c r="N74" i="12"/>
  <c r="O59" i="28"/>
  <c r="C60" i="28"/>
  <c r="H23" i="17"/>
  <c r="N49" i="13"/>
  <c r="O33" i="13"/>
  <c r="E40" i="28"/>
  <c r="E7" i="16"/>
  <c r="E57" i="9"/>
  <c r="I37" i="7"/>
  <c r="I96" i="7"/>
  <c r="I41" i="7"/>
  <c r="I80" i="7"/>
  <c r="I40" i="7"/>
  <c r="E42" i="28" s="1"/>
  <c r="D21" i="5"/>
  <c r="F48" i="6" a="1"/>
  <c r="F48" i="6" s="1"/>
  <c r="E7" i="32" s="1"/>
  <c r="F22" i="6" a="1"/>
  <c r="F22" i="6" s="1"/>
  <c r="I14" i="23"/>
  <c r="I10" i="23"/>
  <c r="I9" i="23"/>
  <c r="I8" i="23"/>
  <c r="I16" i="23"/>
  <c r="I17" i="23" s="1"/>
  <c r="I19" i="23" s="1"/>
  <c r="I7" i="23"/>
  <c r="I15" i="23"/>
  <c r="I13" i="23"/>
  <c r="J4" i="23"/>
  <c r="I11" i="23"/>
  <c r="I6" i="23"/>
  <c r="I5" i="23"/>
  <c r="I12" i="23"/>
  <c r="F83" i="9"/>
  <c r="E59" i="6"/>
  <c r="G13" i="8" a="1"/>
  <c r="G13" i="8" s="1"/>
  <c r="C22" i="29"/>
  <c r="C289" i="28"/>
  <c r="L148" i="13"/>
  <c r="M39" i="13"/>
  <c r="N23" i="13"/>
  <c r="L132" i="7"/>
  <c r="L35" i="7"/>
  <c r="Q44" i="17"/>
  <c r="Q36" i="17" s="1"/>
  <c r="Q45" i="17"/>
  <c r="Q40" i="17" s="1"/>
  <c r="G218" i="14"/>
  <c r="G219" i="14"/>
  <c r="F234" i="28" s="1"/>
  <c r="M167" i="12"/>
  <c r="L175" i="12"/>
  <c r="O117" i="13"/>
  <c r="N126" i="13"/>
  <c r="N128" i="13" s="1"/>
  <c r="D60" i="28"/>
  <c r="I23" i="17"/>
  <c r="M48" i="13"/>
  <c r="N32" i="13"/>
  <c r="F52" i="28"/>
  <c r="F66" i="28"/>
  <c r="E23" i="19"/>
  <c r="E31" i="19" s="1"/>
  <c r="E36" i="19" s="1"/>
  <c r="K71" i="13"/>
  <c r="J210" i="12"/>
  <c r="K73" i="13"/>
  <c r="N34" i="7" s="1"/>
  <c r="N17" i="7"/>
  <c r="I70" i="28"/>
  <c r="C20" i="29"/>
  <c r="E8" i="30" s="1"/>
  <c r="C287" i="28"/>
  <c r="L51" i="13"/>
  <c r="L136" i="13" s="1"/>
  <c r="N43" i="13"/>
  <c r="O27" i="13"/>
  <c r="S45" i="17"/>
  <c r="S40" i="17" s="1"/>
  <c r="S44" i="17"/>
  <c r="S36" i="17" s="1"/>
  <c r="K213" i="12"/>
  <c r="O24" i="7"/>
  <c r="G149" i="13"/>
  <c r="J150" i="7"/>
  <c r="E240" i="28"/>
  <c r="P59" i="28"/>
  <c r="I18" i="8"/>
  <c r="N69" i="12"/>
  <c r="M84" i="12"/>
  <c r="E53" i="11"/>
  <c r="F241" i="28"/>
  <c r="G18" i="6"/>
  <c r="E60" i="6"/>
  <c r="G30" i="8" a="1"/>
  <c r="G30" i="8" s="1"/>
  <c r="C286" i="28"/>
  <c r="C297" i="28"/>
  <c r="J13" i="4"/>
  <c r="P408" i="29" s="1"/>
  <c r="M122" i="12"/>
  <c r="N30" i="12"/>
  <c r="M45" i="12"/>
  <c r="M60" i="12" s="1"/>
  <c r="J35" i="7"/>
  <c r="J132" i="7"/>
  <c r="M113" i="12"/>
  <c r="N21" i="12"/>
  <c r="M36" i="12"/>
  <c r="M51" i="12" s="1"/>
  <c r="M97" i="12" s="1"/>
  <c r="G15" i="6"/>
  <c r="G86" i="6" s="1"/>
  <c r="G81" i="6"/>
  <c r="G34" i="6" a="1"/>
  <c r="G34" i="6" s="1"/>
  <c r="I11" i="8" s="1" a="1"/>
  <c r="I11" i="8" s="1"/>
  <c r="G14" i="6"/>
  <c r="F6" i="5"/>
  <c r="G13" i="6"/>
  <c r="G24" i="6"/>
  <c r="G49" i="6" a="1"/>
  <c r="G49" i="6" s="1"/>
  <c r="G43" i="6"/>
  <c r="L45" i="13"/>
  <c r="M29" i="13"/>
  <c r="L130" i="12"/>
  <c r="K141" i="12"/>
  <c r="L107" i="17"/>
  <c r="I207" i="12"/>
  <c r="I217" i="12" s="1"/>
  <c r="M14" i="7"/>
  <c r="C66" i="9"/>
  <c r="C80" i="9" s="1"/>
  <c r="I783" i="11"/>
  <c r="E785" i="11"/>
  <c r="L42" i="13"/>
  <c r="M26" i="13"/>
  <c r="M35" i="13" s="1"/>
  <c r="M135" i="13" s="1"/>
  <c r="O86" i="12"/>
  <c r="P71" i="12"/>
  <c r="P86" i="12" s="1"/>
  <c r="O45" i="17"/>
  <c r="O40" i="17" s="1"/>
  <c r="O44" i="17"/>
  <c r="O36" i="17" s="1"/>
  <c r="N46" i="13"/>
  <c r="O30" i="13"/>
  <c r="F3" i="12"/>
  <c r="F34" i="12"/>
  <c r="J74" i="28"/>
  <c r="N56" i="7"/>
  <c r="N26" i="7"/>
  <c r="N55" i="7"/>
  <c r="N115" i="13"/>
  <c r="N139" i="13" s="1"/>
  <c r="O103" i="13"/>
  <c r="Q60" i="7"/>
  <c r="J241" i="28"/>
  <c r="O55" i="17"/>
  <c r="K18" i="6"/>
  <c r="K96" i="17"/>
  <c r="K34" i="17"/>
  <c r="G67" i="28"/>
  <c r="G76" i="28" s="1"/>
  <c r="I746" i="11"/>
  <c r="K21" i="7"/>
  <c r="C59" i="28"/>
  <c r="O107" i="17"/>
  <c r="I44" i="17"/>
  <c r="I36" i="17" s="1"/>
  <c r="I45" i="17"/>
  <c r="I40" i="17" s="1"/>
  <c r="I46" i="17"/>
  <c r="I57" i="17" s="1"/>
  <c r="D12" i="32" s="1"/>
  <c r="I42" i="17"/>
  <c r="I51" i="17"/>
  <c r="I47" i="17"/>
  <c r="I38" i="17" s="1"/>
  <c r="J68" i="28"/>
  <c r="O241" i="28"/>
  <c r="T55" i="17"/>
  <c r="P18" i="6"/>
  <c r="M50" i="13"/>
  <c r="N34" i="13"/>
  <c r="L75" i="28"/>
  <c r="K98" i="12"/>
  <c r="N107" i="17"/>
  <c r="M134" i="7"/>
  <c r="J152" i="13"/>
  <c r="K77" i="17"/>
  <c r="K78" i="17" s="1"/>
  <c r="O118" i="12"/>
  <c r="P26" i="12"/>
  <c r="O41" i="12"/>
  <c r="O56" i="12" s="1"/>
  <c r="M72" i="12"/>
  <c r="L87" i="12"/>
  <c r="L102" i="12" s="1"/>
  <c r="K241" i="28"/>
  <c r="P55" i="17"/>
  <c r="L18" i="6"/>
  <c r="R44" i="17"/>
  <c r="R36" i="17" s="1"/>
  <c r="R45" i="17"/>
  <c r="R40" i="17" s="1"/>
  <c r="M214" i="12"/>
  <c r="Q25" i="7"/>
  <c r="P45" i="17"/>
  <c r="P40" i="17" s="1"/>
  <c r="P44" i="17"/>
  <c r="P36" i="17" s="1"/>
  <c r="L106" i="12"/>
  <c r="O57" i="28"/>
  <c r="O116" i="28" s="1"/>
  <c r="T26" i="17"/>
  <c r="O24" i="5"/>
  <c r="M41" i="13"/>
  <c r="N25" i="13"/>
  <c r="G4" i="19"/>
  <c r="L13" i="17"/>
  <c r="H210" i="14"/>
  <c r="G54" i="9"/>
  <c r="J5" i="8"/>
  <c r="L4" i="7"/>
  <c r="K8" i="7"/>
  <c r="K6" i="7"/>
  <c r="H6" i="6"/>
  <c r="C57" i="28"/>
  <c r="C116" i="28" s="1"/>
  <c r="H26" i="17"/>
  <c r="I49" i="17"/>
  <c r="J138" i="7" a="1"/>
  <c r="J138" i="7" s="1"/>
  <c r="J67" i="7"/>
  <c r="M68" i="12"/>
  <c r="L83" i="12"/>
  <c r="L103" i="12"/>
  <c r="L114" i="12"/>
  <c r="L124" i="12" s="1"/>
  <c r="M22" i="12"/>
  <c r="L37" i="12"/>
  <c r="L52" i="12" s="1"/>
  <c r="L98" i="12" s="1"/>
  <c r="F67" i="28"/>
  <c r="F76" i="28" s="1"/>
  <c r="H746" i="11"/>
  <c r="J122" i="7" a="1"/>
  <c r="J122" i="7" s="1"/>
  <c r="J21" i="7"/>
  <c r="I241" i="28"/>
  <c r="J18" i="6"/>
  <c r="J207" i="12"/>
  <c r="J217" i="12" s="1"/>
  <c r="N14" i="7"/>
  <c r="F83" i="6"/>
  <c r="E91" i="6"/>
  <c r="G42" i="8" a="1"/>
  <c r="G42" i="8" s="1"/>
  <c r="J151" i="13"/>
  <c r="K117" i="17"/>
  <c r="G19" i="6"/>
  <c r="P241" i="28"/>
  <c r="Q18" i="6"/>
  <c r="T42" i="17"/>
  <c r="T44" i="17"/>
  <c r="T36" i="17" s="1"/>
  <c r="T45" i="17"/>
  <c r="T40" i="17" s="1"/>
  <c r="T51" i="17"/>
  <c r="T49" i="17" s="1"/>
  <c r="P72" i="6" s="1"/>
  <c r="T47" i="17"/>
  <c r="T38" i="17" s="1"/>
  <c r="T46" i="17"/>
  <c r="T57" i="17" s="1"/>
  <c r="O12" i="32" s="1"/>
  <c r="M116" i="12"/>
  <c r="N24" i="12"/>
  <c r="M39" i="12"/>
  <c r="M54" i="12" s="1"/>
  <c r="N45" i="17"/>
  <c r="N40" i="17" s="1"/>
  <c r="N44" i="17"/>
  <c r="N36" i="17" s="1"/>
  <c r="N76" i="12"/>
  <c r="M91" i="12"/>
  <c r="H241" i="28"/>
  <c r="M55" i="17"/>
  <c r="I18" i="6"/>
  <c r="K108" i="12"/>
  <c r="D11" i="16"/>
  <c r="D241" i="28"/>
  <c r="I55" i="17"/>
  <c r="E18" i="6"/>
  <c r="F77" i="9"/>
  <c r="F105" i="9"/>
  <c r="F115" i="9"/>
  <c r="N752" i="11"/>
  <c r="N753" i="11" s="1"/>
  <c r="N755" i="11" s="1"/>
  <c r="N756" i="11" s="1"/>
  <c r="P72" i="7" s="1"/>
  <c r="N750" i="11"/>
  <c r="U42" i="17"/>
  <c r="U44" i="17"/>
  <c r="U36" i="17" s="1"/>
  <c r="U51" i="17"/>
  <c r="U49" i="17" s="1"/>
  <c r="Q72" i="6" s="1"/>
  <c r="U47" i="17"/>
  <c r="U38" i="17" s="1"/>
  <c r="U45" i="17"/>
  <c r="U40" i="17" s="1"/>
  <c r="U46" i="17"/>
  <c r="U57" i="17" s="1"/>
  <c r="P12" i="32" s="1"/>
  <c r="K132" i="7"/>
  <c r="K35" i="7"/>
  <c r="H67" i="28"/>
  <c r="J746" i="11"/>
  <c r="L21" i="7"/>
  <c r="D59" i="28"/>
  <c r="O91" i="13"/>
  <c r="P84" i="13"/>
  <c r="L85" i="12"/>
  <c r="L100" i="12" s="1"/>
  <c r="M70" i="12"/>
  <c r="C121" i="9"/>
  <c r="H212" i="14"/>
  <c r="H214" i="14"/>
  <c r="H213" i="14"/>
  <c r="C241" i="28"/>
  <c r="H55" i="17"/>
  <c r="D18" i="6"/>
  <c r="L99" i="12"/>
  <c r="M119" i="12"/>
  <c r="N27" i="12"/>
  <c r="M42" i="12"/>
  <c r="M57" i="12" s="1"/>
  <c r="M103" i="12" s="1"/>
  <c r="F233" i="12"/>
  <c r="F217" i="12"/>
  <c r="G241" i="28"/>
  <c r="L55" i="17"/>
  <c r="H18" i="6"/>
  <c r="J107" i="17"/>
  <c r="J104" i="17"/>
  <c r="J109" i="17" s="1"/>
  <c r="L32" i="17"/>
  <c r="L94" i="17"/>
  <c r="M115" i="12"/>
  <c r="N23" i="12"/>
  <c r="M38" i="12"/>
  <c r="M53" i="12" s="1"/>
  <c r="M99" i="12" s="1"/>
  <c r="M107" i="17"/>
  <c r="M241" i="28"/>
  <c r="N18" i="6"/>
  <c r="M82" i="12"/>
  <c r="N67" i="12"/>
  <c r="O748" i="11"/>
  <c r="E117" i="9"/>
  <c r="F77" i="6"/>
  <c r="E54" i="28" s="1"/>
  <c r="E127" i="28" s="1"/>
  <c r="E128" i="28" s="1"/>
  <c r="L92" i="12"/>
  <c r="L107" i="12" s="1"/>
  <c r="M77" i="12"/>
  <c r="M45" i="17"/>
  <c r="M40" i="17" s="1"/>
  <c r="M44" i="17"/>
  <c r="M36" i="17" s="1"/>
  <c r="E58" i="6"/>
  <c r="G12" i="8" a="1"/>
  <c r="G12" i="8" s="1"/>
  <c r="F219" i="14"/>
  <c r="F27" i="6" s="1"/>
  <c r="K45" i="17"/>
  <c r="K40" i="17" s="1"/>
  <c r="K44" i="17"/>
  <c r="K36" i="17" s="1"/>
  <c r="N241" i="28"/>
  <c r="S55" i="17"/>
  <c r="O18" i="6"/>
  <c r="N120" i="12"/>
  <c r="O28" i="12"/>
  <c r="N43" i="12"/>
  <c r="N58" i="12" s="1"/>
  <c r="J74" i="13"/>
  <c r="J158" i="13" s="1"/>
  <c r="M32" i="7"/>
  <c r="M123" i="12"/>
  <c r="N31" i="12"/>
  <c r="M46" i="12"/>
  <c r="M61" i="12" s="1"/>
  <c r="D57" i="28"/>
  <c r="D116" i="28" s="1"/>
  <c r="I26" i="17"/>
  <c r="C24" i="5"/>
  <c r="L241" i="28"/>
  <c r="Q55" i="17"/>
  <c r="M18" i="6"/>
  <c r="E41" i="28"/>
  <c r="E14" i="19"/>
  <c r="E8" i="16"/>
  <c r="I152" i="7"/>
  <c r="F29" i="6" a="1"/>
  <c r="F29" i="6" s="1"/>
  <c r="I153" i="7" s="1"/>
  <c r="F49" i="6" a="1"/>
  <c r="F49" i="6" s="1"/>
  <c r="L93" i="12"/>
  <c r="F87" i="6"/>
  <c r="P57" i="28"/>
  <c r="P116" i="28" s="1"/>
  <c r="U26" i="17"/>
  <c r="P24" i="5"/>
  <c r="L45" i="17"/>
  <c r="L40" i="17" s="1"/>
  <c r="L44" i="17"/>
  <c r="L36" i="17" s="1"/>
  <c r="H42" i="17"/>
  <c r="H44" i="17"/>
  <c r="H36" i="17" s="1"/>
  <c r="H51" i="17"/>
  <c r="H49" i="17" s="1"/>
  <c r="H47" i="17"/>
  <c r="H38" i="17" s="1"/>
  <c r="H45" i="17"/>
  <c r="H40" i="17" s="1"/>
  <c r="H46" i="17"/>
  <c r="H57" i="17" s="1"/>
  <c r="C12" i="32" s="1"/>
  <c r="M117" i="12"/>
  <c r="N25" i="12"/>
  <c r="M40" i="12"/>
  <c r="M55" i="12" s="1"/>
  <c r="M101" i="12" s="1"/>
  <c r="N121" i="12"/>
  <c r="O29" i="12"/>
  <c r="N44" i="12"/>
  <c r="N59" i="12" s="1"/>
  <c r="N105" i="12" s="1"/>
  <c r="U48" i="17" l="1"/>
  <c r="P10" i="32" s="1"/>
  <c r="I48" i="17"/>
  <c r="D10" i="32" s="1"/>
  <c r="H48" i="17"/>
  <c r="C10" i="32" s="1"/>
  <c r="L108" i="12"/>
  <c r="F89" i="6"/>
  <c r="I119" i="17"/>
  <c r="I120" i="17" s="1"/>
  <c r="E31" i="6" s="1" a="1"/>
  <c r="E31" i="6" s="1"/>
  <c r="E65" i="6" s="1"/>
  <c r="E67" i="6" s="1"/>
  <c r="D12" i="5"/>
  <c r="H113" i="7" a="1"/>
  <c r="H113" i="7" s="1"/>
  <c r="H119" i="17"/>
  <c r="H120" i="17" s="1"/>
  <c r="D31" i="6" s="1" a="1"/>
  <c r="D31" i="6" s="1"/>
  <c r="D65" i="6" s="1"/>
  <c r="D67" i="6" s="1"/>
  <c r="C11" i="32" s="1"/>
  <c r="C12" i="5"/>
  <c r="D72" i="6"/>
  <c r="G111" i="17"/>
  <c r="H111" i="17"/>
  <c r="F31" i="8" a="1"/>
  <c r="F31" i="8" s="1"/>
  <c r="J108" i="17"/>
  <c r="J100" i="17"/>
  <c r="K104" i="17"/>
  <c r="L207" i="12"/>
  <c r="P14" i="7"/>
  <c r="L208" i="12"/>
  <c r="P15" i="7"/>
  <c r="J38" i="17"/>
  <c r="J51" i="17"/>
  <c r="K42" i="17"/>
  <c r="E13" i="19"/>
  <c r="E17" i="19" s="1"/>
  <c r="E19" i="19" s="1"/>
  <c r="E790" i="11"/>
  <c r="E64" i="9"/>
  <c r="O12" i="5"/>
  <c r="G83" i="6"/>
  <c r="F91" i="6"/>
  <c r="H42" i="8" a="1"/>
  <c r="H42" i="8" s="1"/>
  <c r="N113" i="12"/>
  <c r="O21" i="12"/>
  <c r="N36" i="12"/>
  <c r="N51" i="12" s="1"/>
  <c r="C248" i="28"/>
  <c r="C176" i="4"/>
  <c r="C244" i="28"/>
  <c r="H176" i="4"/>
  <c r="U55" i="17"/>
  <c r="M114" i="12"/>
  <c r="M124" i="12" s="1"/>
  <c r="N22" i="12"/>
  <c r="M37" i="12"/>
  <c r="M52" i="12" s="1"/>
  <c r="N41" i="13"/>
  <c r="O25" i="13"/>
  <c r="N50" i="13"/>
  <c r="O34" i="13"/>
  <c r="N138" i="13"/>
  <c r="Q47" i="7"/>
  <c r="M100" i="12"/>
  <c r="L95" i="17"/>
  <c r="L33" i="17"/>
  <c r="K84" i="17"/>
  <c r="L75" i="17"/>
  <c r="K86" i="17"/>
  <c r="K80" i="17"/>
  <c r="K82" i="17" s="1"/>
  <c r="N134" i="7"/>
  <c r="O40" i="13"/>
  <c r="P24" i="13"/>
  <c r="I154" i="7"/>
  <c r="G176" i="4"/>
  <c r="P91" i="13"/>
  <c r="Q84" i="13"/>
  <c r="K152" i="13"/>
  <c r="F260" i="28"/>
  <c r="E247" i="28"/>
  <c r="E175" i="4"/>
  <c r="K74" i="13"/>
  <c r="K158" i="13" s="1"/>
  <c r="N32" i="7"/>
  <c r="P117" i="13"/>
  <c r="O126" i="13"/>
  <c r="O128" i="13" s="1"/>
  <c r="H41" i="28"/>
  <c r="H8" i="16"/>
  <c r="H14" i="19"/>
  <c r="J46" i="17"/>
  <c r="N117" i="12"/>
  <c r="O25" i="12"/>
  <c r="N40" i="12"/>
  <c r="N55" i="12" s="1"/>
  <c r="N101" i="12" s="1"/>
  <c r="K151" i="13"/>
  <c r="N123" i="12"/>
  <c r="O31" i="12"/>
  <c r="N46" i="12"/>
  <c r="N61" i="12" s="1"/>
  <c r="N55" i="17"/>
  <c r="G54" i="6"/>
  <c r="F41" i="28"/>
  <c r="F14" i="19"/>
  <c r="F8" i="16"/>
  <c r="K55" i="17"/>
  <c r="O43" i="13"/>
  <c r="P27" i="13"/>
  <c r="L213" i="12"/>
  <c r="P24" i="7"/>
  <c r="N214" i="12"/>
  <c r="R25" i="7"/>
  <c r="P12" i="5"/>
  <c r="E61" i="6"/>
  <c r="E36" i="6" s="1"/>
  <c r="D44" i="34" s="1"/>
  <c r="M85" i="12"/>
  <c r="N70" i="12"/>
  <c r="J67" i="28"/>
  <c r="L746" i="11"/>
  <c r="N21" i="7"/>
  <c r="O76" i="12"/>
  <c r="N91" i="12"/>
  <c r="O752" i="11"/>
  <c r="O753" i="11" s="1"/>
  <c r="O755" i="11" s="1"/>
  <c r="O756" i="11" s="1"/>
  <c r="Q72" i="7" s="1"/>
  <c r="O750" i="11"/>
  <c r="H45" i="6"/>
  <c r="H68" i="6"/>
  <c r="F49" i="12"/>
  <c r="F65" i="12" s="1"/>
  <c r="F80" i="12" s="1"/>
  <c r="J130" i="7" a="1"/>
  <c r="J130" i="7" s="1"/>
  <c r="J126" i="7" a="1"/>
  <c r="J126" i="7" s="1"/>
  <c r="J123" i="7" a="1"/>
  <c r="J123" i="7" s="1"/>
  <c r="J127" i="7" a="1"/>
  <c r="J127" i="7" s="1"/>
  <c r="J125" i="7" a="1"/>
  <c r="J125" i="7" s="1"/>
  <c r="J124" i="7" a="1"/>
  <c r="J124" i="7" s="1"/>
  <c r="M106" i="12"/>
  <c r="H261" i="28"/>
  <c r="F176" i="4"/>
  <c r="N167" i="12"/>
  <c r="M175" i="12"/>
  <c r="N89" i="12"/>
  <c r="O74" i="12"/>
  <c r="O183" i="12"/>
  <c r="P181" i="12"/>
  <c r="P183" i="12" s="1"/>
  <c r="H220" i="14"/>
  <c r="H231" i="14" s="1"/>
  <c r="N68" i="12"/>
  <c r="M83" i="12"/>
  <c r="M93" i="12" s="1"/>
  <c r="N122" i="12"/>
  <c r="O30" i="12"/>
  <c r="N45" i="12"/>
  <c r="N60" i="12" s="1"/>
  <c r="O23" i="13"/>
  <c r="N39" i="13"/>
  <c r="E9" i="16"/>
  <c r="N119" i="12"/>
  <c r="O27" i="12"/>
  <c r="N42" i="12"/>
  <c r="N57" i="12" s="1"/>
  <c r="K81" i="7" a="1"/>
  <c r="K81" i="7" s="1"/>
  <c r="K69" i="7" a="1"/>
  <c r="K69" i="7" s="1"/>
  <c r="K139" i="7" s="1" a="1"/>
  <c r="K139" i="7" s="1"/>
  <c r="K68" i="7" a="1"/>
  <c r="K68" i="7" s="1"/>
  <c r="K9" i="7"/>
  <c r="K144" i="7" a="1"/>
  <c r="K144" i="7" s="1"/>
  <c r="K142" i="7"/>
  <c r="K143" i="7"/>
  <c r="K141" i="7" a="1"/>
  <c r="K141" i="7" s="1"/>
  <c r="K145" i="7"/>
  <c r="K136" i="7" a="1"/>
  <c r="K136" i="7" s="1"/>
  <c r="K147" i="7"/>
  <c r="K128" i="7" a="1"/>
  <c r="K128" i="7" s="1"/>
  <c r="K129" i="7" a="1"/>
  <c r="K129" i="7" s="1"/>
  <c r="K148" i="7"/>
  <c r="T48" i="17"/>
  <c r="O10" i="32" s="1"/>
  <c r="O46" i="13"/>
  <c r="P30" i="13"/>
  <c r="M42" i="13"/>
  <c r="M51" i="13" s="1"/>
  <c r="M136" i="13" s="1"/>
  <c r="N26" i="13"/>
  <c r="K74" i="28"/>
  <c r="O55" i="7"/>
  <c r="O56" i="7"/>
  <c r="O26" i="7"/>
  <c r="F233" i="28"/>
  <c r="G227" i="14"/>
  <c r="E99" i="28"/>
  <c r="E153" i="28"/>
  <c r="E45" i="28"/>
  <c r="N88" i="12"/>
  <c r="O73" i="12"/>
  <c r="G41" i="28"/>
  <c r="G8" i="16"/>
  <c r="G14" i="19"/>
  <c r="F239" i="28"/>
  <c r="G85" i="6"/>
  <c r="J70" i="28"/>
  <c r="N42" i="7"/>
  <c r="N116" i="12"/>
  <c r="O24" i="12"/>
  <c r="N39" i="12"/>
  <c r="N54" i="12" s="1"/>
  <c r="M35" i="7"/>
  <c r="M132" i="7"/>
  <c r="M42" i="7"/>
  <c r="N82" i="12"/>
  <c r="P748" i="11"/>
  <c r="O67" i="12"/>
  <c r="M75" i="28"/>
  <c r="H3" i="19"/>
  <c r="M12" i="17"/>
  <c r="I209" i="14"/>
  <c r="K4" i="8"/>
  <c r="L5" i="7"/>
  <c r="I5" i="6"/>
  <c r="I44" i="6" s="1"/>
  <c r="L73" i="13"/>
  <c r="O34" i="7" s="1"/>
  <c r="L71" i="13"/>
  <c r="K210" i="12"/>
  <c r="O17" i="7"/>
  <c r="O49" i="13"/>
  <c r="P33" i="13"/>
  <c r="F54" i="6"/>
  <c r="F55" i="6"/>
  <c r="H259" i="28"/>
  <c r="D248" i="28"/>
  <c r="D176" i="4"/>
  <c r="D244" i="28"/>
  <c r="N104" i="12"/>
  <c r="H7" i="19"/>
  <c r="H9" i="19" s="1"/>
  <c r="L28" i="7"/>
  <c r="H7" i="34" s="1"/>
  <c r="H9" i="34" s="1"/>
  <c r="O121" i="12"/>
  <c r="P29" i="12"/>
  <c r="O44" i="12"/>
  <c r="O59" i="12" s="1"/>
  <c r="O105" i="12" s="1"/>
  <c r="O120" i="12"/>
  <c r="P28" i="12"/>
  <c r="O43" i="12"/>
  <c r="O58" i="12" s="1"/>
  <c r="N77" i="12"/>
  <c r="M92" i="12"/>
  <c r="M107" i="12" s="1"/>
  <c r="I13" i="8" a="1"/>
  <c r="I13" i="8" s="1"/>
  <c r="F7" i="19"/>
  <c r="F9" i="19" s="1"/>
  <c r="J28" i="7"/>
  <c r="N72" i="12"/>
  <c r="M87" i="12"/>
  <c r="M102" i="12" s="1"/>
  <c r="O115" i="13"/>
  <c r="O139" i="13" s="1"/>
  <c r="P103" i="13"/>
  <c r="R60" i="7"/>
  <c r="E796" i="11"/>
  <c r="I796" i="11" s="1"/>
  <c r="I785" i="11"/>
  <c r="M130" i="12"/>
  <c r="L141" i="12"/>
  <c r="F238" i="28"/>
  <c r="G84" i="6"/>
  <c r="G16" i="6"/>
  <c r="N84" i="12"/>
  <c r="O69" i="12"/>
  <c r="N48" i="13"/>
  <c r="O32" i="13"/>
  <c r="J8" i="23"/>
  <c r="J16" i="23"/>
  <c r="J17" i="23" s="1"/>
  <c r="J19" i="23" s="1"/>
  <c r="J7" i="23"/>
  <c r="J15" i="23"/>
  <c r="J6" i="23"/>
  <c r="J10" i="23"/>
  <c r="J13" i="23"/>
  <c r="J14" i="23"/>
  <c r="J9" i="23"/>
  <c r="J11" i="23"/>
  <c r="J12" i="23"/>
  <c r="J5" i="23"/>
  <c r="K4" i="23"/>
  <c r="R97" i="13"/>
  <c r="R101" i="13" s="1"/>
  <c r="Q101" i="13"/>
  <c r="T46" i="7" s="1"/>
  <c r="K68" i="28"/>
  <c r="G7" i="19"/>
  <c r="G9" i="19" s="1"/>
  <c r="K28" i="7"/>
  <c r="I67" i="28"/>
  <c r="I76" i="28" s="1"/>
  <c r="K746" i="11"/>
  <c r="M21" i="7"/>
  <c r="G39" i="28"/>
  <c r="G5" i="19"/>
  <c r="G34" i="19" s="1"/>
  <c r="L14" i="17"/>
  <c r="H208" i="14"/>
  <c r="G19" i="12"/>
  <c r="G53" i="9"/>
  <c r="J6" i="8"/>
  <c r="K120" i="7"/>
  <c r="H7" i="6"/>
  <c r="C5" i="17"/>
  <c r="E60" i="11"/>
  <c r="F53" i="11"/>
  <c r="G54" i="5"/>
  <c r="P10" i="5"/>
  <c r="E234" i="28"/>
  <c r="R55" i="17"/>
  <c r="C104" i="28"/>
  <c r="H76" i="28"/>
  <c r="E72" i="6"/>
  <c r="G31" i="8" a="1"/>
  <c r="G31" i="8" s="1"/>
  <c r="I111" i="17"/>
  <c r="G106" i="9"/>
  <c r="G116" i="9" s="1"/>
  <c r="G55" i="9"/>
  <c r="G78" i="9" s="1"/>
  <c r="G79" i="9" s="1"/>
  <c r="N29" i="13"/>
  <c r="M45" i="13"/>
  <c r="E7" i="5"/>
  <c r="F53" i="6"/>
  <c r="O31" i="13"/>
  <c r="N47" i="13"/>
  <c r="H50" i="17"/>
  <c r="C10" i="5"/>
  <c r="H110" i="17"/>
  <c r="N115" i="12"/>
  <c r="O23" i="12"/>
  <c r="N38" i="12"/>
  <c r="N53" i="12" s="1"/>
  <c r="K88" i="17"/>
  <c r="I50" i="17"/>
  <c r="D10" i="5"/>
  <c r="I110" i="17"/>
  <c r="F221" i="14"/>
  <c r="M148" i="13"/>
  <c r="K207" i="12"/>
  <c r="O14" i="7"/>
  <c r="H211" i="14"/>
  <c r="H224" i="14"/>
  <c r="P118" i="12"/>
  <c r="P41" i="12"/>
  <c r="P56" i="12" s="1"/>
  <c r="C107" i="9"/>
  <c r="C82" i="9"/>
  <c r="E55" i="28"/>
  <c r="I56" i="17"/>
  <c r="H56" i="17"/>
  <c r="H58" i="17" s="1"/>
  <c r="C58" i="28" s="1"/>
  <c r="N44" i="13"/>
  <c r="O28" i="13"/>
  <c r="E21" i="32" l="1"/>
  <c r="F7" i="34"/>
  <c r="F21" i="32"/>
  <c r="G7" i="34"/>
  <c r="G9" i="34" s="1"/>
  <c r="D11" i="32"/>
  <c r="D49" i="34"/>
  <c r="U50" i="17"/>
  <c r="G21" i="32"/>
  <c r="J30" i="32"/>
  <c r="J31" i="32" s="1"/>
  <c r="G41" i="32"/>
  <c r="G87" i="6"/>
  <c r="M208" i="12"/>
  <c r="Q15" i="7"/>
  <c r="M94" i="17"/>
  <c r="M32" i="17"/>
  <c r="I41" i="28"/>
  <c r="I14" i="19"/>
  <c r="I8" i="16"/>
  <c r="L152" i="13"/>
  <c r="N103" i="12"/>
  <c r="N83" i="12"/>
  <c r="O68" i="12"/>
  <c r="O138" i="13"/>
  <c r="R47" i="7"/>
  <c r="R84" i="13"/>
  <c r="R91" i="13" s="1"/>
  <c r="Q91" i="13"/>
  <c r="E25" i="19"/>
  <c r="E29" i="19" s="1"/>
  <c r="E21" i="19"/>
  <c r="P40" i="13"/>
  <c r="Q24" i="13"/>
  <c r="G83" i="9"/>
  <c r="E235" i="28"/>
  <c r="G40" i="28"/>
  <c r="G7" i="16"/>
  <c r="G9" i="16" s="1"/>
  <c r="G221" i="12"/>
  <c r="G224" i="12" s="1"/>
  <c r="G231" i="12" s="1"/>
  <c r="G57" i="9"/>
  <c r="K40" i="7"/>
  <c r="K63" i="7"/>
  <c r="K37" i="7"/>
  <c r="K29" i="7"/>
  <c r="F21" i="5"/>
  <c r="D73" i="6"/>
  <c r="H112" i="17"/>
  <c r="F37" i="8" a="1"/>
  <c r="F37" i="8" s="1"/>
  <c r="F38" i="8" s="1"/>
  <c r="G23" i="19"/>
  <c r="O72" i="12"/>
  <c r="N87" i="12"/>
  <c r="N102" i="12" s="1"/>
  <c r="P121" i="12"/>
  <c r="P44" i="12"/>
  <c r="P59" i="12" s="1"/>
  <c r="P105" i="12" s="1"/>
  <c r="P49" i="13"/>
  <c r="Q33" i="13"/>
  <c r="N100" i="12"/>
  <c r="P73" i="12"/>
  <c r="P88" i="12" s="1"/>
  <c r="O88" i="12"/>
  <c r="L151" i="13"/>
  <c r="O119" i="12"/>
  <c r="P27" i="12"/>
  <c r="O42" i="12"/>
  <c r="O57" i="12" s="1"/>
  <c r="J76" i="28"/>
  <c r="P43" i="13"/>
  <c r="Q27" i="13"/>
  <c r="Q117" i="13"/>
  <c r="P126" i="13"/>
  <c r="P128" i="13" s="1"/>
  <c r="K46" i="17"/>
  <c r="K47" i="17"/>
  <c r="P69" i="12"/>
  <c r="P84" i="12" s="1"/>
  <c r="O84" i="12"/>
  <c r="N107" i="12"/>
  <c r="T50" i="17"/>
  <c r="O10" i="5"/>
  <c r="J7" i="19"/>
  <c r="J9" i="19" s="1"/>
  <c r="N28" i="7"/>
  <c r="L74" i="28"/>
  <c r="P26" i="7"/>
  <c r="P55" i="7"/>
  <c r="P56" i="7"/>
  <c r="I790" i="11"/>
  <c r="E794" i="11"/>
  <c r="I794" i="11" s="1"/>
  <c r="G217" i="14"/>
  <c r="G221" i="14" s="1"/>
  <c r="H19" i="8"/>
  <c r="G220" i="14"/>
  <c r="G231" i="14" s="1"/>
  <c r="G232" i="14" s="1"/>
  <c r="G77" i="9"/>
  <c r="G115" i="9"/>
  <c r="G105" i="9"/>
  <c r="F117" i="9"/>
  <c r="G77" i="6"/>
  <c r="F54" i="28" s="1"/>
  <c r="F127" i="28" s="1"/>
  <c r="F128" i="28" s="1"/>
  <c r="O116" i="12"/>
  <c r="P24" i="12"/>
  <c r="O39" i="12"/>
  <c r="O54" i="12" s="1"/>
  <c r="N85" i="12"/>
  <c r="O70" i="12"/>
  <c r="N35" i="7"/>
  <c r="N132" i="7"/>
  <c r="F59" i="6"/>
  <c r="H13" i="8" a="1"/>
  <c r="H13" i="8" s="1"/>
  <c r="O123" i="12"/>
  <c r="P31" i="12"/>
  <c r="O46" i="12"/>
  <c r="O61" i="12" s="1"/>
  <c r="O47" i="13"/>
  <c r="P31" i="13"/>
  <c r="Q73" i="6"/>
  <c r="U112" i="17"/>
  <c r="G3" i="12"/>
  <c r="G34" i="12"/>
  <c r="F40" i="28"/>
  <c r="F7" i="16"/>
  <c r="F221" i="12"/>
  <c r="F224" i="12" s="1"/>
  <c r="F231" i="12" s="1"/>
  <c r="F57" i="9"/>
  <c r="J63" i="7"/>
  <c r="J37" i="7"/>
  <c r="J40" i="7"/>
  <c r="J41" i="7" s="1"/>
  <c r="E21" i="5"/>
  <c r="G22" i="6" a="1"/>
  <c r="G22" i="6" s="1"/>
  <c r="G48" i="6" a="1"/>
  <c r="G48" i="6" s="1"/>
  <c r="F7" i="32" s="1"/>
  <c r="H40" i="28"/>
  <c r="H7" i="16"/>
  <c r="H9" i="16" s="1"/>
  <c r="H221" i="12"/>
  <c r="H224" i="12" s="1"/>
  <c r="H231" i="12" s="1"/>
  <c r="H57" i="9"/>
  <c r="L63" i="7"/>
  <c r="L37" i="7"/>
  <c r="L29" i="7"/>
  <c r="J30" i="5"/>
  <c r="J31" i="5" s="1"/>
  <c r="C67" i="29" s="1"/>
  <c r="G41" i="5"/>
  <c r="G21" i="5"/>
  <c r="L40" i="7"/>
  <c r="G42" i="32" s="1"/>
  <c r="K70" i="28"/>
  <c r="G89" i="6"/>
  <c r="O29" i="13"/>
  <c r="N45" i="13"/>
  <c r="K109" i="17"/>
  <c r="K108" i="17" s="1"/>
  <c r="H23" i="19"/>
  <c r="M71" i="13"/>
  <c r="M73" i="13"/>
  <c r="P34" i="7" s="1"/>
  <c r="L210" i="12"/>
  <c r="P17" i="7"/>
  <c r="L74" i="13"/>
  <c r="L158" i="13" s="1"/>
  <c r="O32" i="7"/>
  <c r="K138" i="7" a="1"/>
  <c r="K138" i="7" s="1"/>
  <c r="O214" i="12"/>
  <c r="S25" i="7"/>
  <c r="C255" i="28"/>
  <c r="C249" i="28"/>
  <c r="P115" i="13"/>
  <c r="P139" i="13" s="1"/>
  <c r="Q103" i="13"/>
  <c r="S60" i="7"/>
  <c r="F240" i="28"/>
  <c r="N42" i="13"/>
  <c r="N51" i="13" s="1"/>
  <c r="N136" i="13" s="1"/>
  <c r="O26" i="13"/>
  <c r="E11" i="16"/>
  <c r="P214" i="12"/>
  <c r="T25" i="7"/>
  <c r="D44" i="16"/>
  <c r="D65" i="9"/>
  <c r="D66" i="9" s="1"/>
  <c r="D80" i="9" s="1"/>
  <c r="H110" i="7"/>
  <c r="E76" i="6"/>
  <c r="D53" i="28" s="1"/>
  <c r="D126" i="28" s="1"/>
  <c r="E73" i="6"/>
  <c r="I112" i="17"/>
  <c r="G37" i="8" a="1"/>
  <c r="G37" i="8" s="1"/>
  <c r="G38" i="8" s="1"/>
  <c r="M141" i="12"/>
  <c r="N130" i="12"/>
  <c r="O134" i="7"/>
  <c r="P46" i="13"/>
  <c r="Q30" i="13"/>
  <c r="O39" i="13"/>
  <c r="P23" i="13"/>
  <c r="O35" i="13"/>
  <c r="O135" i="13" s="1"/>
  <c r="O89" i="12"/>
  <c r="O104" i="12" s="1"/>
  <c r="P74" i="12"/>
  <c r="P89" i="12" s="1"/>
  <c r="O91" i="12"/>
  <c r="P76" i="12"/>
  <c r="P91" i="12" s="1"/>
  <c r="O117" i="12"/>
  <c r="P25" i="12"/>
  <c r="O40" i="12"/>
  <c r="O55" i="12" s="1"/>
  <c r="O101" i="12" s="1"/>
  <c r="L76" i="17" a="1"/>
  <c r="L76" i="17" s="1"/>
  <c r="O41" i="13"/>
  <c r="P25" i="13"/>
  <c r="C61" i="28"/>
  <c r="C121" i="28" s="1"/>
  <c r="C11" i="5"/>
  <c r="F55" i="28"/>
  <c r="F60" i="6"/>
  <c r="H30" i="8" a="1"/>
  <c r="H30" i="8" s="1"/>
  <c r="O113" i="12"/>
  <c r="P21" i="12"/>
  <c r="O36" i="12"/>
  <c r="O51" i="12" s="1"/>
  <c r="O50" i="13"/>
  <c r="P34" i="13"/>
  <c r="L96" i="17"/>
  <c r="L34" i="17"/>
  <c r="O44" i="13"/>
  <c r="P28" i="13"/>
  <c r="F58" i="6"/>
  <c r="H12" i="8" a="1"/>
  <c r="H12" i="8" s="1"/>
  <c r="H219" i="14"/>
  <c r="H218" i="14"/>
  <c r="J43" i="5"/>
  <c r="P42" i="5"/>
  <c r="C6" i="29" s="1"/>
  <c r="P41" i="5"/>
  <c r="J20" i="17"/>
  <c r="T21" i="17"/>
  <c r="U21" i="17"/>
  <c r="O82" i="12"/>
  <c r="P67" i="12"/>
  <c r="Q748" i="11"/>
  <c r="K70" i="7"/>
  <c r="N35" i="13"/>
  <c r="N135" i="13" s="1"/>
  <c r="N75" i="28"/>
  <c r="G59" i="6"/>
  <c r="I212" i="14"/>
  <c r="I214" i="14"/>
  <c r="I213" i="14"/>
  <c r="C21" i="29"/>
  <c r="C8" i="30" s="1"/>
  <c r="C288" i="28"/>
  <c r="F23" i="19"/>
  <c r="N148" i="13"/>
  <c r="L68" i="28"/>
  <c r="G243" i="28"/>
  <c r="G232" i="28"/>
  <c r="H225" i="14"/>
  <c r="H270" i="28"/>
  <c r="F56" i="11"/>
  <c r="F60" i="11"/>
  <c r="F51" i="11"/>
  <c r="G52" i="5"/>
  <c r="C19" i="29" s="1"/>
  <c r="C5" i="30" s="1"/>
  <c r="F52" i="11"/>
  <c r="F57" i="11"/>
  <c r="F58" i="11"/>
  <c r="F50" i="11"/>
  <c r="K16" i="23"/>
  <c r="K17" i="23" s="1"/>
  <c r="K19" i="23" s="1"/>
  <c r="K15" i="23"/>
  <c r="K6" i="23"/>
  <c r="K14" i="23"/>
  <c r="K9" i="23"/>
  <c r="K8" i="23"/>
  <c r="K10" i="23"/>
  <c r="K11" i="23"/>
  <c r="L4" i="23"/>
  <c r="K13" i="23"/>
  <c r="K12" i="23"/>
  <c r="K7" i="23"/>
  <c r="K5" i="23"/>
  <c r="G66" i="28"/>
  <c r="G52" i="28"/>
  <c r="K67" i="28"/>
  <c r="M746" i="11"/>
  <c r="O21" i="7"/>
  <c r="N99" i="12"/>
  <c r="I7" i="19"/>
  <c r="I9" i="19" s="1"/>
  <c r="M28" i="7"/>
  <c r="O48" i="13"/>
  <c r="P32" i="13"/>
  <c r="O77" i="12"/>
  <c r="N92" i="12"/>
  <c r="D255" i="28"/>
  <c r="D249" i="28"/>
  <c r="P752" i="11"/>
  <c r="P753" i="11" s="1"/>
  <c r="P755" i="11" s="1"/>
  <c r="P756" i="11" s="1"/>
  <c r="R72" i="7" s="1"/>
  <c r="P750" i="11"/>
  <c r="N106" i="12"/>
  <c r="M213" i="12"/>
  <c r="Q24" i="7"/>
  <c r="M98" i="12"/>
  <c r="M108" i="12" s="1"/>
  <c r="F235" i="28"/>
  <c r="F174" i="4" s="1"/>
  <c r="L67" i="28"/>
  <c r="N746" i="11"/>
  <c r="P21" i="7"/>
  <c r="P120" i="12"/>
  <c r="P43" i="12"/>
  <c r="P58" i="12" s="1"/>
  <c r="P104" i="12" s="1"/>
  <c r="I58" i="17"/>
  <c r="D58" i="28" s="1"/>
  <c r="H112" i="7" a="1"/>
  <c r="H112" i="7" s="1"/>
  <c r="H108" i="7" s="1"/>
  <c r="K217" i="12"/>
  <c r="O115" i="12"/>
  <c r="P23" i="12"/>
  <c r="O38" i="12"/>
  <c r="O53" i="12" s="1"/>
  <c r="O99" i="12" s="1"/>
  <c r="H49" i="6" a="1"/>
  <c r="H49" i="6" s="1"/>
  <c r="H81" i="6"/>
  <c r="H14" i="6"/>
  <c r="G6" i="5"/>
  <c r="H13" i="6"/>
  <c r="H24" i="6"/>
  <c r="H22" i="6" a="1"/>
  <c r="H22" i="6" s="1"/>
  <c r="H43" i="6"/>
  <c r="H34" i="6" a="1"/>
  <c r="H34" i="6" s="1"/>
  <c r="J11" i="8" s="1" a="1"/>
  <c r="J11" i="8" s="1"/>
  <c r="H15" i="6"/>
  <c r="H86" i="6" s="1"/>
  <c r="H48" i="6" a="1"/>
  <c r="H48" i="6" s="1"/>
  <c r="G7" i="32" s="1"/>
  <c r="M13" i="17"/>
  <c r="H4" i="19"/>
  <c r="I210" i="14"/>
  <c r="H54" i="9"/>
  <c r="K5" i="8"/>
  <c r="M4" i="7"/>
  <c r="L8" i="7"/>
  <c r="L6" i="7"/>
  <c r="I6" i="6"/>
  <c r="N93" i="12"/>
  <c r="G27" i="6"/>
  <c r="O122" i="12"/>
  <c r="P30" i="12"/>
  <c r="O45" i="12"/>
  <c r="O60" i="12" s="1"/>
  <c r="O167" i="12"/>
  <c r="N175" i="12"/>
  <c r="F111" i="12"/>
  <c r="F128" i="12" s="1"/>
  <c r="F146" i="12" s="1"/>
  <c r="F165" i="12" s="1"/>
  <c r="F96" i="12"/>
  <c r="N114" i="12"/>
  <c r="N124" i="12" s="1"/>
  <c r="O22" i="12"/>
  <c r="N37" i="12"/>
  <c r="N52" i="12" s="1"/>
  <c r="N98" i="12" s="1"/>
  <c r="N97" i="12"/>
  <c r="L217" i="12"/>
  <c r="D61" i="28"/>
  <c r="D121" i="28" s="1"/>
  <c r="D49" i="16"/>
  <c r="D11" i="5"/>
  <c r="C29" i="16" l="1"/>
  <c r="C29" i="34"/>
  <c r="H21" i="32"/>
  <c r="I7" i="34"/>
  <c r="I9" i="34" s="1"/>
  <c r="I21" i="32"/>
  <c r="J7" i="34"/>
  <c r="J9" i="34" s="1"/>
  <c r="D29" i="16"/>
  <c r="D29" i="34"/>
  <c r="F9" i="34"/>
  <c r="F61" i="6"/>
  <c r="F36" i="6" s="1"/>
  <c r="E44" i="34" s="1"/>
  <c r="N208" i="12"/>
  <c r="R15" i="7"/>
  <c r="J23" i="19"/>
  <c r="L117" i="17"/>
  <c r="H19" i="6"/>
  <c r="M207" i="12"/>
  <c r="Q14" i="7"/>
  <c r="G49" i="12"/>
  <c r="G65" i="12" s="1"/>
  <c r="G80" i="12" s="1"/>
  <c r="K126" i="7" a="1"/>
  <c r="K126" i="7" s="1"/>
  <c r="K123" i="7" a="1"/>
  <c r="K123" i="7" s="1"/>
  <c r="K122" i="7" a="1"/>
  <c r="K122" i="7" s="1"/>
  <c r="K124" i="7" a="1"/>
  <c r="K124" i="7" s="1"/>
  <c r="K127" i="7" a="1"/>
  <c r="K127" i="7" s="1"/>
  <c r="K130" i="7" a="1"/>
  <c r="K130" i="7" s="1"/>
  <c r="K125" i="7" a="1"/>
  <c r="K125" i="7" s="1"/>
  <c r="N108" i="12"/>
  <c r="M95" i="17"/>
  <c r="M33" i="17"/>
  <c r="G238" i="28"/>
  <c r="H84" i="6"/>
  <c r="H16" i="6"/>
  <c r="I40" i="28"/>
  <c r="I7" i="16"/>
  <c r="I9" i="16" s="1"/>
  <c r="I57" i="9"/>
  <c r="I221" i="12"/>
  <c r="I224" i="12" s="1"/>
  <c r="I231" i="12" s="1"/>
  <c r="M40" i="7"/>
  <c r="I42" i="28" s="1"/>
  <c r="M63" i="7"/>
  <c r="M37" i="7"/>
  <c r="M29" i="7"/>
  <c r="H21" i="5"/>
  <c r="G234" i="28"/>
  <c r="L88" i="17"/>
  <c r="P39" i="13"/>
  <c r="Q23" i="13"/>
  <c r="F244" i="28"/>
  <c r="F247" i="28"/>
  <c r="F261" i="28"/>
  <c r="F175" i="4"/>
  <c r="H153" i="28"/>
  <c r="H152" i="28"/>
  <c r="E88" i="4" s="1"/>
  <c r="H99" i="28"/>
  <c r="O85" i="12"/>
  <c r="O100" i="12" s="1"/>
  <c r="P70" i="12"/>
  <c r="P85" i="12" s="1"/>
  <c r="H230" i="14"/>
  <c r="H232" i="14" s="1"/>
  <c r="G235" i="14"/>
  <c r="P138" i="13"/>
  <c r="S47" i="7"/>
  <c r="G233" i="28"/>
  <c r="G235" i="28" s="1"/>
  <c r="G174" i="4" s="1"/>
  <c r="H227" i="14"/>
  <c r="H42" i="28"/>
  <c r="G42" i="5"/>
  <c r="C60" i="29" s="1"/>
  <c r="J41" i="28"/>
  <c r="J14" i="19"/>
  <c r="J8" i="16"/>
  <c r="F13" i="19"/>
  <c r="F64" i="9"/>
  <c r="J111" i="7"/>
  <c r="G66" i="6"/>
  <c r="M74" i="28"/>
  <c r="Q56" i="7"/>
  <c r="Q55" i="7"/>
  <c r="Q26" i="7"/>
  <c r="I23" i="19"/>
  <c r="L13" i="23"/>
  <c r="L15" i="23"/>
  <c r="L14" i="23"/>
  <c r="L9" i="23"/>
  <c r="L16" i="23"/>
  <c r="L17" i="23" s="1"/>
  <c r="L19" i="23" s="1"/>
  <c r="L8" i="23"/>
  <c r="L10" i="23"/>
  <c r="L11" i="23"/>
  <c r="L12" i="23"/>
  <c r="L7" i="23"/>
  <c r="L6" i="23"/>
  <c r="M4" i="23"/>
  <c r="L5" i="23"/>
  <c r="H149" i="13"/>
  <c r="K150" i="7"/>
  <c r="K67" i="7"/>
  <c r="L104" i="17"/>
  <c r="K100" i="17"/>
  <c r="C59" i="29"/>
  <c r="G53" i="6"/>
  <c r="F7" i="5"/>
  <c r="F9" i="16"/>
  <c r="I20" i="8"/>
  <c r="H23" i="8"/>
  <c r="E24" i="16" s="1"/>
  <c r="P73" i="6"/>
  <c r="T112" i="17"/>
  <c r="Q126" i="13"/>
  <c r="Q128" i="13" s="1"/>
  <c r="R117" i="13"/>
  <c r="R126" i="13" s="1"/>
  <c r="R128" i="13" s="1"/>
  <c r="R138" i="13" s="1"/>
  <c r="P113" i="12"/>
  <c r="P36" i="12"/>
  <c r="P51" i="12" s="1"/>
  <c r="J40" i="28"/>
  <c r="J7" i="16"/>
  <c r="J221" i="12"/>
  <c r="J224" i="12" s="1"/>
  <c r="J231" i="12" s="1"/>
  <c r="J57" i="9"/>
  <c r="N29" i="7"/>
  <c r="N63" i="7"/>
  <c r="N37" i="7"/>
  <c r="N40" i="7"/>
  <c r="J42" i="28" s="1"/>
  <c r="I21" i="5"/>
  <c r="G42" i="28"/>
  <c r="E44" i="16"/>
  <c r="E65" i="9"/>
  <c r="E66" i="9" s="1"/>
  <c r="E80" i="9" s="1"/>
  <c r="I110" i="7"/>
  <c r="F76" i="6"/>
  <c r="E53" i="28" s="1"/>
  <c r="E126" i="28" s="1"/>
  <c r="O35" i="7"/>
  <c r="O132" i="7"/>
  <c r="H217" i="14"/>
  <c r="H221" i="14" s="1"/>
  <c r="I19" i="8"/>
  <c r="R27" i="13"/>
  <c r="R43" i="13" s="1"/>
  <c r="Q43" i="13"/>
  <c r="G153" i="28"/>
  <c r="G152" i="28"/>
  <c r="G99" i="28"/>
  <c r="K7" i="19"/>
  <c r="K9" i="19" s="1"/>
  <c r="O28" i="7"/>
  <c r="P82" i="12"/>
  <c r="R748" i="11"/>
  <c r="P44" i="13"/>
  <c r="Q28" i="13"/>
  <c r="Q46" i="13"/>
  <c r="R30" i="13"/>
  <c r="R46" i="13" s="1"/>
  <c r="D107" i="9"/>
  <c r="D82" i="9"/>
  <c r="Q115" i="13"/>
  <c r="Q139" i="13" s="1"/>
  <c r="R103" i="13"/>
  <c r="R115" i="13" s="1"/>
  <c r="R139" i="13" s="1"/>
  <c r="T60" i="7"/>
  <c r="P29" i="13"/>
  <c r="O45" i="13"/>
  <c r="F153" i="28"/>
  <c r="F99" i="28"/>
  <c r="F152" i="28"/>
  <c r="Q31" i="13"/>
  <c r="P47" i="13"/>
  <c r="P116" i="12"/>
  <c r="P39" i="12"/>
  <c r="P54" i="12" s="1"/>
  <c r="P100" i="12" s="1"/>
  <c r="Q49" i="13"/>
  <c r="R33" i="13"/>
  <c r="R49" i="13" s="1"/>
  <c r="E250" i="28"/>
  <c r="F250" i="28" s="1"/>
  <c r="I68" i="6"/>
  <c r="I45" i="6"/>
  <c r="H53" i="6"/>
  <c r="G7" i="5"/>
  <c r="G239" i="28"/>
  <c r="H85" i="6"/>
  <c r="P117" i="12"/>
  <c r="P40" i="12"/>
  <c r="P55" i="12" s="1"/>
  <c r="P101" i="12" s="1"/>
  <c r="L70" i="28"/>
  <c r="L76" i="28" s="1"/>
  <c r="H83" i="6"/>
  <c r="G91" i="6"/>
  <c r="I42" i="8" a="1"/>
  <c r="I42" i="8" s="1"/>
  <c r="K41" i="7"/>
  <c r="O114" i="12"/>
  <c r="O124" i="12" s="1"/>
  <c r="P22" i="12"/>
  <c r="O37" i="12"/>
  <c r="O52" i="12" s="1"/>
  <c r="Q750" i="11"/>
  <c r="Q752" i="11"/>
  <c r="Q753" i="11" s="1"/>
  <c r="Q755" i="11" s="1"/>
  <c r="Q756" i="11" s="1"/>
  <c r="S72" i="7" s="1"/>
  <c r="H39" i="28"/>
  <c r="H5" i="19"/>
  <c r="H34" i="19" s="1"/>
  <c r="M14" i="17"/>
  <c r="I208" i="14"/>
  <c r="H19" i="12"/>
  <c r="K6" i="8"/>
  <c r="H53" i="9"/>
  <c r="L120" i="7"/>
  <c r="I7" i="6"/>
  <c r="O148" i="13"/>
  <c r="P60" i="28"/>
  <c r="U23" i="17"/>
  <c r="U56" i="17"/>
  <c r="P75" i="28"/>
  <c r="F112" i="28" s="1"/>
  <c r="C251" i="28"/>
  <c r="C177" i="4"/>
  <c r="C254" i="28"/>
  <c r="L41" i="7"/>
  <c r="F42" i="28"/>
  <c r="O107" i="12"/>
  <c r="M152" i="13"/>
  <c r="O103" i="12"/>
  <c r="O83" i="12"/>
  <c r="O93" i="12" s="1"/>
  <c r="P68" i="12"/>
  <c r="P83" i="12" s="1"/>
  <c r="M68" i="28"/>
  <c r="N213" i="12"/>
  <c r="R24" i="7"/>
  <c r="L69" i="7" a="1"/>
  <c r="L69" i="7" s="1"/>
  <c r="L139" i="7" s="1" a="1"/>
  <c r="L139" i="7" s="1"/>
  <c r="L81" i="7" a="1"/>
  <c r="L81" i="7" s="1"/>
  <c r="L70" i="7"/>
  <c r="L68" i="7" a="1"/>
  <c r="L68" i="7" s="1"/>
  <c r="L9" i="7"/>
  <c r="L142" i="7"/>
  <c r="L145" i="7"/>
  <c r="L143" i="7"/>
  <c r="L141" i="7" a="1"/>
  <c r="L141" i="7" s="1"/>
  <c r="L144" i="7" a="1"/>
  <c r="L144" i="7" s="1"/>
  <c r="L136" i="7" a="1"/>
  <c r="L136" i="7" s="1"/>
  <c r="L129" i="7" a="1"/>
  <c r="L129" i="7" s="1"/>
  <c r="L128" i="7" a="1"/>
  <c r="L128" i="7" s="1"/>
  <c r="L147" i="7"/>
  <c r="L148" i="7"/>
  <c r="L7" i="19"/>
  <c r="L9" i="19" s="1"/>
  <c r="P28" i="7"/>
  <c r="D251" i="28"/>
  <c r="D177" i="4"/>
  <c r="D254" i="28"/>
  <c r="K76" i="28"/>
  <c r="O60" i="28"/>
  <c r="T23" i="17"/>
  <c r="T56" i="17"/>
  <c r="P41" i="13"/>
  <c r="Q25" i="13"/>
  <c r="P134" i="7"/>
  <c r="P123" i="12"/>
  <c r="P46" i="12"/>
  <c r="P61" i="12" s="1"/>
  <c r="P107" i="12" s="1"/>
  <c r="M151" i="13"/>
  <c r="P119" i="12"/>
  <c r="P42" i="12"/>
  <c r="P57" i="12" s="1"/>
  <c r="P103" i="12" s="1"/>
  <c r="L42" i="17"/>
  <c r="K38" i="17"/>
  <c r="K51" i="17"/>
  <c r="I224" i="14"/>
  <c r="I211" i="14"/>
  <c r="P115" i="12"/>
  <c r="P38" i="12"/>
  <c r="P53" i="12" s="1"/>
  <c r="P99" i="12" s="1"/>
  <c r="I220" i="14"/>
  <c r="I231" i="14" s="1"/>
  <c r="I3" i="19"/>
  <c r="N12" i="17"/>
  <c r="J209" i="14"/>
  <c r="L4" i="8"/>
  <c r="M5" i="7"/>
  <c r="J5" i="6"/>
  <c r="J44" i="6" s="1"/>
  <c r="E241" i="28"/>
  <c r="J55" i="17"/>
  <c r="F18" i="6"/>
  <c r="J21" i="17"/>
  <c r="J24" i="17" s="1"/>
  <c r="D24" i="32" s="1"/>
  <c r="C32" i="28"/>
  <c r="P50" i="13"/>
  <c r="Q34" i="13"/>
  <c r="N141" i="12"/>
  <c r="O130" i="12"/>
  <c r="M74" i="13"/>
  <c r="M158" i="13" s="1"/>
  <c r="P32" i="7"/>
  <c r="O106" i="12"/>
  <c r="H54" i="6"/>
  <c r="H59" i="6" s="1"/>
  <c r="C5" i="29"/>
  <c r="P49" i="5"/>
  <c r="L77" i="17"/>
  <c r="N73" i="13"/>
  <c r="Q34" i="7" s="1"/>
  <c r="N71" i="13"/>
  <c r="M210" i="12"/>
  <c r="Q17" i="7"/>
  <c r="O42" i="7"/>
  <c r="I150" i="13"/>
  <c r="L149" i="7"/>
  <c r="O87" i="12"/>
  <c r="O102" i="12" s="1"/>
  <c r="P72" i="12"/>
  <c r="P87" i="12" s="1"/>
  <c r="P102" i="12" s="1"/>
  <c r="R24" i="13"/>
  <c r="R40" i="13" s="1"/>
  <c r="Q40" i="13"/>
  <c r="Q32" i="13"/>
  <c r="P48" i="13"/>
  <c r="O175" i="12"/>
  <c r="P167" i="12"/>
  <c r="P175" i="12" s="1"/>
  <c r="P122" i="12"/>
  <c r="P45" i="12"/>
  <c r="P60" i="12" s="1"/>
  <c r="P106" i="12" s="1"/>
  <c r="H106" i="9"/>
  <c r="H116" i="9" s="1"/>
  <c r="H55" i="9"/>
  <c r="H78" i="9" s="1"/>
  <c r="H79" i="9" s="1"/>
  <c r="P77" i="12"/>
  <c r="P92" i="12" s="1"/>
  <c r="O92" i="12"/>
  <c r="I225" i="14"/>
  <c r="J18" i="8"/>
  <c r="O97" i="12"/>
  <c r="L78" i="17"/>
  <c r="P26" i="13"/>
  <c r="O42" i="13"/>
  <c r="O51" i="13" s="1"/>
  <c r="O136" i="13" s="1"/>
  <c r="O75" i="28"/>
  <c r="G150" i="13"/>
  <c r="J149" i="7"/>
  <c r="H150" i="13"/>
  <c r="K149" i="7"/>
  <c r="K21" i="32" l="1"/>
  <c r="L7" i="34"/>
  <c r="L9" i="34" s="1"/>
  <c r="J21" i="32"/>
  <c r="K7" i="34"/>
  <c r="G43" i="5"/>
  <c r="C61" i="29" s="1"/>
  <c r="G43" i="32"/>
  <c r="H87" i="6"/>
  <c r="H58" i="6"/>
  <c r="O208" i="12"/>
  <c r="S15" i="7"/>
  <c r="K23" i="19"/>
  <c r="N207" i="12"/>
  <c r="R14" i="7"/>
  <c r="M67" i="28"/>
  <c r="M76" i="28" s="1"/>
  <c r="O746" i="11"/>
  <c r="Q21" i="7"/>
  <c r="Q28" i="7" s="1"/>
  <c r="M75" i="17"/>
  <c r="L84" i="17"/>
  <c r="L86" i="17"/>
  <c r="L80" i="17"/>
  <c r="L82" i="17" s="1"/>
  <c r="O213" i="12"/>
  <c r="S24" i="7"/>
  <c r="L138" i="7" a="1"/>
  <c r="L138" i="7" s="1"/>
  <c r="L67" i="7"/>
  <c r="E107" i="9"/>
  <c r="C182" i="9" s="1"/>
  <c r="E82" i="9"/>
  <c r="M217" i="12"/>
  <c r="E57" i="28"/>
  <c r="E116" i="28" s="1"/>
  <c r="J48" i="17"/>
  <c r="E10" i="32" s="1"/>
  <c r="C93" i="9"/>
  <c r="D24" i="5"/>
  <c r="K18" i="17"/>
  <c r="J16" i="17"/>
  <c r="J22" i="17"/>
  <c r="H27" i="6"/>
  <c r="H260" i="28"/>
  <c r="E248" i="28"/>
  <c r="E176" i="4"/>
  <c r="I176" i="4" s="1"/>
  <c r="E244" i="28"/>
  <c r="Q241" i="28"/>
  <c r="I267" i="28" s="1"/>
  <c r="J267" i="28" s="1"/>
  <c r="J9" i="16"/>
  <c r="I153" i="28"/>
  <c r="I152" i="28"/>
  <c r="I99" i="28"/>
  <c r="P42" i="13"/>
  <c r="Q26" i="13"/>
  <c r="P213" i="12"/>
  <c r="T24" i="7"/>
  <c r="K18" i="8"/>
  <c r="P132" i="7"/>
  <c r="P35" i="7"/>
  <c r="P37" i="7" s="1"/>
  <c r="M96" i="17"/>
  <c r="M34" i="17"/>
  <c r="N13" i="17"/>
  <c r="J210" i="14"/>
  <c r="I4" i="19"/>
  <c r="I54" i="9"/>
  <c r="L5" i="8"/>
  <c r="N4" i="7"/>
  <c r="M8" i="7"/>
  <c r="M6" i="7"/>
  <c r="J6" i="6"/>
  <c r="H243" i="28"/>
  <c r="H232" i="28"/>
  <c r="L23" i="19"/>
  <c r="H89" i="6"/>
  <c r="R31" i="13"/>
  <c r="R47" i="13" s="1"/>
  <c r="Q47" i="13"/>
  <c r="P97" i="12"/>
  <c r="G58" i="6"/>
  <c r="I12" i="8" a="1"/>
  <c r="I12" i="8" s="1"/>
  <c r="M17" i="23"/>
  <c r="M19" i="23" s="1"/>
  <c r="M14" i="23"/>
  <c r="M13" i="23"/>
  <c r="M16" i="23"/>
  <c r="M9" i="23"/>
  <c r="M8" i="23"/>
  <c r="M10" i="23"/>
  <c r="M11" i="23"/>
  <c r="M12" i="23"/>
  <c r="M15" i="23"/>
  <c r="M7" i="23"/>
  <c r="M6" i="23"/>
  <c r="N4" i="23"/>
  <c r="M5" i="23"/>
  <c r="M41" i="7"/>
  <c r="M70" i="28"/>
  <c r="P130" i="12"/>
  <c r="P141" i="12" s="1"/>
  <c r="O141" i="12"/>
  <c r="H66" i="28"/>
  <c r="H52" i="28"/>
  <c r="P42" i="7"/>
  <c r="H3" i="12"/>
  <c r="H34" i="12"/>
  <c r="I219" i="14"/>
  <c r="I218" i="14"/>
  <c r="L40" i="28"/>
  <c r="L7" i="16"/>
  <c r="L221" i="12"/>
  <c r="L224" i="12" s="1"/>
  <c r="L231" i="12" s="1"/>
  <c r="L57" i="9"/>
  <c r="P29" i="7"/>
  <c r="P63" i="7"/>
  <c r="K21" i="5"/>
  <c r="P40" i="7"/>
  <c r="L42" i="28" s="1"/>
  <c r="J153" i="28"/>
  <c r="J152" i="28"/>
  <c r="J99" i="28"/>
  <c r="Q48" i="13"/>
  <c r="R32" i="13"/>
  <c r="R48" i="13" s="1"/>
  <c r="O73" i="13"/>
  <c r="R34" i="7" s="1"/>
  <c r="R134" i="7" s="1"/>
  <c r="D134" i="7" s="1" a="1"/>
  <c r="D134" i="7" s="1"/>
  <c r="O71" i="13"/>
  <c r="N210" i="12"/>
  <c r="R17" i="7"/>
  <c r="J212" i="14"/>
  <c r="J214" i="14"/>
  <c r="J213" i="14"/>
  <c r="Q41" i="13"/>
  <c r="R25" i="13"/>
  <c r="R41" i="13" s="1"/>
  <c r="N74" i="28"/>
  <c r="R26" i="7"/>
  <c r="R56" i="7"/>
  <c r="R55" i="7"/>
  <c r="Q44" i="13"/>
  <c r="R28" i="13"/>
  <c r="R44" i="13" s="1"/>
  <c r="I217" i="14"/>
  <c r="J19" i="8"/>
  <c r="N41" i="7"/>
  <c r="G117" i="9"/>
  <c r="H77" i="6"/>
  <c r="G54" i="28" s="1"/>
  <c r="N68" i="28"/>
  <c r="G111" i="12"/>
  <c r="G128" i="12" s="1"/>
  <c r="G146" i="12" s="1"/>
  <c r="G165" i="12" s="1"/>
  <c r="G96" i="12"/>
  <c r="Q134" i="7"/>
  <c r="T58" i="17"/>
  <c r="O58" i="28" s="1"/>
  <c r="R750" i="11"/>
  <c r="R752" i="11"/>
  <c r="R753" i="11" s="1"/>
  <c r="R755" i="11" s="1"/>
  <c r="R756" i="11" s="1"/>
  <c r="T72" i="7" s="1"/>
  <c r="K41" i="28"/>
  <c r="K14" i="19"/>
  <c r="K8" i="16"/>
  <c r="Q138" i="13"/>
  <c r="T47" i="7"/>
  <c r="L109" i="17"/>
  <c r="N151" i="13"/>
  <c r="I230" i="14"/>
  <c r="I232" i="14" s="1"/>
  <c r="J20" i="8"/>
  <c r="H235" i="14"/>
  <c r="K83" i="7" s="1"/>
  <c r="P35" i="13"/>
  <c r="P135" i="13" s="1"/>
  <c r="J150" i="13"/>
  <c r="M149" i="7"/>
  <c r="G240" i="28"/>
  <c r="J13" i="8" a="1"/>
  <c r="J13" i="8" s="1"/>
  <c r="H83" i="9"/>
  <c r="N74" i="13"/>
  <c r="N158" i="13" s="1"/>
  <c r="Q32" i="7"/>
  <c r="N94" i="17"/>
  <c r="N32" i="17"/>
  <c r="I14" i="6"/>
  <c r="H6" i="5"/>
  <c r="I13" i="6"/>
  <c r="I24" i="6"/>
  <c r="I22" i="6" a="1"/>
  <c r="I22" i="6" s="1"/>
  <c r="I48" i="6" a="1"/>
  <c r="I48" i="6" s="1"/>
  <c r="H7" i="32" s="1"/>
  <c r="I43" i="6"/>
  <c r="I34" i="6" a="1"/>
  <c r="I34" i="6" s="1"/>
  <c r="K11" i="8" s="1" a="1"/>
  <c r="K11" i="8" s="1"/>
  <c r="I15" i="6"/>
  <c r="I86" i="6" s="1"/>
  <c r="I81" i="6"/>
  <c r="I49" i="6" a="1"/>
  <c r="I49" i="6" s="1"/>
  <c r="C301" i="28"/>
  <c r="C140" i="28"/>
  <c r="O98" i="12"/>
  <c r="O108" i="12" s="1"/>
  <c r="G250" i="28"/>
  <c r="P45" i="13"/>
  <c r="P51" i="13" s="1"/>
  <c r="P136" i="13" s="1"/>
  <c r="Q29" i="13"/>
  <c r="P93" i="12"/>
  <c r="K150" i="13"/>
  <c r="Q39" i="13"/>
  <c r="R23" i="13"/>
  <c r="H77" i="9"/>
  <c r="H105" i="9"/>
  <c r="H115" i="9"/>
  <c r="I149" i="13"/>
  <c r="L150" i="7"/>
  <c r="U58" i="17"/>
  <c r="P58" i="28" s="1"/>
  <c r="Q50" i="13"/>
  <c r="R34" i="13"/>
  <c r="R50" i="13" s="1"/>
  <c r="L47" i="17"/>
  <c r="P148" i="13"/>
  <c r="J83" i="7"/>
  <c r="G236" i="14"/>
  <c r="E60" i="28"/>
  <c r="J56" i="17"/>
  <c r="J23" i="17"/>
  <c r="P114" i="12"/>
  <c r="P124" i="12" s="1"/>
  <c r="P37" i="12"/>
  <c r="P52" i="12" s="1"/>
  <c r="P98" i="12" s="1"/>
  <c r="K40" i="28"/>
  <c r="K7" i="16"/>
  <c r="K221" i="12"/>
  <c r="K224" i="12" s="1"/>
  <c r="K231" i="12" s="1"/>
  <c r="K57" i="9"/>
  <c r="O37" i="7"/>
  <c r="O29" i="7"/>
  <c r="O40" i="7"/>
  <c r="K42" i="28" s="1"/>
  <c r="O63" i="7"/>
  <c r="J21" i="5"/>
  <c r="N152" i="13"/>
  <c r="J12" i="8" a="1"/>
  <c r="J12" i="8" s="1"/>
  <c r="K9" i="34" l="1"/>
  <c r="L21" i="32"/>
  <c r="M7" i="34"/>
  <c r="M9" i="34" s="1"/>
  <c r="P208" i="12"/>
  <c r="T15" i="7"/>
  <c r="L100" i="17"/>
  <c r="M104" i="17"/>
  <c r="L150" i="13"/>
  <c r="J68" i="6"/>
  <c r="J45" i="6"/>
  <c r="G63" i="9"/>
  <c r="G59" i="9"/>
  <c r="N70" i="28"/>
  <c r="P41" i="7"/>
  <c r="H49" i="12"/>
  <c r="H65" i="12" s="1"/>
  <c r="H80" i="12" s="1"/>
  <c r="L124" i="7" a="1"/>
  <c r="L124" i="7" s="1"/>
  <c r="L130" i="7" a="1"/>
  <c r="L130" i="7" s="1"/>
  <c r="L127" i="7" a="1"/>
  <c r="L127" i="7" s="1"/>
  <c r="L123" i="7" a="1"/>
  <c r="L123" i="7" s="1"/>
  <c r="L125" i="7" a="1"/>
  <c r="L125" i="7" s="1"/>
  <c r="L122" i="7" a="1"/>
  <c r="L122" i="7" s="1"/>
  <c r="L126" i="7" a="1"/>
  <c r="L126" i="7" s="1"/>
  <c r="P108" i="12"/>
  <c r="J3" i="19"/>
  <c r="O12" i="17"/>
  <c r="K209" i="14"/>
  <c r="M4" i="8"/>
  <c r="N5" i="7"/>
  <c r="K5" i="6"/>
  <c r="K44" i="6" s="1"/>
  <c r="N67" i="28"/>
  <c r="P746" i="11"/>
  <c r="R21" i="7"/>
  <c r="R28" i="7" s="1"/>
  <c r="N7" i="34" s="1"/>
  <c r="N9" i="34" s="1"/>
  <c r="I221" i="14"/>
  <c r="H234" i="28"/>
  <c r="O207" i="12"/>
  <c r="O217" i="12" s="1"/>
  <c r="S14" i="7"/>
  <c r="I53" i="6"/>
  <c r="I58" i="6" s="1"/>
  <c r="H7" i="5"/>
  <c r="M150" i="13"/>
  <c r="P71" i="13"/>
  <c r="P73" i="13"/>
  <c r="S34" i="7" s="1"/>
  <c r="S134" i="7" s="1"/>
  <c r="O210" i="12"/>
  <c r="S17" i="7"/>
  <c r="E59" i="28"/>
  <c r="J57" i="17"/>
  <c r="E12" i="32" s="1"/>
  <c r="N217" i="12"/>
  <c r="L99" i="28"/>
  <c r="L153" i="28"/>
  <c r="L152" i="28"/>
  <c r="I39" i="28"/>
  <c r="I5" i="19"/>
  <c r="I34" i="19" s="1"/>
  <c r="N14" i="17"/>
  <c r="J208" i="14"/>
  <c r="L6" i="8"/>
  <c r="I53" i="9"/>
  <c r="I19" i="12"/>
  <c r="M120" i="7"/>
  <c r="J7" i="6"/>
  <c r="J220" i="14"/>
  <c r="J231" i="14" s="1"/>
  <c r="F63" i="9"/>
  <c r="F59" i="9"/>
  <c r="I21" i="8" a="1"/>
  <c r="I21" i="8" s="1"/>
  <c r="Q132" i="7"/>
  <c r="Q35" i="7"/>
  <c r="J230" i="14"/>
  <c r="J232" i="14" s="1"/>
  <c r="K20" i="8"/>
  <c r="I235" i="14"/>
  <c r="Q148" i="13"/>
  <c r="O151" i="13"/>
  <c r="O74" i="13"/>
  <c r="O158" i="13" s="1"/>
  <c r="R32" i="7"/>
  <c r="Q71" i="13"/>
  <c r="P210" i="12"/>
  <c r="Q73" i="13"/>
  <c r="T34" i="7" s="1"/>
  <c r="T17" i="7"/>
  <c r="I106" i="9"/>
  <c r="I116" i="9" s="1"/>
  <c r="I55" i="9"/>
  <c r="I78" i="9" s="1"/>
  <c r="I79" i="9" s="1"/>
  <c r="P74" i="28"/>
  <c r="F111" i="28" s="1"/>
  <c r="T56" i="7"/>
  <c r="T55" i="7"/>
  <c r="T26" i="7"/>
  <c r="O74" i="28"/>
  <c r="S56" i="7"/>
  <c r="S26" i="7"/>
  <c r="S55" i="7"/>
  <c r="H239" i="28"/>
  <c r="I85" i="6"/>
  <c r="G127" i="28"/>
  <c r="G128" i="28" s="1"/>
  <c r="G55" i="28"/>
  <c r="O152" i="13"/>
  <c r="Q42" i="7"/>
  <c r="I83" i="6"/>
  <c r="H91" i="6"/>
  <c r="J42" i="8" a="1"/>
  <c r="J42" i="8" s="1"/>
  <c r="K21" i="17"/>
  <c r="K24" i="17" s="1"/>
  <c r="M40" i="28"/>
  <c r="M7" i="16"/>
  <c r="M221" i="12"/>
  <c r="M57" i="9"/>
  <c r="Q29" i="7"/>
  <c r="Q63" i="7"/>
  <c r="L21" i="5"/>
  <c r="H233" i="28"/>
  <c r="I227" i="14"/>
  <c r="L41" i="28"/>
  <c r="L14" i="19"/>
  <c r="L8" i="16"/>
  <c r="L9" i="16" s="1"/>
  <c r="J211" i="14"/>
  <c r="J224" i="14"/>
  <c r="R26" i="13"/>
  <c r="R42" i="13" s="1"/>
  <c r="Q42" i="13"/>
  <c r="R29" i="13"/>
  <c r="R45" i="13" s="1"/>
  <c r="Q45" i="13"/>
  <c r="Q51" i="13" s="1"/>
  <c r="Q136" i="13" s="1"/>
  <c r="M69" i="7" a="1"/>
  <c r="M69" i="7" s="1"/>
  <c r="M139" i="7" s="1" a="1"/>
  <c r="M139" i="7" s="1"/>
  <c r="M68" i="7" a="1"/>
  <c r="M68" i="7" s="1"/>
  <c r="M9" i="7"/>
  <c r="M81" i="7" a="1"/>
  <c r="M81" i="7" s="1"/>
  <c r="M144" i="7" a="1"/>
  <c r="M144" i="7" s="1"/>
  <c r="M141" i="7" a="1"/>
  <c r="M141" i="7" s="1"/>
  <c r="M143" i="7"/>
  <c r="M142" i="7"/>
  <c r="M145" i="7"/>
  <c r="M129" i="7" a="1"/>
  <c r="M129" i="7" s="1"/>
  <c r="M136" i="7" a="1"/>
  <c r="M136" i="7" s="1"/>
  <c r="M128" i="7" a="1"/>
  <c r="M128" i="7" s="1"/>
  <c r="M147" i="7"/>
  <c r="M148" i="7"/>
  <c r="K9" i="16"/>
  <c r="L51" i="17"/>
  <c r="M42" i="17"/>
  <c r="L38" i="17"/>
  <c r="H238" i="28"/>
  <c r="I84" i="6"/>
  <c r="I16" i="6"/>
  <c r="N95" i="17"/>
  <c r="N33" i="17"/>
  <c r="F248" i="28"/>
  <c r="E249" i="28"/>
  <c r="E10" i="5"/>
  <c r="J110" i="17"/>
  <c r="G13" i="19"/>
  <c r="G64" i="9"/>
  <c r="K111" i="7"/>
  <c r="H66" i="6"/>
  <c r="H234" i="14"/>
  <c r="H236" i="14" s="1"/>
  <c r="G238" i="14"/>
  <c r="K152" i="28"/>
  <c r="K99" i="28"/>
  <c r="K153" i="28"/>
  <c r="Q35" i="13"/>
  <c r="Q135" i="13" s="1"/>
  <c r="O41" i="7"/>
  <c r="L46" i="17"/>
  <c r="R39" i="13"/>
  <c r="I54" i="6"/>
  <c r="I59" i="6" s="1"/>
  <c r="C191" i="28"/>
  <c r="O68" i="28"/>
  <c r="G244" i="28"/>
  <c r="G247" i="28"/>
  <c r="G175" i="4"/>
  <c r="N13" i="23"/>
  <c r="N12" i="23"/>
  <c r="N15" i="23"/>
  <c r="N8" i="23"/>
  <c r="N16" i="23"/>
  <c r="N17" i="23" s="1"/>
  <c r="N19" i="23" s="1"/>
  <c r="N14" i="23"/>
  <c r="N10" i="23"/>
  <c r="N11" i="23"/>
  <c r="N5" i="23"/>
  <c r="O4" i="23"/>
  <c r="N7" i="23"/>
  <c r="N6" i="23"/>
  <c r="N9" i="23"/>
  <c r="J118" i="17"/>
  <c r="I112" i="7" a="1"/>
  <c r="I112" i="7" s="1"/>
  <c r="M224" i="12"/>
  <c r="M231" i="12" s="1"/>
  <c r="L108" i="17"/>
  <c r="H235" i="28"/>
  <c r="H174" i="4" s="1"/>
  <c r="M76" i="17" a="1"/>
  <c r="M76" i="17" s="1"/>
  <c r="Q7" i="34" l="1"/>
  <c r="Q9" i="34"/>
  <c r="K22" i="17"/>
  <c r="K23" i="17" s="1"/>
  <c r="E24" i="32"/>
  <c r="M21" i="32"/>
  <c r="N21" i="32"/>
  <c r="I87" i="6"/>
  <c r="I89" i="6" s="1"/>
  <c r="F59" i="28"/>
  <c r="K57" i="17"/>
  <c r="O67" i="28"/>
  <c r="Q746" i="11"/>
  <c r="S21" i="7"/>
  <c r="S28" i="7" s="1"/>
  <c r="Q74" i="13"/>
  <c r="Q158" i="13" s="1"/>
  <c r="T32" i="7"/>
  <c r="I27" i="6"/>
  <c r="R132" i="7"/>
  <c r="D132" i="7" s="1" a="1"/>
  <c r="D132" i="7" s="1"/>
  <c r="R35" i="7"/>
  <c r="I77" i="9"/>
  <c r="I105" i="9"/>
  <c r="I115" i="9"/>
  <c r="O70" i="28"/>
  <c r="K214" i="14"/>
  <c r="K212" i="14"/>
  <c r="K213" i="14"/>
  <c r="J119" i="17"/>
  <c r="J120" i="17" s="1"/>
  <c r="F31" i="6" s="1"/>
  <c r="F65" i="6" s="1"/>
  <c r="F67" i="6" s="1"/>
  <c r="E12" i="5"/>
  <c r="M117" i="17"/>
  <c r="I19" i="6"/>
  <c r="M99" i="28"/>
  <c r="M153" i="28"/>
  <c r="M152" i="28"/>
  <c r="J21" i="8" a="1"/>
  <c r="J21" i="8" s="1"/>
  <c r="I22" i="8"/>
  <c r="O94" i="17"/>
  <c r="O32" i="17"/>
  <c r="R42" i="7"/>
  <c r="K13" i="8" a="1"/>
  <c r="K13" i="8" s="1"/>
  <c r="P151" i="13"/>
  <c r="M41" i="28"/>
  <c r="M8" i="16"/>
  <c r="M9" i="16" s="1"/>
  <c r="M77" i="17"/>
  <c r="M78" i="17" s="1"/>
  <c r="K12" i="8" a="1"/>
  <c r="K12" i="8" s="1"/>
  <c r="P70" i="28"/>
  <c r="F107" i="28" s="1"/>
  <c r="T42" i="7"/>
  <c r="T134" i="7"/>
  <c r="I3" i="12"/>
  <c r="I34" i="12"/>
  <c r="J58" i="17"/>
  <c r="E58" i="28" s="1"/>
  <c r="M109" i="17"/>
  <c r="M108" i="17" s="1"/>
  <c r="E222" i="28"/>
  <c r="C142" i="4"/>
  <c r="H240" i="28"/>
  <c r="Q37" i="7"/>
  <c r="Q151" i="13"/>
  <c r="N96" i="17"/>
  <c r="N34" i="17"/>
  <c r="P74" i="13"/>
  <c r="P158" i="13" s="1"/>
  <c r="S32" i="7"/>
  <c r="J217" i="14"/>
  <c r="K19" i="8"/>
  <c r="P207" i="12"/>
  <c r="P217" i="12" s="1"/>
  <c r="T14" i="7"/>
  <c r="M41" i="32" s="1" a="1"/>
  <c r="M41" i="32" s="1"/>
  <c r="O12" i="23"/>
  <c r="O13" i="23"/>
  <c r="O17" i="23"/>
  <c r="O19" i="23" s="1"/>
  <c r="O14" i="23"/>
  <c r="O16" i="23"/>
  <c r="O10" i="23"/>
  <c r="O11" i="23"/>
  <c r="O7" i="23"/>
  <c r="O15" i="23"/>
  <c r="O5" i="23"/>
  <c r="O9" i="23"/>
  <c r="O6" i="23"/>
  <c r="P4" i="23"/>
  <c r="O8" i="23"/>
  <c r="E251" i="28"/>
  <c r="E177" i="4"/>
  <c r="E254" i="28"/>
  <c r="M47" i="17"/>
  <c r="M70" i="7"/>
  <c r="I243" i="28"/>
  <c r="I232" i="28"/>
  <c r="J225" i="14"/>
  <c r="F57" i="28"/>
  <c r="F116" i="28" s="1"/>
  <c r="K48" i="17"/>
  <c r="F10" i="32" s="1"/>
  <c r="D191" i="9"/>
  <c r="E191" i="9" s="1"/>
  <c r="F191" i="9" s="1"/>
  <c r="E24" i="5"/>
  <c r="K16" i="17"/>
  <c r="L18" i="17"/>
  <c r="Q152" i="13"/>
  <c r="H250" i="28"/>
  <c r="K230" i="14"/>
  <c r="L20" i="8"/>
  <c r="H96" i="12"/>
  <c r="H111" i="12"/>
  <c r="H128" i="12" s="1"/>
  <c r="H146" i="12" s="1"/>
  <c r="H165" i="12" s="1"/>
  <c r="H117" i="9"/>
  <c r="I77" i="6"/>
  <c r="H54" i="28" s="1"/>
  <c r="H127" i="28" s="1"/>
  <c r="H128" i="28" s="1"/>
  <c r="I234" i="14"/>
  <c r="I236" i="14" s="1"/>
  <c r="H238" i="14"/>
  <c r="R51" i="13"/>
  <c r="R136" i="13" s="1"/>
  <c r="G248" i="28"/>
  <c r="F249" i="28"/>
  <c r="F255" i="28" s="1"/>
  <c r="J219" i="14"/>
  <c r="J218" i="14"/>
  <c r="F60" i="28"/>
  <c r="K56" i="17"/>
  <c r="J25" i="17"/>
  <c r="J235" i="14"/>
  <c r="M83" i="7" s="1"/>
  <c r="I66" i="28"/>
  <c r="I52" i="28"/>
  <c r="N40" i="28"/>
  <c r="N7" i="16"/>
  <c r="N221" i="12"/>
  <c r="N224" i="12" s="1"/>
  <c r="N231" i="12" s="1"/>
  <c r="R40" i="7"/>
  <c r="N42" i="28" s="1"/>
  <c r="R63" i="7"/>
  <c r="N57" i="9"/>
  <c r="N21" i="5"/>
  <c r="R37" i="7"/>
  <c r="M21" i="5"/>
  <c r="R29" i="7"/>
  <c r="G249" i="28"/>
  <c r="R35" i="13"/>
  <c r="R135" i="13" s="1"/>
  <c r="E255" i="28"/>
  <c r="N150" i="13"/>
  <c r="I83" i="9"/>
  <c r="P68" i="28"/>
  <c r="F105" i="28" s="1"/>
  <c r="O13" i="17"/>
  <c r="J4" i="19"/>
  <c r="K210" i="14"/>
  <c r="J54" i="9"/>
  <c r="M5" i="8"/>
  <c r="N8" i="7"/>
  <c r="O4" i="7"/>
  <c r="N6" i="7"/>
  <c r="K6" i="6"/>
  <c r="P152" i="13"/>
  <c r="M138" i="7" a="1"/>
  <c r="M138" i="7" s="1"/>
  <c r="M67" i="7"/>
  <c r="Q40" i="7"/>
  <c r="L83" i="7"/>
  <c r="J48" i="6" a="1"/>
  <c r="J48" i="6" s="1"/>
  <c r="I7" i="32" s="1"/>
  <c r="J43" i="6"/>
  <c r="I6" i="5"/>
  <c r="J13" i="6"/>
  <c r="J22" i="6" a="1"/>
  <c r="J22" i="6" s="1"/>
  <c r="J24" i="6"/>
  <c r="J49" i="6" a="1"/>
  <c r="J49" i="6" s="1"/>
  <c r="J14" i="6"/>
  <c r="J15" i="6"/>
  <c r="J86" i="6" s="1"/>
  <c r="J81" i="6"/>
  <c r="J34" i="6" a="1"/>
  <c r="J34" i="6" s="1"/>
  <c r="L11" i="8" s="1" a="1"/>
  <c r="L11" i="8" s="1"/>
  <c r="N76" i="28"/>
  <c r="O21" i="32" l="1"/>
  <c r="O7" i="34"/>
  <c r="O9" i="34" s="1"/>
  <c r="E11" i="32"/>
  <c r="E49" i="34"/>
  <c r="R41" i="7"/>
  <c r="I91" i="6"/>
  <c r="J83" i="6"/>
  <c r="K42" i="8" a="1"/>
  <c r="K42" i="8" s="1"/>
  <c r="O95" i="17"/>
  <c r="O33" i="17"/>
  <c r="L21" i="17"/>
  <c r="L24" i="17" s="1"/>
  <c r="M38" i="17"/>
  <c r="M51" i="17"/>
  <c r="N42" i="17"/>
  <c r="J221" i="14"/>
  <c r="M84" i="17"/>
  <c r="N75" i="17"/>
  <c r="M86" i="17"/>
  <c r="M80" i="17"/>
  <c r="M82" i="17" s="1"/>
  <c r="I238" i="28"/>
  <c r="J84" i="6"/>
  <c r="J16" i="6"/>
  <c r="M46" i="17"/>
  <c r="S132" i="7"/>
  <c r="S35" i="7"/>
  <c r="O76" i="28"/>
  <c r="J149" i="13"/>
  <c r="M150" i="7"/>
  <c r="I63" i="9"/>
  <c r="I59" i="9"/>
  <c r="K232" i="14"/>
  <c r="N104" i="17"/>
  <c r="M100" i="17"/>
  <c r="N41" i="28"/>
  <c r="N8" i="16"/>
  <c r="Q8" i="16" s="1"/>
  <c r="F251" i="28"/>
  <c r="F177" i="4"/>
  <c r="F254" i="28"/>
  <c r="O40" i="28"/>
  <c r="O7" i="16"/>
  <c r="O221" i="12"/>
  <c r="O224" i="12" s="1"/>
  <c r="O231" i="12" s="1"/>
  <c r="O57" i="9"/>
  <c r="S29" i="7"/>
  <c r="S63" i="7"/>
  <c r="S37" i="7"/>
  <c r="O21" i="5"/>
  <c r="S40" i="7"/>
  <c r="O42" i="28" s="1"/>
  <c r="K45" i="6"/>
  <c r="K68" i="6"/>
  <c r="N9" i="16"/>
  <c r="Q7" i="16"/>
  <c r="J49" i="17"/>
  <c r="J26" i="17"/>
  <c r="I49" i="12"/>
  <c r="I65" i="12" s="1"/>
  <c r="I80" i="12" s="1"/>
  <c r="M127" i="7" a="1"/>
  <c r="M127" i="7" s="1"/>
  <c r="M126" i="7" a="1"/>
  <c r="M126" i="7" s="1"/>
  <c r="M123" i="7" a="1"/>
  <c r="M123" i="7" s="1"/>
  <c r="M130" i="7" a="1"/>
  <c r="M130" i="7" s="1"/>
  <c r="M124" i="7" a="1"/>
  <c r="M124" i="7" s="1"/>
  <c r="M122" i="7" a="1"/>
  <c r="M122" i="7" s="1"/>
  <c r="M125" i="7" a="1"/>
  <c r="M125" i="7" s="1"/>
  <c r="I87" i="7"/>
  <c r="I89" i="7" s="1"/>
  <c r="E13" i="34" s="1"/>
  <c r="I113" i="7" a="1"/>
  <c r="I113" i="7" s="1"/>
  <c r="J234" i="14"/>
  <c r="J236" i="14" s="1"/>
  <c r="I238" i="14"/>
  <c r="F10" i="5"/>
  <c r="K110" i="17"/>
  <c r="G255" i="28"/>
  <c r="H248" i="28"/>
  <c r="J53" i="6"/>
  <c r="J58" i="6" s="1"/>
  <c r="I7" i="5"/>
  <c r="K3" i="19"/>
  <c r="P12" i="17"/>
  <c r="L209" i="14"/>
  <c r="N4" i="8"/>
  <c r="O5" i="7"/>
  <c r="L5" i="6"/>
  <c r="L44" i="6" s="1"/>
  <c r="I239" i="28"/>
  <c r="J85" i="6"/>
  <c r="H63" i="9"/>
  <c r="H59" i="9"/>
  <c r="N68" i="7" a="1"/>
  <c r="N68" i="7" s="1"/>
  <c r="N69" i="7" a="1"/>
  <c r="N69" i="7" s="1"/>
  <c r="N139" i="7" s="1" a="1"/>
  <c r="N139" i="7" s="1"/>
  <c r="N81" i="7" a="1"/>
  <c r="N81" i="7" s="1"/>
  <c r="N9" i="7"/>
  <c r="N142" i="7"/>
  <c r="N143" i="7"/>
  <c r="N141" i="7" a="1"/>
  <c r="N141" i="7" s="1"/>
  <c r="N144" i="7" a="1"/>
  <c r="N144" i="7" s="1"/>
  <c r="N145" i="7"/>
  <c r="N128" i="7" a="1"/>
  <c r="N128" i="7" s="1"/>
  <c r="N129" i="7" a="1"/>
  <c r="N129" i="7" s="1"/>
  <c r="N136" i="7" a="1"/>
  <c r="N136" i="7" s="1"/>
  <c r="N148" i="7"/>
  <c r="N147" i="7"/>
  <c r="N149" i="7"/>
  <c r="O150" i="13"/>
  <c r="K118" i="17"/>
  <c r="K58" i="17"/>
  <c r="F58" i="28" s="1"/>
  <c r="P12" i="23"/>
  <c r="P11" i="23"/>
  <c r="P17" i="23"/>
  <c r="P19" i="23" s="1"/>
  <c r="P10" i="23"/>
  <c r="P14" i="23"/>
  <c r="P6" i="23"/>
  <c r="P15" i="23"/>
  <c r="P5" i="23"/>
  <c r="P7" i="23"/>
  <c r="P8" i="23"/>
  <c r="P13" i="23"/>
  <c r="P16" i="23"/>
  <c r="Q4" i="23"/>
  <c r="P9" i="23"/>
  <c r="I57" i="8"/>
  <c r="I23" i="8"/>
  <c r="F24" i="16" s="1"/>
  <c r="K220" i="14"/>
  <c r="K231" i="14" s="1"/>
  <c r="H13" i="19"/>
  <c r="H64" i="9"/>
  <c r="L111" i="7"/>
  <c r="I66" i="6"/>
  <c r="K119" i="17"/>
  <c r="K211" i="14"/>
  <c r="K224" i="14"/>
  <c r="I234" i="28"/>
  <c r="P67" i="28"/>
  <c r="R746" i="11"/>
  <c r="T21" i="7"/>
  <c r="T28" i="7" s="1"/>
  <c r="P7" i="34" s="1"/>
  <c r="P9" i="34" s="1"/>
  <c r="H244" i="28"/>
  <c r="H247" i="28"/>
  <c r="H175" i="4"/>
  <c r="I175" i="4" s="1"/>
  <c r="N153" i="28"/>
  <c r="N152" i="28"/>
  <c r="N99" i="28"/>
  <c r="K88" i="4"/>
  <c r="H88" i="4"/>
  <c r="E61" i="28"/>
  <c r="E121" i="28" s="1"/>
  <c r="E49" i="16"/>
  <c r="E11" i="5"/>
  <c r="K21" i="8" a="1"/>
  <c r="K21" i="8" s="1"/>
  <c r="J22" i="8"/>
  <c r="G251" i="28"/>
  <c r="G177" i="4"/>
  <c r="J39" i="28"/>
  <c r="J5" i="19"/>
  <c r="J34" i="19" s="1"/>
  <c r="O14" i="17"/>
  <c r="K208" i="14"/>
  <c r="J53" i="9"/>
  <c r="J19" i="12"/>
  <c r="N120" i="7"/>
  <c r="M6" i="8"/>
  <c r="K7" i="6"/>
  <c r="J54" i="6"/>
  <c r="J59" i="6" s="1"/>
  <c r="M42" i="28"/>
  <c r="Q41" i="7"/>
  <c r="J55" i="9"/>
  <c r="J78" i="9" s="1"/>
  <c r="J79" i="9" s="1"/>
  <c r="J106" i="9"/>
  <c r="J116" i="9" s="1"/>
  <c r="G254" i="28"/>
  <c r="I233" i="28"/>
  <c r="I235" i="28" s="1"/>
  <c r="I250" i="28" s="1"/>
  <c r="J227" i="14"/>
  <c r="J27" i="6" s="1"/>
  <c r="K225" i="14"/>
  <c r="L18" i="8"/>
  <c r="M88" i="17"/>
  <c r="H55" i="28"/>
  <c r="S42" i="7"/>
  <c r="T132" i="7"/>
  <c r="T35" i="7"/>
  <c r="F24" i="32" l="1"/>
  <c r="L22" i="17"/>
  <c r="L57" i="17" s="1"/>
  <c r="S41" i="7"/>
  <c r="J76" i="32"/>
  <c r="J77" i="32" s="1"/>
  <c r="P21" i="32"/>
  <c r="J52" i="32"/>
  <c r="L12" i="8" a="1"/>
  <c r="L12" i="8" s="1"/>
  <c r="J87" i="6"/>
  <c r="J89" i="6" s="1"/>
  <c r="I240" i="28"/>
  <c r="I117" i="9"/>
  <c r="J77" i="6"/>
  <c r="I54" i="28" s="1"/>
  <c r="I127" i="28" s="1"/>
  <c r="I128" i="28" s="1"/>
  <c r="K234" i="14"/>
  <c r="K236" i="14" s="1"/>
  <c r="L234" i="14" s="1"/>
  <c r="J238" i="14"/>
  <c r="F104" i="28"/>
  <c r="P76" i="28"/>
  <c r="G57" i="28"/>
  <c r="G116" i="28" s="1"/>
  <c r="L48" i="17"/>
  <c r="G10" i="32" s="1"/>
  <c r="D200" i="9"/>
  <c r="E200" i="9" s="1"/>
  <c r="F200" i="9" s="1"/>
  <c r="F24" i="5"/>
  <c r="L16" i="17"/>
  <c r="M18" i="17"/>
  <c r="J66" i="28"/>
  <c r="J52" i="28"/>
  <c r="J28" i="6"/>
  <c r="I28" i="6"/>
  <c r="I21" i="6"/>
  <c r="I23" i="6" s="1"/>
  <c r="H40" i="34" s="1"/>
  <c r="J21" i="6"/>
  <c r="J23" i="6" s="1"/>
  <c r="I40" i="34" s="1"/>
  <c r="E13" i="16"/>
  <c r="I91" i="7"/>
  <c r="E14" i="34" s="1"/>
  <c r="Q9" i="16"/>
  <c r="G60" i="28"/>
  <c r="L56" i="17"/>
  <c r="K25" i="17"/>
  <c r="O34" i="17"/>
  <c r="O96" i="17"/>
  <c r="F72" i="6"/>
  <c r="H31" i="8" a="1"/>
  <c r="H31" i="8" s="1"/>
  <c r="J111" i="17"/>
  <c r="J50" i="17"/>
  <c r="K238" i="14"/>
  <c r="L230" i="14"/>
  <c r="M20" i="8"/>
  <c r="M18" i="8"/>
  <c r="K235" i="14"/>
  <c r="N83" i="7" s="1"/>
  <c r="I248" i="28"/>
  <c r="O153" i="28"/>
  <c r="O152" i="28"/>
  <c r="O99" i="28"/>
  <c r="I111" i="12"/>
  <c r="I128" i="12" s="1"/>
  <c r="I146" i="12" s="1"/>
  <c r="I165" i="12" s="1"/>
  <c r="I96" i="12"/>
  <c r="N109" i="17"/>
  <c r="K218" i="14"/>
  <c r="K219" i="14"/>
  <c r="J234" i="28" s="1"/>
  <c r="N76" i="17" a="1"/>
  <c r="N76" i="17" s="1"/>
  <c r="J105" i="9"/>
  <c r="J115" i="9"/>
  <c r="J77" i="9"/>
  <c r="N138" i="7" a="1"/>
  <c r="N138" i="7" s="1"/>
  <c r="I13" i="19"/>
  <c r="I64" i="9"/>
  <c r="M111" i="7"/>
  <c r="J66" i="6"/>
  <c r="J57" i="8"/>
  <c r="J23" i="8"/>
  <c r="G24" i="16" s="1"/>
  <c r="L21" i="8" a="1"/>
  <c r="L21" i="8" s="1"/>
  <c r="K22" i="8"/>
  <c r="L121" i="17"/>
  <c r="J87" i="7" a="1"/>
  <c r="J87" i="7" s="1"/>
  <c r="J113" i="7" a="1"/>
  <c r="J113" i="7" s="1"/>
  <c r="Q17" i="23"/>
  <c r="Q19" i="23" s="1"/>
  <c r="Q12" i="23"/>
  <c r="Q11" i="23"/>
  <c r="Q13" i="23"/>
  <c r="Q14" i="23"/>
  <c r="Q7" i="23"/>
  <c r="Q15" i="23"/>
  <c r="Q10" i="23"/>
  <c r="Q5" i="23"/>
  <c r="Q6" i="23"/>
  <c r="R4" i="23"/>
  <c r="Q16" i="23"/>
  <c r="Q9" i="23"/>
  <c r="Q8" i="23"/>
  <c r="K4" i="19"/>
  <c r="L210" i="14"/>
  <c r="P13" i="17"/>
  <c r="K54" i="9"/>
  <c r="N5" i="8"/>
  <c r="O8" i="7"/>
  <c r="P4" i="7"/>
  <c r="O6" i="7"/>
  <c r="L6" i="6"/>
  <c r="O41" i="28"/>
  <c r="O8" i="16"/>
  <c r="O9" i="16" s="1"/>
  <c r="P94" i="17"/>
  <c r="P32" i="17"/>
  <c r="I244" i="28"/>
  <c r="I247" i="28"/>
  <c r="K43" i="6"/>
  <c r="K22" i="6" a="1"/>
  <c r="K22" i="6" s="1"/>
  <c r="K13" i="6"/>
  <c r="K24" i="6"/>
  <c r="K49" i="6" a="1"/>
  <c r="K49" i="6" s="1"/>
  <c r="K48" i="6" a="1"/>
  <c r="K48" i="6" s="1"/>
  <c r="J7" i="32" s="1"/>
  <c r="K34" i="6" a="1"/>
  <c r="K34" i="6" s="1"/>
  <c r="M11" i="8" s="1" a="1"/>
  <c r="M11" i="8" s="1"/>
  <c r="K15" i="6"/>
  <c r="K86" i="6" s="1"/>
  <c r="K81" i="6"/>
  <c r="J6" i="5"/>
  <c r="K28" i="6"/>
  <c r="K21" i="6"/>
  <c r="K14" i="6"/>
  <c r="J243" i="28"/>
  <c r="J232" i="28"/>
  <c r="H249" i="28"/>
  <c r="H254" i="28"/>
  <c r="K217" i="14"/>
  <c r="K221" i="14" s="1"/>
  <c r="L19" i="8"/>
  <c r="L13" i="8" a="1"/>
  <c r="L13" i="8" s="1"/>
  <c r="P40" i="28"/>
  <c r="P7" i="16"/>
  <c r="P221" i="12"/>
  <c r="P224" i="12" s="1"/>
  <c r="P231" i="12" s="1"/>
  <c r="P57" i="9"/>
  <c r="T40" i="7"/>
  <c r="J53" i="32" s="1"/>
  <c r="T41" i="7"/>
  <c r="T37" i="7"/>
  <c r="J76" i="5"/>
  <c r="J77" i="5" s="1"/>
  <c r="T29" i="7"/>
  <c r="T63" i="7"/>
  <c r="P21" i="5"/>
  <c r="J52" i="5"/>
  <c r="K83" i="6"/>
  <c r="J91" i="6"/>
  <c r="L42" i="8" a="1"/>
  <c r="L42" i="8" s="1"/>
  <c r="I55" i="28"/>
  <c r="P41" i="28"/>
  <c r="P8" i="16"/>
  <c r="J83" i="9"/>
  <c r="J34" i="12"/>
  <c r="J3" i="12"/>
  <c r="K120" i="17"/>
  <c r="G31" i="6" s="1" a="1"/>
  <c r="G31" i="6" s="1"/>
  <c r="G65" i="6" s="1"/>
  <c r="K121" i="17"/>
  <c r="J112" i="7" a="1"/>
  <c r="J112" i="7" s="1"/>
  <c r="N70" i="7"/>
  <c r="L214" i="14"/>
  <c r="L213" i="14"/>
  <c r="L212" i="14"/>
  <c r="P150" i="13"/>
  <c r="N47" i="17"/>
  <c r="G59" i="28" l="1"/>
  <c r="L23" i="17"/>
  <c r="J54" i="5"/>
  <c r="J54" i="32"/>
  <c r="I40" i="16"/>
  <c r="F73" i="6"/>
  <c r="J112" i="17"/>
  <c r="H37" i="8" a="1"/>
  <c r="H37" i="8" s="1"/>
  <c r="H38" i="8" s="1"/>
  <c r="L118" i="17"/>
  <c r="L58" i="17"/>
  <c r="G58" i="28" s="1"/>
  <c r="N100" i="17"/>
  <c r="O104" i="17"/>
  <c r="O109" i="17" s="1"/>
  <c r="O100" i="17" s="1"/>
  <c r="L119" i="17"/>
  <c r="N108" i="17"/>
  <c r="H251" i="28"/>
  <c r="H177" i="4"/>
  <c r="I177" i="4" s="1"/>
  <c r="K55" i="9"/>
  <c r="K78" i="9" s="1"/>
  <c r="K79" i="9" s="1"/>
  <c r="K106" i="9"/>
  <c r="K116" i="9" s="1"/>
  <c r="J49" i="12"/>
  <c r="J65" i="12" s="1"/>
  <c r="J80" i="12" s="1"/>
  <c r="N122" i="7" a="1"/>
  <c r="N122" i="7" s="1"/>
  <c r="N130" i="7" a="1"/>
  <c r="N130" i="7" s="1"/>
  <c r="N124" i="7" a="1"/>
  <c r="N124" i="7" s="1"/>
  <c r="N123" i="7" a="1"/>
  <c r="N123" i="7" s="1"/>
  <c r="N126" i="7" a="1"/>
  <c r="N126" i="7" s="1"/>
  <c r="N125" i="7" a="1"/>
  <c r="N125" i="7" s="1"/>
  <c r="N127" i="7" a="1"/>
  <c r="N127" i="7" s="1"/>
  <c r="K54" i="6"/>
  <c r="L211" i="14"/>
  <c r="L224" i="14"/>
  <c r="N117" i="17"/>
  <c r="J19" i="6"/>
  <c r="C53" i="29"/>
  <c r="H186" i="4"/>
  <c r="K49" i="17"/>
  <c r="K26" i="17"/>
  <c r="H40" i="16"/>
  <c r="O42" i="17"/>
  <c r="N51" i="17"/>
  <c r="N38" i="17"/>
  <c r="L3" i="19"/>
  <c r="Q12" i="17"/>
  <c r="M209" i="14"/>
  <c r="O4" i="8"/>
  <c r="P5" i="7"/>
  <c r="M5" i="6"/>
  <c r="M44" i="6" s="1"/>
  <c r="G10" i="5"/>
  <c r="L110" i="17"/>
  <c r="K53" i="6"/>
  <c r="J7" i="5"/>
  <c r="N46" i="17"/>
  <c r="J238" i="28"/>
  <c r="J240" i="28" s="1"/>
  <c r="K84" i="6"/>
  <c r="K87" i="6" s="1"/>
  <c r="K89" i="6" s="1"/>
  <c r="K16" i="6"/>
  <c r="N77" i="17"/>
  <c r="N78" i="17" s="1"/>
  <c r="J248" i="28"/>
  <c r="E14" i="16"/>
  <c r="F32" i="6" a="1"/>
  <c r="F32" i="6" s="1"/>
  <c r="I109" i="7"/>
  <c r="I108" i="7" s="1"/>
  <c r="M21" i="17"/>
  <c r="L25" i="17" s="1"/>
  <c r="I249" i="28"/>
  <c r="I251" i="28" s="1"/>
  <c r="K57" i="8"/>
  <c r="K23" i="8"/>
  <c r="H24" i="16" s="1"/>
  <c r="J235" i="28"/>
  <c r="J250" i="28" s="1"/>
  <c r="P95" i="17"/>
  <c r="P33" i="17"/>
  <c r="J239" i="28"/>
  <c r="K85" i="6"/>
  <c r="C275" i="28"/>
  <c r="C45" i="29"/>
  <c r="P9" i="16"/>
  <c r="H255" i="28"/>
  <c r="I95" i="7"/>
  <c r="E15" i="34" s="1"/>
  <c r="M21" i="8" a="1"/>
  <c r="M21" i="8" s="1"/>
  <c r="L22" i="8"/>
  <c r="L57" i="8" s="1"/>
  <c r="C277" i="28"/>
  <c r="C47" i="29"/>
  <c r="D186" i="4"/>
  <c r="P42" i="28"/>
  <c r="J53" i="5"/>
  <c r="L220" i="14"/>
  <c r="L231" i="14" s="1"/>
  <c r="P153" i="28"/>
  <c r="P152" i="28"/>
  <c r="P99" i="28"/>
  <c r="L68" i="6"/>
  <c r="L45" i="6"/>
  <c r="R17" i="23"/>
  <c r="R19" i="23" s="1"/>
  <c r="R16" i="23"/>
  <c r="R7" i="23"/>
  <c r="R6" i="23"/>
  <c r="R15" i="23"/>
  <c r="R9" i="23"/>
  <c r="R5" i="23"/>
  <c r="R14" i="23"/>
  <c r="S4" i="23"/>
  <c r="R8" i="23"/>
  <c r="J63" i="9"/>
  <c r="J59" i="9"/>
  <c r="L217" i="14"/>
  <c r="M19" i="8"/>
  <c r="O81" i="7" a="1"/>
  <c r="O81" i="7" s="1"/>
  <c r="O70" i="7"/>
  <c r="O68" i="7" a="1"/>
  <c r="O68" i="7" s="1"/>
  <c r="O9" i="7"/>
  <c r="O69" i="7" a="1"/>
  <c r="O69" i="7" s="1"/>
  <c r="O139" i="7" s="1" a="1"/>
  <c r="O139" i="7" s="1"/>
  <c r="O141" i="7" a="1"/>
  <c r="O141" i="7" s="1"/>
  <c r="O144" i="7" a="1"/>
  <c r="O144" i="7" s="1"/>
  <c r="O143" i="7"/>
  <c r="O142" i="7"/>
  <c r="O129" i="7" a="1"/>
  <c r="O129" i="7" s="1"/>
  <c r="O128" i="7" a="1"/>
  <c r="O128" i="7" s="1"/>
  <c r="O145" i="7"/>
  <c r="O136" i="7" a="1"/>
  <c r="O136" i="7" s="1"/>
  <c r="O147" i="7"/>
  <c r="O148" i="7"/>
  <c r="O149" i="7"/>
  <c r="L232" i="14"/>
  <c r="L235" i="14" s="1"/>
  <c r="K149" i="13"/>
  <c r="N150" i="7"/>
  <c r="Q150" i="13"/>
  <c r="K39" i="28"/>
  <c r="K5" i="19"/>
  <c r="K34" i="19" s="1"/>
  <c r="P14" i="17"/>
  <c r="L208" i="14"/>
  <c r="N6" i="8"/>
  <c r="K19" i="12"/>
  <c r="K53" i="9"/>
  <c r="O120" i="7"/>
  <c r="L7" i="6"/>
  <c r="E28" i="6"/>
  <c r="F21" i="6"/>
  <c r="F23" i="6" s="1"/>
  <c r="E40" i="34" s="1"/>
  <c r="F28" i="6"/>
  <c r="E21" i="6"/>
  <c r="E23" i="6" s="1"/>
  <c r="D40" i="34" s="1"/>
  <c r="D21" i="6"/>
  <c r="D28" i="6"/>
  <c r="D35" i="6" s="1"/>
  <c r="C42" i="34" s="1"/>
  <c r="G28" i="6"/>
  <c r="H21" i="6"/>
  <c r="H23" i="6" s="1"/>
  <c r="G40" i="34" s="1"/>
  <c r="G21" i="6"/>
  <c r="G23" i="6" s="1"/>
  <c r="F40" i="34" s="1"/>
  <c r="H28" i="6"/>
  <c r="N67" i="7"/>
  <c r="J233" i="28"/>
  <c r="K227" i="14"/>
  <c r="K27" i="6" s="1"/>
  <c r="E29" i="16" l="1"/>
  <c r="E29" i="34"/>
  <c r="L49" i="17"/>
  <c r="L26" i="17"/>
  <c r="O83" i="7"/>
  <c r="L236" i="14"/>
  <c r="M234" i="14" s="1"/>
  <c r="L120" i="17"/>
  <c r="H31" i="6" s="1" a="1"/>
  <c r="H31" i="6" s="1"/>
  <c r="H65" i="6" s="1"/>
  <c r="K112" i="7" a="1"/>
  <c r="K112" i="7" s="1"/>
  <c r="O138" i="7" a="1"/>
  <c r="O138" i="7" s="1"/>
  <c r="O67" i="7"/>
  <c r="S16" i="23"/>
  <c r="S17" i="23"/>
  <c r="S19" i="23" s="1"/>
  <c r="S9" i="23"/>
  <c r="S5" i="23"/>
  <c r="T4" i="23"/>
  <c r="S7" i="23"/>
  <c r="S6" i="23"/>
  <c r="S15" i="23"/>
  <c r="S8" i="23"/>
  <c r="S14" i="23"/>
  <c r="N21" i="8" a="1"/>
  <c r="N21" i="8" s="1"/>
  <c r="J111" i="12"/>
  <c r="J128" i="12" s="1"/>
  <c r="J146" i="12" s="1"/>
  <c r="J165" i="12" s="1"/>
  <c r="J96" i="12"/>
  <c r="G40" i="16"/>
  <c r="K34" i="12"/>
  <c r="K3" i="12"/>
  <c r="N88" i="17"/>
  <c r="I255" i="28"/>
  <c r="M22" i="8"/>
  <c r="M57" i="8" s="1"/>
  <c r="K59" i="6"/>
  <c r="M13" i="8" a="1"/>
  <c r="M13" i="8" s="1"/>
  <c r="L218" i="14"/>
  <c r="L219" i="14"/>
  <c r="K234" i="28" s="1"/>
  <c r="I254" i="28"/>
  <c r="O75" i="17"/>
  <c r="N84" i="17"/>
  <c r="N86" i="17"/>
  <c r="N80" i="17"/>
  <c r="N82" i="17" s="1"/>
  <c r="K58" i="6"/>
  <c r="M12" i="8" a="1"/>
  <c r="M12" i="8" s="1"/>
  <c r="L149" i="13"/>
  <c r="O150" i="7"/>
  <c r="C276" i="28"/>
  <c r="C46" i="29"/>
  <c r="J117" i="9"/>
  <c r="K23" i="6"/>
  <c r="J40" i="34" s="1"/>
  <c r="K77" i="6"/>
  <c r="J54" i="28" s="1"/>
  <c r="L4" i="19"/>
  <c r="M210" i="14"/>
  <c r="Q13" i="17"/>
  <c r="L54" i="9"/>
  <c r="O5" i="8"/>
  <c r="Q4" i="7"/>
  <c r="P6" i="7"/>
  <c r="M6" i="6"/>
  <c r="P8" i="7"/>
  <c r="L23" i="8"/>
  <c r="I24" i="16" s="1"/>
  <c r="K83" i="9"/>
  <c r="M230" i="14"/>
  <c r="N20" i="8"/>
  <c r="L83" i="6"/>
  <c r="K91" i="6"/>
  <c r="M42" i="8" a="1"/>
  <c r="M42" i="8" s="1"/>
  <c r="J247" i="28"/>
  <c r="J244" i="28"/>
  <c r="M213" i="14"/>
  <c r="M212" i="14"/>
  <c r="M214" i="14"/>
  <c r="G72" i="6"/>
  <c r="I31" i="8" a="1"/>
  <c r="I31" i="8" s="1"/>
  <c r="K111" i="17"/>
  <c r="K50" i="17"/>
  <c r="K113" i="7" a="1"/>
  <c r="K113" i="7" s="1"/>
  <c r="K87" i="7" a="1"/>
  <c r="K87" i="7" s="1"/>
  <c r="K243" i="28"/>
  <c r="K232" i="28"/>
  <c r="L225" i="14"/>
  <c r="K248" i="28"/>
  <c r="D40" i="16"/>
  <c r="K66" i="28"/>
  <c r="K52" i="28"/>
  <c r="Q94" i="17"/>
  <c r="Q32" i="17"/>
  <c r="F40" i="16"/>
  <c r="O47" i="17"/>
  <c r="O46" i="17" s="1"/>
  <c r="C42" i="16"/>
  <c r="E40" i="16"/>
  <c r="J13" i="19"/>
  <c r="J64" i="9"/>
  <c r="N111" i="7"/>
  <c r="K66" i="6"/>
  <c r="H81" i="7" a="1"/>
  <c r="H81" i="7" s="1"/>
  <c r="H85" i="7" s="1"/>
  <c r="D12" i="34" s="1"/>
  <c r="M24" i="17"/>
  <c r="G24" i="32" s="1"/>
  <c r="K105" i="9"/>
  <c r="K115" i="9"/>
  <c r="K77" i="9"/>
  <c r="E46" i="28"/>
  <c r="E15" i="16"/>
  <c r="F33" i="8" a="1"/>
  <c r="F33" i="8" s="1"/>
  <c r="D23" i="6"/>
  <c r="C40" i="34" s="1"/>
  <c r="C46" i="34" s="1"/>
  <c r="C48" i="34" s="1"/>
  <c r="P34" i="17"/>
  <c r="P96" i="17"/>
  <c r="L221" i="14"/>
  <c r="L81" i="6"/>
  <c r="L49" i="6" a="1"/>
  <c r="L49" i="6" s="1"/>
  <c r="L48" i="6" a="1"/>
  <c r="L48" i="6" s="1"/>
  <c r="K7" i="32" s="1"/>
  <c r="L24" i="6"/>
  <c r="L34" i="6" a="1"/>
  <c r="L34" i="6" s="1"/>
  <c r="N11" i="8" s="1" a="1"/>
  <c r="N11" i="8" s="1"/>
  <c r="L43" i="6"/>
  <c r="L28" i="6"/>
  <c r="L21" i="6"/>
  <c r="L14" i="6"/>
  <c r="L22" i="6" a="1"/>
  <c r="L22" i="6" s="1"/>
  <c r="K6" i="5"/>
  <c r="L13" i="6"/>
  <c r="L15" i="6"/>
  <c r="L86" i="6" s="1"/>
  <c r="H60" i="28"/>
  <c r="M56" i="17"/>
  <c r="J127" i="28" l="1"/>
  <c r="J128" i="28" s="1"/>
  <c r="J55" i="28"/>
  <c r="D12" i="16"/>
  <c r="H89" i="7"/>
  <c r="D13" i="34" s="1"/>
  <c r="M118" i="17"/>
  <c r="C40" i="16"/>
  <c r="C46" i="16" s="1"/>
  <c r="C48" i="16" s="1"/>
  <c r="D37" i="6"/>
  <c r="N18" i="8"/>
  <c r="G33" i="8" a="1"/>
  <c r="G33" i="8" s="1"/>
  <c r="F26" i="8" a="1"/>
  <c r="F26" i="8" s="1"/>
  <c r="F34" i="8"/>
  <c r="C27" i="34" s="1"/>
  <c r="C30" i="34" s="1"/>
  <c r="J249" i="28"/>
  <c r="J254" i="28" s="1"/>
  <c r="P81" i="7" a="1"/>
  <c r="P81" i="7" s="1"/>
  <c r="P70" i="7"/>
  <c r="P9" i="7"/>
  <c r="P69" i="7" a="1"/>
  <c r="P69" i="7" s="1"/>
  <c r="P139" i="7" s="1" a="1"/>
  <c r="P139" i="7" s="1"/>
  <c r="P68" i="7" a="1"/>
  <c r="P68" i="7" s="1"/>
  <c r="P144" i="7" a="1"/>
  <c r="P144" i="7" s="1"/>
  <c r="P143" i="7"/>
  <c r="P141" i="7" a="1"/>
  <c r="P141" i="7" s="1"/>
  <c r="P142" i="7"/>
  <c r="P128" i="7" a="1"/>
  <c r="P128" i="7" s="1"/>
  <c r="P129" i="7" a="1"/>
  <c r="P129" i="7" s="1"/>
  <c r="P145" i="7"/>
  <c r="P136" i="7" a="1"/>
  <c r="P136" i="7" s="1"/>
  <c r="P148" i="7"/>
  <c r="P147" i="7"/>
  <c r="P149" i="7"/>
  <c r="M220" i="14"/>
  <c r="M231" i="14" s="1"/>
  <c r="M232" i="14" s="1"/>
  <c r="M68" i="6"/>
  <c r="M45" i="6"/>
  <c r="K239" i="28"/>
  <c r="L85" i="6"/>
  <c r="J40" i="16"/>
  <c r="L39" i="28"/>
  <c r="L5" i="19"/>
  <c r="L34" i="19" s="1"/>
  <c r="M208" i="14"/>
  <c r="Q14" i="17"/>
  <c r="O6" i="8"/>
  <c r="L53" i="9"/>
  <c r="L19" i="12"/>
  <c r="P120" i="7"/>
  <c r="M7" i="6"/>
  <c r="M217" i="14"/>
  <c r="N19" i="8"/>
  <c r="K49" i="12"/>
  <c r="K65" i="12" s="1"/>
  <c r="K80" i="12" s="1"/>
  <c r="O126" i="7" a="1"/>
  <c r="O126" i="7" s="1"/>
  <c r="O123" i="7" a="1"/>
  <c r="O123" i="7" s="1"/>
  <c r="O125" i="7" a="1"/>
  <c r="O125" i="7" s="1"/>
  <c r="O127" i="7" a="1"/>
  <c r="O127" i="7" s="1"/>
  <c r="O124" i="7" a="1"/>
  <c r="O124" i="7" s="1"/>
  <c r="O122" i="7" a="1"/>
  <c r="O122" i="7" s="1"/>
  <c r="O130" i="7" a="1"/>
  <c r="O130" i="7" s="1"/>
  <c r="K59" i="9"/>
  <c r="K63" i="9"/>
  <c r="O76" i="17" a="1"/>
  <c r="O76" i="17" s="1"/>
  <c r="K238" i="28"/>
  <c r="K240" i="28" s="1"/>
  <c r="L16" i="6"/>
  <c r="L84" i="6"/>
  <c r="K7" i="5"/>
  <c r="L53" i="6"/>
  <c r="L58" i="6" s="1"/>
  <c r="N22" i="8"/>
  <c r="L55" i="9"/>
  <c r="L78" i="9" s="1"/>
  <c r="L79" i="9" s="1"/>
  <c r="L106" i="9"/>
  <c r="L116" i="9" s="1"/>
  <c r="T17" i="23"/>
  <c r="T19" i="23" s="1"/>
  <c r="T15" i="23"/>
  <c r="T9" i="23"/>
  <c r="T8" i="23"/>
  <c r="T16" i="23"/>
  <c r="T5" i="23"/>
  <c r="T7" i="23"/>
  <c r="T6" i="23"/>
  <c r="T14" i="23"/>
  <c r="U4" i="23"/>
  <c r="M23" i="8"/>
  <c r="J24" i="16" s="1"/>
  <c r="P42" i="17"/>
  <c r="O51" i="17"/>
  <c r="O38" i="17"/>
  <c r="E101" i="28"/>
  <c r="E47" i="28"/>
  <c r="N209" i="14"/>
  <c r="R12" i="17"/>
  <c r="P4" i="8"/>
  <c r="Q5" i="7"/>
  <c r="N5" i="6"/>
  <c r="N44" i="6" s="1"/>
  <c r="K112" i="17"/>
  <c r="G73" i="6"/>
  <c r="I37" i="8" a="1"/>
  <c r="I37" i="8" s="1"/>
  <c r="I38" i="8" s="1"/>
  <c r="L54" i="6"/>
  <c r="H57" i="28"/>
  <c r="H116" i="28" s="1"/>
  <c r="M48" i="17"/>
  <c r="H10" i="32" s="1"/>
  <c r="G24" i="5"/>
  <c r="N18" i="17"/>
  <c r="M16" i="17"/>
  <c r="M22" i="17"/>
  <c r="Q33" i="17"/>
  <c r="Q95" i="17"/>
  <c r="L248" i="28"/>
  <c r="K233" i="28"/>
  <c r="K235" i="28" s="1"/>
  <c r="K250" i="28" s="1"/>
  <c r="L227" i="14"/>
  <c r="L27" i="6" s="1"/>
  <c r="L238" i="14"/>
  <c r="M224" i="14"/>
  <c r="M211" i="14"/>
  <c r="H72" i="6"/>
  <c r="J31" i="8" a="1"/>
  <c r="J31" i="8" s="1"/>
  <c r="L111" i="17"/>
  <c r="L50" i="17"/>
  <c r="F29" i="16" l="1"/>
  <c r="F29" i="34"/>
  <c r="N230" i="14"/>
  <c r="O20" i="8"/>
  <c r="M235" i="14"/>
  <c r="D13" i="16"/>
  <c r="H92" i="7"/>
  <c r="I92" i="7" s="1"/>
  <c r="H91" i="7"/>
  <c r="D14" i="34" s="1"/>
  <c r="H95" i="7"/>
  <c r="D15" i="34" s="1"/>
  <c r="L112" i="7" a="1"/>
  <c r="L112" i="7" s="1"/>
  <c r="L243" i="28"/>
  <c r="L232" i="28"/>
  <c r="O77" i="17"/>
  <c r="O78" i="17" s="1"/>
  <c r="K96" i="12"/>
  <c r="K111" i="12"/>
  <c r="K128" i="12" s="1"/>
  <c r="K146" i="12" s="1"/>
  <c r="K165" i="12" s="1"/>
  <c r="M81" i="6"/>
  <c r="M24" i="6"/>
  <c r="M34" i="6" a="1"/>
  <c r="M34" i="6" s="1"/>
  <c r="O11" i="8" s="1" a="1"/>
  <c r="O11" i="8" s="1"/>
  <c r="M15" i="6"/>
  <c r="M86" i="6" s="1"/>
  <c r="M28" i="6"/>
  <c r="M22" i="6" a="1"/>
  <c r="M22" i="6" s="1"/>
  <c r="M21" i="6"/>
  <c r="M14" i="6"/>
  <c r="L6" i="5"/>
  <c r="M13" i="6"/>
  <c r="M49" i="6" a="1"/>
  <c r="M49" i="6" s="1"/>
  <c r="M48" i="6" a="1"/>
  <c r="M48" i="6" s="1"/>
  <c r="L7" i="32" s="1"/>
  <c r="M43" i="6"/>
  <c r="H73" i="6"/>
  <c r="L112" i="17"/>
  <c r="J37" i="8" a="1"/>
  <c r="J37" i="8" s="1"/>
  <c r="J38" i="8" s="1"/>
  <c r="L59" i="6"/>
  <c r="N13" i="8" a="1"/>
  <c r="N13" i="8" s="1"/>
  <c r="K117" i="9"/>
  <c r="L23" i="6"/>
  <c r="K40" i="34" s="1"/>
  <c r="L77" i="6"/>
  <c r="K54" i="28" s="1"/>
  <c r="K127" i="28" s="1"/>
  <c r="K128" i="28" s="1"/>
  <c r="D808" i="11"/>
  <c r="D38" i="6"/>
  <c r="C9" i="32" s="1"/>
  <c r="K247" i="28"/>
  <c r="K244" i="28"/>
  <c r="L66" i="28"/>
  <c r="L52" i="28"/>
  <c r="M218" i="14"/>
  <c r="M219" i="14"/>
  <c r="L234" i="28" s="1"/>
  <c r="U14" i="23"/>
  <c r="U9" i="23"/>
  <c r="U17" i="23"/>
  <c r="U19" i="23" s="1"/>
  <c r="U8" i="23"/>
  <c r="U7" i="23"/>
  <c r="U16" i="23"/>
  <c r="U15" i="23"/>
  <c r="U6" i="23"/>
  <c r="U5" i="23"/>
  <c r="V4" i="23"/>
  <c r="K13" i="19"/>
  <c r="K64" i="9"/>
  <c r="O111" i="7"/>
  <c r="L66" i="6"/>
  <c r="R13" i="17"/>
  <c r="N210" i="14"/>
  <c r="M54" i="9"/>
  <c r="P5" i="8"/>
  <c r="Q6" i="7"/>
  <c r="N6" i="6"/>
  <c r="Q8" i="7"/>
  <c r="R4" i="7"/>
  <c r="N57" i="8"/>
  <c r="C27" i="16"/>
  <c r="C30" i="16" s="1"/>
  <c r="F39" i="8"/>
  <c r="H59" i="28"/>
  <c r="M57" i="17"/>
  <c r="M23" i="17"/>
  <c r="L34" i="12"/>
  <c r="L3" i="12"/>
  <c r="P138" i="7" a="1"/>
  <c r="P138" i="7" s="1"/>
  <c r="P67" i="7"/>
  <c r="P47" i="17"/>
  <c r="P46" i="17" s="1"/>
  <c r="N21" i="17"/>
  <c r="N24" i="17" s="1"/>
  <c r="H24" i="32" s="1"/>
  <c r="R94" i="17"/>
  <c r="R32" i="17"/>
  <c r="L115" i="9"/>
  <c r="L105" i="9"/>
  <c r="L77" i="9"/>
  <c r="H33" i="8" a="1"/>
  <c r="H33" i="8" s="1"/>
  <c r="G34" i="8"/>
  <c r="D27" i="34" s="1"/>
  <c r="D30" i="34" s="1"/>
  <c r="G26" i="8" a="1"/>
  <c r="G26" i="8" s="1"/>
  <c r="H10" i="5"/>
  <c r="M110" i="17"/>
  <c r="N214" i="14"/>
  <c r="N213" i="14"/>
  <c r="N212" i="14"/>
  <c r="N23" i="8"/>
  <c r="K24" i="16" s="1"/>
  <c r="M149" i="13"/>
  <c r="P150" i="7"/>
  <c r="O117" i="17"/>
  <c r="K19" i="6"/>
  <c r="J251" i="28"/>
  <c r="J255" i="28"/>
  <c r="L83" i="9"/>
  <c r="M248" i="28"/>
  <c r="N12" i="8" a="1"/>
  <c r="N12" i="8" s="1"/>
  <c r="L87" i="6"/>
  <c r="L89" i="6" s="1"/>
  <c r="Q34" i="17"/>
  <c r="Q96" i="17"/>
  <c r="M225" i="14"/>
  <c r="G29" i="16" l="1"/>
  <c r="G29" i="34"/>
  <c r="M25" i="17"/>
  <c r="I57" i="28"/>
  <c r="I116" i="28" s="1"/>
  <c r="N48" i="17"/>
  <c r="I10" i="32" s="1"/>
  <c r="H24" i="5"/>
  <c r="O18" i="17"/>
  <c r="N16" i="17"/>
  <c r="N22" i="17"/>
  <c r="N23" i="17" s="1"/>
  <c r="O84" i="17"/>
  <c r="P75" i="17"/>
  <c r="O86" i="17"/>
  <c r="O80" i="17"/>
  <c r="O82" i="17" s="1"/>
  <c r="O88" i="17"/>
  <c r="R33" i="17"/>
  <c r="R95" i="17"/>
  <c r="C56" i="28"/>
  <c r="C117" i="28" s="1"/>
  <c r="D807" i="11"/>
  <c r="D809" i="11" s="1"/>
  <c r="F10" i="8"/>
  <c r="C9" i="5"/>
  <c r="D69" i="6"/>
  <c r="D70" i="6" s="1"/>
  <c r="D39" i="6"/>
  <c r="E10" i="6"/>
  <c r="D38" i="34" s="1"/>
  <c r="Q42" i="17"/>
  <c r="P51" i="17"/>
  <c r="P38" i="17"/>
  <c r="N248" i="28"/>
  <c r="K40" i="16"/>
  <c r="D27" i="16"/>
  <c r="D30" i="16" s="1"/>
  <c r="G39" i="8"/>
  <c r="K55" i="28"/>
  <c r="O209" i="14"/>
  <c r="S12" i="17"/>
  <c r="Q4" i="8"/>
  <c r="O5" i="6"/>
  <c r="O44" i="6" s="1"/>
  <c r="R5" i="7"/>
  <c r="I33" i="8" a="1"/>
  <c r="I33" i="8" s="1"/>
  <c r="J33" i="8" s="1" a="1"/>
  <c r="J33" i="8" s="1"/>
  <c r="K33" i="8" s="1" a="1"/>
  <c r="K33" i="8" s="1"/>
  <c r="L33" i="8" s="1" a="1"/>
  <c r="L33" i="8" s="1"/>
  <c r="M33" i="8" s="1" a="1"/>
  <c r="M33" i="8" s="1"/>
  <c r="N33" i="8" s="1" a="1"/>
  <c r="N33" i="8" s="1"/>
  <c r="O33" i="8" s="1" a="1"/>
  <c r="O33" i="8" s="1"/>
  <c r="H26" i="8" a="1"/>
  <c r="H26" i="8" s="1"/>
  <c r="H34" i="8"/>
  <c r="E27" i="34" s="1"/>
  <c r="E30" i="34" s="1"/>
  <c r="Q68" i="7" a="1"/>
  <c r="Q68" i="7" s="1"/>
  <c r="Q81" i="7" a="1"/>
  <c r="Q81" i="7" s="1"/>
  <c r="Q69" i="7" a="1"/>
  <c r="Q69" i="7" s="1"/>
  <c r="Q139" i="7" s="1" a="1"/>
  <c r="Q139" i="7" s="1"/>
  <c r="Q9" i="7"/>
  <c r="Q143" i="7"/>
  <c r="Q144" i="7" a="1"/>
  <c r="Q144" i="7" s="1"/>
  <c r="Q141" i="7" a="1"/>
  <c r="Q141" i="7" s="1"/>
  <c r="Q128" i="7" a="1"/>
  <c r="Q128" i="7" s="1"/>
  <c r="Q129" i="7" a="1"/>
  <c r="Q129" i="7" s="1"/>
  <c r="Q142" i="7"/>
  <c r="Q145" i="7"/>
  <c r="Q136" i="7" a="1"/>
  <c r="Q136" i="7" s="1"/>
  <c r="Q148" i="7"/>
  <c r="Q147" i="7"/>
  <c r="Q149" i="7"/>
  <c r="L233" i="28"/>
  <c r="M227" i="14"/>
  <c r="M27" i="6" s="1"/>
  <c r="L239" i="28"/>
  <c r="M85" i="6"/>
  <c r="D46" i="28"/>
  <c r="D15" i="16"/>
  <c r="O18" i="8"/>
  <c r="P83" i="7"/>
  <c r="M236" i="14"/>
  <c r="L235" i="28"/>
  <c r="L250" i="28" s="1"/>
  <c r="I60" i="28"/>
  <c r="N56" i="17"/>
  <c r="M39" i="28"/>
  <c r="N208" i="14"/>
  <c r="R14" i="17"/>
  <c r="P6" i="8"/>
  <c r="M53" i="9"/>
  <c r="M19" i="12"/>
  <c r="Q120" i="7"/>
  <c r="N7" i="6"/>
  <c r="N220" i="14"/>
  <c r="N231" i="14" s="1"/>
  <c r="N232" i="14" s="1"/>
  <c r="L49" i="12"/>
  <c r="L65" i="12" s="1"/>
  <c r="L80" i="12" s="1"/>
  <c r="P124" i="7" a="1"/>
  <c r="P124" i="7" s="1"/>
  <c r="P127" i="7" a="1"/>
  <c r="P127" i="7" s="1"/>
  <c r="P130" i="7" a="1"/>
  <c r="P130" i="7" s="1"/>
  <c r="P125" i="7" a="1"/>
  <c r="P125" i="7" s="1"/>
  <c r="P122" i="7" a="1"/>
  <c r="P122" i="7" s="1"/>
  <c r="P126" i="7" a="1"/>
  <c r="P126" i="7" s="1"/>
  <c r="P123" i="7" a="1"/>
  <c r="P123" i="7" s="1"/>
  <c r="M221" i="14"/>
  <c r="M106" i="9"/>
  <c r="M116" i="9" s="1"/>
  <c r="M55" i="9"/>
  <c r="M78" i="9" s="1"/>
  <c r="M79" i="9" s="1"/>
  <c r="K249" i="28"/>
  <c r="M53" i="6"/>
  <c r="M58" i="6" s="1"/>
  <c r="L7" i="5"/>
  <c r="M54" i="6"/>
  <c r="M59" i="6" s="1"/>
  <c r="D14" i="16"/>
  <c r="E32" i="6" a="1"/>
  <c r="E32" i="6" s="1"/>
  <c r="H109" i="7"/>
  <c r="L238" i="28"/>
  <c r="L240" i="28" s="1"/>
  <c r="M16" i="6"/>
  <c r="M84" i="6"/>
  <c r="M87" i="6" s="1"/>
  <c r="N68" i="6"/>
  <c r="N45" i="6"/>
  <c r="V17" i="23"/>
  <c r="V19" i="23" s="1"/>
  <c r="V8" i="23"/>
  <c r="V7" i="23"/>
  <c r="V16" i="23"/>
  <c r="V6" i="23"/>
  <c r="V15" i="23"/>
  <c r="V9" i="23"/>
  <c r="V14" i="23"/>
  <c r="V5" i="23"/>
  <c r="W4" i="23"/>
  <c r="L91" i="6"/>
  <c r="M83" i="6"/>
  <c r="N42" i="8" a="1"/>
  <c r="N42" i="8" s="1"/>
  <c r="M119" i="17"/>
  <c r="M58" i="17"/>
  <c r="H58" i="28" s="1"/>
  <c r="N224" i="14"/>
  <c r="N211" i="14"/>
  <c r="D40" i="6"/>
  <c r="M49" i="17"/>
  <c r="M26" i="17"/>
  <c r="O12" i="8" l="1" a="1"/>
  <c r="O12" i="8" s="1"/>
  <c r="O230" i="14"/>
  <c r="P20" i="8"/>
  <c r="N235" i="14"/>
  <c r="Q83" i="7" s="1"/>
  <c r="F15" i="8"/>
  <c r="C22" i="34" s="1"/>
  <c r="C25" i="34" s="1"/>
  <c r="F56" i="8"/>
  <c r="H105" i="7"/>
  <c r="W17" i="23"/>
  <c r="W19" i="23" s="1"/>
  <c r="W16" i="23"/>
  <c r="W6" i="23"/>
  <c r="W15" i="23"/>
  <c r="W14" i="23"/>
  <c r="W7" i="23"/>
  <c r="W9" i="23"/>
  <c r="W8" i="23"/>
  <c r="X4" i="23"/>
  <c r="W5" i="23"/>
  <c r="D101" i="28"/>
  <c r="D47" i="28"/>
  <c r="I72" i="6"/>
  <c r="K31" i="8" a="1"/>
  <c r="K31" i="8" s="1"/>
  <c r="M111" i="17"/>
  <c r="M50" i="17"/>
  <c r="L13" i="19"/>
  <c r="L64" i="9"/>
  <c r="M66" i="6"/>
  <c r="P111" i="7"/>
  <c r="O214" i="14"/>
  <c r="O213" i="14"/>
  <c r="O212" i="14"/>
  <c r="N219" i="14"/>
  <c r="M234" i="28" s="1"/>
  <c r="Q234" i="28" s="1"/>
  <c r="N218" i="14"/>
  <c r="M232" i="28"/>
  <c r="M243" i="28"/>
  <c r="Q243" i="28" s="1"/>
  <c r="O21" i="17"/>
  <c r="O24" i="17" s="1"/>
  <c r="I24" i="32" s="1"/>
  <c r="P76" i="17" a="1"/>
  <c r="P76" i="17" s="1"/>
  <c r="M34" i="12"/>
  <c r="M3" i="12"/>
  <c r="N234" i="14"/>
  <c r="N236" i="14" s="1"/>
  <c r="O234" i="14" s="1"/>
  <c r="M238" i="14"/>
  <c r="Q67" i="7"/>
  <c r="Q138" i="7" a="1"/>
  <c r="Q138" i="7" s="1"/>
  <c r="M83" i="9"/>
  <c r="N49" i="6" a="1"/>
  <c r="N49" i="6" s="1"/>
  <c r="N15" i="6"/>
  <c r="N86" i="6" s="1"/>
  <c r="N43" i="6"/>
  <c r="N22" i="6" a="1"/>
  <c r="N22" i="6" s="1"/>
  <c r="N81" i="6"/>
  <c r="M6" i="5"/>
  <c r="N48" i="6" a="1"/>
  <c r="N48" i="6" s="1"/>
  <c r="M7" i="32" s="1"/>
  <c r="N13" i="6"/>
  <c r="N34" i="6" a="1"/>
  <c r="N34" i="6" s="1"/>
  <c r="P11" i="8" s="1" a="1"/>
  <c r="P11" i="8" s="1"/>
  <c r="N24" i="6"/>
  <c r="N28" i="6"/>
  <c r="N14" i="6"/>
  <c r="N21" i="6"/>
  <c r="M115" i="9"/>
  <c r="M77" i="9"/>
  <c r="M105" i="9"/>
  <c r="L59" i="9"/>
  <c r="L63" i="9"/>
  <c r="O21" i="8" a="1"/>
  <c r="O21" i="8" s="1"/>
  <c r="Q47" i="17"/>
  <c r="Q46" i="17"/>
  <c r="S13" i="17"/>
  <c r="O210" i="14"/>
  <c r="Q5" i="8"/>
  <c r="N54" i="9"/>
  <c r="R8" i="7"/>
  <c r="O6" i="6"/>
  <c r="S4" i="7"/>
  <c r="R6" i="7"/>
  <c r="L117" i="9"/>
  <c r="M23" i="6"/>
  <c r="L40" i="34" s="1"/>
  <c r="M77" i="6"/>
  <c r="L54" i="28" s="1"/>
  <c r="L127" i="28" s="1"/>
  <c r="L128" i="28" s="1"/>
  <c r="L247" i="28"/>
  <c r="L244" i="28"/>
  <c r="N118" i="17"/>
  <c r="L87" i="7" a="1"/>
  <c r="L87" i="7" s="1"/>
  <c r="L113" i="7" a="1"/>
  <c r="L113" i="7" s="1"/>
  <c r="M120" i="17"/>
  <c r="I31" i="6" s="1" a="1"/>
  <c r="I31" i="6" s="1"/>
  <c r="I65" i="6" s="1"/>
  <c r="Q70" i="7"/>
  <c r="I10" i="5"/>
  <c r="N110" i="17"/>
  <c r="N217" i="14"/>
  <c r="N221" i="14" s="1"/>
  <c r="O19" i="8"/>
  <c r="I59" i="28"/>
  <c r="N57" i="17"/>
  <c r="R34" i="17"/>
  <c r="R96" i="17"/>
  <c r="N225" i="14"/>
  <c r="E27" i="16"/>
  <c r="E30" i="16" s="1"/>
  <c r="H39" i="8"/>
  <c r="O13" i="8" a="1"/>
  <c r="O13" i="8" s="1"/>
  <c r="S94" i="17"/>
  <c r="S32" i="17"/>
  <c r="M89" i="6"/>
  <c r="L96" i="12"/>
  <c r="L111" i="12"/>
  <c r="L128" i="12" s="1"/>
  <c r="L146" i="12" s="1"/>
  <c r="L165" i="12" s="1"/>
  <c r="O248" i="28"/>
  <c r="K251" i="28"/>
  <c r="K255" i="28"/>
  <c r="K254" i="28"/>
  <c r="M66" i="28"/>
  <c r="M52" i="28"/>
  <c r="P33" i="8" a="1"/>
  <c r="P33" i="8" s="1"/>
  <c r="D38" i="16"/>
  <c r="N58" i="17" l="1"/>
  <c r="I58" i="28" s="1"/>
  <c r="J57" i="28"/>
  <c r="J116" i="28" s="1"/>
  <c r="O48" i="17"/>
  <c r="J10" i="32" s="1"/>
  <c r="I24" i="5"/>
  <c r="O16" i="17"/>
  <c r="P18" i="17"/>
  <c r="O22" i="17"/>
  <c r="O23" i="17" s="1"/>
  <c r="O23" i="8"/>
  <c r="L24" i="16" s="1"/>
  <c r="P21" i="8" a="1"/>
  <c r="P21" i="8" s="1"/>
  <c r="O22" i="8"/>
  <c r="O57" i="8" s="1"/>
  <c r="M238" i="28"/>
  <c r="N16" i="6"/>
  <c r="N84" i="6"/>
  <c r="E33" i="6" a="1"/>
  <c r="E33" i="6" s="1"/>
  <c r="G43" i="8" a="1"/>
  <c r="G43" i="8" s="1"/>
  <c r="M91" i="6"/>
  <c r="N83" i="6"/>
  <c r="O42" i="8" a="1"/>
  <c r="O42" i="8" s="1"/>
  <c r="C22" i="16"/>
  <c r="C25" i="16" s="1"/>
  <c r="F25" i="8"/>
  <c r="O68" i="6"/>
  <c r="O45" i="6"/>
  <c r="L55" i="28"/>
  <c r="X16" i="23"/>
  <c r="X15" i="23"/>
  <c r="X14" i="23"/>
  <c r="X6" i="23"/>
  <c r="X9" i="23"/>
  <c r="X8" i="23"/>
  <c r="X17" i="23"/>
  <c r="X19" i="23" s="1"/>
  <c r="X7" i="23"/>
  <c r="X5" i="23"/>
  <c r="Y4" i="23"/>
  <c r="M7" i="5"/>
  <c r="N53" i="6"/>
  <c r="R69" i="7" a="1"/>
  <c r="R69" i="7" s="1"/>
  <c r="R139" i="7" s="1" a="1"/>
  <c r="R139" i="7" s="1"/>
  <c r="D139" i="7" s="1" a="1"/>
  <c r="D139" i="7" s="1"/>
  <c r="R68" i="7" a="1"/>
  <c r="R68" i="7" s="1"/>
  <c r="R70" i="7" s="1"/>
  <c r="R81" i="7" a="1"/>
  <c r="R81" i="7" s="1"/>
  <c r="R9" i="7"/>
  <c r="R144" i="7" a="1"/>
  <c r="R144" i="7" s="1"/>
  <c r="D144" i="7" s="1" a="1"/>
  <c r="D144" i="7" s="1"/>
  <c r="R143" i="7"/>
  <c r="D143" i="7" s="1" a="1"/>
  <c r="D143" i="7" s="1"/>
  <c r="R129" i="7" a="1"/>
  <c r="R129" i="7" s="1"/>
  <c r="D129" i="7" s="1" a="1"/>
  <c r="D129" i="7" s="1"/>
  <c r="R141" i="7" a="1"/>
  <c r="R141" i="7" s="1"/>
  <c r="D141" i="7" s="1" a="1"/>
  <c r="D141" i="7" s="1"/>
  <c r="R128" i="7" a="1"/>
  <c r="R128" i="7" s="1"/>
  <c r="D128" i="7" s="1" a="1"/>
  <c r="D128" i="7" s="1"/>
  <c r="R142" i="7"/>
  <c r="D142" i="7" s="1" a="1"/>
  <c r="D142" i="7" s="1"/>
  <c r="R145" i="7"/>
  <c r="D145" i="7" s="1" a="1"/>
  <c r="D145" i="7" s="1"/>
  <c r="R136" i="7" a="1"/>
  <c r="R136" i="7" s="1"/>
  <c r="D136" i="7" s="1" a="1"/>
  <c r="D136" i="7" s="1"/>
  <c r="R148" i="7"/>
  <c r="D148" i="7" s="1" a="1"/>
  <c r="D148" i="7" s="1"/>
  <c r="R147" i="7"/>
  <c r="D147" i="7" s="1" a="1"/>
  <c r="D147" i="7" s="1"/>
  <c r="R149" i="7"/>
  <c r="D149" i="7" s="1" a="1"/>
  <c r="D149" i="7" s="1"/>
  <c r="O217" i="14"/>
  <c r="P19" i="8"/>
  <c r="N106" i="9"/>
  <c r="N116" i="9" s="1"/>
  <c r="N55" i="9"/>
  <c r="N78" i="9" s="1"/>
  <c r="N79" i="9" s="1"/>
  <c r="N39" i="28"/>
  <c r="S14" i="17"/>
  <c r="O208" i="14"/>
  <c r="Q6" i="8"/>
  <c r="N53" i="9"/>
  <c r="N19" i="12"/>
  <c r="R120" i="7"/>
  <c r="O7" i="6"/>
  <c r="T12" i="17"/>
  <c r="P209" i="14"/>
  <c r="R4" i="8"/>
  <c r="P5" i="6"/>
  <c r="P44" i="6" s="1"/>
  <c r="S5" i="7"/>
  <c r="P18" i="8"/>
  <c r="P248" i="28"/>
  <c r="N149" i="13"/>
  <c r="Q150" i="7"/>
  <c r="M239" i="28"/>
  <c r="Q239" i="28" s="1"/>
  <c r="N85" i="6"/>
  <c r="M49" i="12"/>
  <c r="M65" i="12" s="1"/>
  <c r="M80" i="12" s="1"/>
  <c r="Q122" i="7" a="1"/>
  <c r="Q122" i="7" s="1"/>
  <c r="Q126" i="7" a="1"/>
  <c r="Q126" i="7" s="1"/>
  <c r="Q125" i="7" a="1"/>
  <c r="Q125" i="7" s="1"/>
  <c r="Q130" i="7" a="1"/>
  <c r="Q130" i="7" s="1"/>
  <c r="Q124" i="7" a="1"/>
  <c r="Q124" i="7" s="1"/>
  <c r="Q127" i="7" a="1"/>
  <c r="Q127" i="7" s="1"/>
  <c r="Q123" i="7" a="1"/>
  <c r="Q123" i="7" s="1"/>
  <c r="M63" i="9"/>
  <c r="M59" i="9"/>
  <c r="M112" i="7" a="1"/>
  <c r="M112" i="7" s="1"/>
  <c r="O224" i="14"/>
  <c r="O225" i="14" s="1"/>
  <c r="O211" i="14"/>
  <c r="P117" i="17"/>
  <c r="L19" i="6"/>
  <c r="M235" i="28"/>
  <c r="M250" i="28" s="1"/>
  <c r="Q232" i="28"/>
  <c r="Q235" i="28" s="1"/>
  <c r="P22" i="8"/>
  <c r="P57" i="8" s="1"/>
  <c r="J60" i="28"/>
  <c r="O56" i="17"/>
  <c r="S33" i="17"/>
  <c r="S95" i="17"/>
  <c r="M233" i="28"/>
  <c r="Q233" i="28" s="1"/>
  <c r="N227" i="14"/>
  <c r="N27" i="6" s="1"/>
  <c r="M112" i="17"/>
  <c r="I73" i="6"/>
  <c r="K37" i="8" a="1"/>
  <c r="K37" i="8" s="1"/>
  <c r="K38" i="8" s="1"/>
  <c r="O232" i="14"/>
  <c r="L249" i="28"/>
  <c r="L254" i="28" s="1"/>
  <c r="P77" i="17"/>
  <c r="N238" i="14"/>
  <c r="L40" i="16"/>
  <c r="N119" i="17"/>
  <c r="N120" i="17" s="1"/>
  <c r="J31" i="6" s="1" a="1"/>
  <c r="J31" i="6" s="1"/>
  <c r="J65" i="6" s="1"/>
  <c r="Q38" i="17"/>
  <c r="R42" i="17"/>
  <c r="Q51" i="17"/>
  <c r="N54" i="6"/>
  <c r="O220" i="14"/>
  <c r="O231" i="14" s="1"/>
  <c r="N25" i="17"/>
  <c r="H29" i="16" l="1"/>
  <c r="H29" i="34"/>
  <c r="O149" i="13"/>
  <c r="R150" i="7"/>
  <c r="D150" i="7" s="1" a="1"/>
  <c r="D150" i="7" s="1"/>
  <c r="S225" i="14"/>
  <c r="Q18" i="8"/>
  <c r="T32" i="17"/>
  <c r="T94" i="17"/>
  <c r="C63" i="28"/>
  <c r="C145" i="28" s="1"/>
  <c r="F49" i="8"/>
  <c r="L251" i="28"/>
  <c r="L255" i="28"/>
  <c r="O22" i="6" a="1"/>
  <c r="O22" i="6" s="1"/>
  <c r="O15" i="6"/>
  <c r="O86" i="6" s="1"/>
  <c r="O43" i="6"/>
  <c r="O28" i="6"/>
  <c r="O21" i="6"/>
  <c r="Q33" i="8" s="1" a="1"/>
  <c r="Q33" i="8" s="1"/>
  <c r="O14" i="6"/>
  <c r="O13" i="6"/>
  <c r="O49" i="6" a="1"/>
  <c r="O49" i="6" s="1"/>
  <c r="O34" i="6" a="1"/>
  <c r="O34" i="6" s="1"/>
  <c r="Q11" i="8" s="1" a="1"/>
  <c r="Q11" i="8" s="1"/>
  <c r="O24" i="6"/>
  <c r="O48" i="6" a="1"/>
  <c r="O48" i="6" s="1"/>
  <c r="N7" i="32" s="1"/>
  <c r="O81" i="6"/>
  <c r="N6" i="5"/>
  <c r="P88" i="17"/>
  <c r="O118" i="17"/>
  <c r="Q248" i="28"/>
  <c r="P21" i="17"/>
  <c r="O25" i="17" s="1"/>
  <c r="R47" i="17"/>
  <c r="N34" i="12"/>
  <c r="N3" i="12"/>
  <c r="G45" i="8"/>
  <c r="D32" i="34" s="1"/>
  <c r="P230" i="14"/>
  <c r="S232" i="14"/>
  <c r="Q20" i="8"/>
  <c r="N115" i="9"/>
  <c r="N105" i="9"/>
  <c r="N77" i="9"/>
  <c r="D118" i="9"/>
  <c r="E35" i="6"/>
  <c r="D42" i="34" s="1"/>
  <c r="D46" i="34" s="1"/>
  <c r="D48" i="34" s="1"/>
  <c r="J59" i="28"/>
  <c r="O57" i="17"/>
  <c r="P23" i="8"/>
  <c r="M24" i="16" s="1"/>
  <c r="N87" i="6"/>
  <c r="N89" i="6" s="1"/>
  <c r="M87" i="7" a="1"/>
  <c r="M87" i="7" s="1"/>
  <c r="M113" i="7" a="1"/>
  <c r="M113" i="7" s="1"/>
  <c r="M64" i="9"/>
  <c r="N66" i="6"/>
  <c r="Q111" i="7"/>
  <c r="N58" i="6"/>
  <c r="P12" i="8" a="1"/>
  <c r="P12" i="8" s="1"/>
  <c r="M117" i="9"/>
  <c r="N77" i="6"/>
  <c r="M54" i="28" s="1"/>
  <c r="M127" i="28" s="1"/>
  <c r="M128" i="28" s="1"/>
  <c r="N23" i="6"/>
  <c r="M40" i="34" s="1"/>
  <c r="R138" i="7" a="1"/>
  <c r="R138" i="7" s="1"/>
  <c r="D138" i="7" s="1" a="1"/>
  <c r="D138" i="7" s="1"/>
  <c r="R67" i="7"/>
  <c r="Q250" i="28"/>
  <c r="O219" i="14"/>
  <c r="N234" i="28" s="1"/>
  <c r="O218" i="14"/>
  <c r="O221" i="14" s="1"/>
  <c r="S34" i="17"/>
  <c r="S96" i="17"/>
  <c r="M240" i="28"/>
  <c r="Q238" i="28"/>
  <c r="J10" i="5"/>
  <c r="O110" i="17"/>
  <c r="N49" i="17"/>
  <c r="N26" i="17"/>
  <c r="O235" i="14"/>
  <c r="P78" i="17"/>
  <c r="N232" i="28"/>
  <c r="N243" i="28"/>
  <c r="N66" i="28"/>
  <c r="N52" i="28"/>
  <c r="Y17" i="23"/>
  <c r="Y19" i="23" s="1"/>
  <c r="Y15" i="23"/>
  <c r="Y14" i="23"/>
  <c r="Y9" i="23"/>
  <c r="Y8" i="23"/>
  <c r="Y7" i="23"/>
  <c r="Y6" i="23"/>
  <c r="Y16" i="23"/>
  <c r="Z4" i="23"/>
  <c r="Y5" i="23"/>
  <c r="P210" i="14"/>
  <c r="T13" i="17"/>
  <c r="R5" i="8"/>
  <c r="O54" i="9"/>
  <c r="S8" i="7"/>
  <c r="P6" i="6"/>
  <c r="T4" i="7"/>
  <c r="S6" i="7"/>
  <c r="N59" i="6"/>
  <c r="P13" i="8" a="1"/>
  <c r="P13" i="8" s="1"/>
  <c r="M111" i="12"/>
  <c r="M128" i="12" s="1"/>
  <c r="M146" i="12" s="1"/>
  <c r="M165" i="12" s="1"/>
  <c r="M96" i="12"/>
  <c r="P214" i="14"/>
  <c r="P212" i="14"/>
  <c r="P213" i="14"/>
  <c r="N83" i="9"/>
  <c r="O58" i="17" l="1"/>
  <c r="J58" i="28" s="1"/>
  <c r="M55" i="28"/>
  <c r="B244" i="14"/>
  <c r="D244" i="14" s="1"/>
  <c r="P217" i="14"/>
  <c r="Q19" i="8"/>
  <c r="O83" i="6"/>
  <c r="N91" i="6"/>
  <c r="P42" i="8" a="1"/>
  <c r="P42" i="8" s="1"/>
  <c r="O49" i="17"/>
  <c r="O26" i="17"/>
  <c r="N112" i="7" a="1"/>
  <c r="N112" i="7" s="1"/>
  <c r="O106" i="9"/>
  <c r="O116" i="9" s="1"/>
  <c r="O55" i="9"/>
  <c r="O78" i="9" s="1"/>
  <c r="O79" i="9" s="1"/>
  <c r="N239" i="28"/>
  <c r="O85" i="6"/>
  <c r="J42" i="5"/>
  <c r="F55" i="8"/>
  <c r="F50" i="8"/>
  <c r="P220" i="14"/>
  <c r="P231" i="14" s="1"/>
  <c r="P232" i="14" s="1"/>
  <c r="T33" i="17"/>
  <c r="T95" i="17"/>
  <c r="M247" i="28"/>
  <c r="M244" i="28"/>
  <c r="Q244" i="28" s="1"/>
  <c r="I265" i="28" s="1"/>
  <c r="Q240" i="28"/>
  <c r="I266" i="28" s="1"/>
  <c r="J266" i="28" s="1"/>
  <c r="D42" i="16"/>
  <c r="D46" i="16" s="1"/>
  <c r="D48" i="16" s="1"/>
  <c r="E37" i="6"/>
  <c r="N49" i="12"/>
  <c r="N65" i="12" s="1"/>
  <c r="N80" i="12" s="1"/>
  <c r="R123" i="7" a="1"/>
  <c r="R123" i="7" s="1"/>
  <c r="D123" i="7" s="1" a="1"/>
  <c r="D123" i="7" s="1"/>
  <c r="R126" i="7" a="1"/>
  <c r="R126" i="7" s="1"/>
  <c r="D126" i="7" s="1" a="1"/>
  <c r="D126" i="7" s="1"/>
  <c r="R122" i="7" a="1"/>
  <c r="R122" i="7" s="1"/>
  <c r="D122" i="7" s="1" a="1"/>
  <c r="D122" i="7" s="1"/>
  <c r="R125" i="7" a="1"/>
  <c r="R125" i="7" s="1"/>
  <c r="D125" i="7" s="1" a="1"/>
  <c r="D125" i="7" s="1"/>
  <c r="R130" i="7" a="1"/>
  <c r="R130" i="7" s="1"/>
  <c r="D130" i="7" s="1" a="1"/>
  <c r="D130" i="7" s="1"/>
  <c r="R124" i="7" a="1"/>
  <c r="R124" i="7" s="1"/>
  <c r="D124" i="7" s="1" a="1"/>
  <c r="D124" i="7" s="1"/>
  <c r="R127" i="7" a="1"/>
  <c r="R127" i="7" s="1"/>
  <c r="D127" i="7" s="1" a="1"/>
  <c r="D127" i="7" s="1"/>
  <c r="D120" i="9"/>
  <c r="Z14" i="23"/>
  <c r="Z16" i="23"/>
  <c r="Z17" i="23" s="1"/>
  <c r="Z19" i="23" s="1"/>
  <c r="Z9" i="23"/>
  <c r="Z8" i="23"/>
  <c r="Z15" i="23"/>
  <c r="Z5" i="23"/>
  <c r="AA4" i="23"/>
  <c r="Z7" i="23"/>
  <c r="Z6" i="23"/>
  <c r="R38" i="17"/>
  <c r="S42" i="17"/>
  <c r="R51" i="17"/>
  <c r="N7" i="5"/>
  <c r="O53" i="6"/>
  <c r="P84" i="17"/>
  <c r="Q75" i="17"/>
  <c r="P86" i="17"/>
  <c r="P80" i="17"/>
  <c r="P82" i="17" s="1"/>
  <c r="N233" i="28"/>
  <c r="N235" i="28" s="1"/>
  <c r="N250" i="28" s="1"/>
  <c r="O227" i="14"/>
  <c r="R46" i="17"/>
  <c r="P24" i="17"/>
  <c r="J24" i="32" s="1"/>
  <c r="T225" i="14"/>
  <c r="S18" i="8" s="1"/>
  <c r="R18" i="8"/>
  <c r="D62" i="28"/>
  <c r="D144" i="28" s="1"/>
  <c r="D32" i="16"/>
  <c r="O119" i="17"/>
  <c r="O120" i="17" s="1"/>
  <c r="K31" i="6" s="1" a="1"/>
  <c r="K31" i="6" s="1"/>
  <c r="K65" i="6" s="1"/>
  <c r="M40" i="16"/>
  <c r="S235" i="14"/>
  <c r="R83" i="7"/>
  <c r="O236" i="14"/>
  <c r="P211" i="14"/>
  <c r="P224" i="14"/>
  <c r="O39" i="28"/>
  <c r="P208" i="14"/>
  <c r="T14" i="17"/>
  <c r="O53" i="9"/>
  <c r="O19" i="12"/>
  <c r="R6" i="8"/>
  <c r="S120" i="7"/>
  <c r="P7" i="6"/>
  <c r="Q209" i="14"/>
  <c r="U12" i="17"/>
  <c r="S4" i="8"/>
  <c r="Q5" i="6"/>
  <c r="Q44" i="6" s="1"/>
  <c r="T5" i="7"/>
  <c r="P68" i="6"/>
  <c r="P45" i="6"/>
  <c r="K60" i="28"/>
  <c r="P56" i="17"/>
  <c r="O54" i="6"/>
  <c r="S69" i="7" a="1"/>
  <c r="S69" i="7" s="1"/>
  <c r="S139" i="7" s="1" a="1"/>
  <c r="S139" i="7" s="1"/>
  <c r="S68" i="7" a="1"/>
  <c r="S68" i="7" s="1"/>
  <c r="S81" i="7" a="1"/>
  <c r="S81" i="7" s="1"/>
  <c r="S9" i="7"/>
  <c r="S143" i="7"/>
  <c r="S144" i="7" a="1"/>
  <c r="S144" i="7" s="1"/>
  <c r="S129" i="7" a="1"/>
  <c r="S129" i="7" s="1"/>
  <c r="S128" i="7" a="1"/>
  <c r="S128" i="7" s="1"/>
  <c r="S141" i="7" a="1"/>
  <c r="S141" i="7" s="1"/>
  <c r="S142" i="7"/>
  <c r="S145" i="7"/>
  <c r="S136" i="7" a="1"/>
  <c r="S136" i="7" s="1"/>
  <c r="S147" i="7"/>
  <c r="S148" i="7"/>
  <c r="S149" i="7"/>
  <c r="J72" i="6"/>
  <c r="L31" i="8" a="1"/>
  <c r="L31" i="8" s="1"/>
  <c r="N111" i="17"/>
  <c r="N50" i="17"/>
  <c r="T232" i="14"/>
  <c r="R20" i="8"/>
  <c r="F169" i="4"/>
  <c r="N238" i="28"/>
  <c r="N240" i="28" s="1"/>
  <c r="O16" i="6"/>
  <c r="O84" i="6"/>
  <c r="O87" i="6" s="1"/>
  <c r="Q230" i="14" l="1"/>
  <c r="P235" i="14"/>
  <c r="S234" i="14"/>
  <c r="S236" i="14" s="1"/>
  <c r="P234" i="14"/>
  <c r="P236" i="14" s="1"/>
  <c r="Q234" i="14" s="1"/>
  <c r="O238" i="14"/>
  <c r="S20" i="8"/>
  <c r="P118" i="17"/>
  <c r="N59" i="9"/>
  <c r="N63" i="9"/>
  <c r="Q21" i="8" a="1"/>
  <c r="Q21" i="8" s="1"/>
  <c r="K57" i="28"/>
  <c r="K116" i="28" s="1"/>
  <c r="P48" i="17"/>
  <c r="K10" i="32" s="1"/>
  <c r="J24" i="5"/>
  <c r="P16" i="17"/>
  <c r="Q18" i="17"/>
  <c r="P22" i="17"/>
  <c r="J73" i="6"/>
  <c r="N112" i="17"/>
  <c r="L37" i="8" a="1"/>
  <c r="L37" i="8" s="1"/>
  <c r="L38" i="8" s="1"/>
  <c r="N111" i="12"/>
  <c r="N128" i="12" s="1"/>
  <c r="N146" i="12" s="1"/>
  <c r="N165" i="12" s="1"/>
  <c r="N96" i="12"/>
  <c r="O115" i="9"/>
  <c r="O77" i="9"/>
  <c r="O105" i="9"/>
  <c r="T235" i="14"/>
  <c r="T83" i="7" s="1"/>
  <c r="S83" i="7"/>
  <c r="U13" i="17"/>
  <c r="Q210" i="14"/>
  <c r="S5" i="8"/>
  <c r="P54" i="9"/>
  <c r="Q6" i="6"/>
  <c r="T8" i="7"/>
  <c r="T6" i="7"/>
  <c r="T34" i="17"/>
  <c r="T96" i="17"/>
  <c r="O27" i="6"/>
  <c r="R227" i="14"/>
  <c r="B243" i="14" s="1"/>
  <c r="S47" i="17"/>
  <c r="S46" i="17" s="1"/>
  <c r="D121" i="9"/>
  <c r="E808" i="11"/>
  <c r="E38" i="6"/>
  <c r="D9" i="32" s="1"/>
  <c r="K72" i="6"/>
  <c r="M31" i="8" a="1"/>
  <c r="M31" i="8" s="1"/>
  <c r="O111" i="17"/>
  <c r="O50" i="17"/>
  <c r="O58" i="6"/>
  <c r="Q12" i="8" a="1"/>
  <c r="Q12" i="8" s="1"/>
  <c r="S138" i="7" a="1"/>
  <c r="S138" i="7" s="1"/>
  <c r="C34" i="9"/>
  <c r="J44" i="5"/>
  <c r="R31" i="8" a="1"/>
  <c r="R31" i="8" s="1"/>
  <c r="R37" i="8" a="1"/>
  <c r="R37" i="8" s="1"/>
  <c r="R38" i="8" s="1"/>
  <c r="O89" i="6"/>
  <c r="U32" i="17"/>
  <c r="U94" i="17"/>
  <c r="N247" i="28"/>
  <c r="N244" i="28"/>
  <c r="Q213" i="14"/>
  <c r="Q212" i="14"/>
  <c r="Q214" i="14"/>
  <c r="P219" i="14"/>
  <c r="O234" i="28" s="1"/>
  <c r="P218" i="14"/>
  <c r="O233" i="28" s="1"/>
  <c r="Q76" i="17" a="1"/>
  <c r="Q76" i="17" s="1"/>
  <c r="AA15" i="23"/>
  <c r="AA9" i="23"/>
  <c r="AA8" i="23"/>
  <c r="AA14" i="23"/>
  <c r="AA7" i="23"/>
  <c r="AA6" i="23"/>
  <c r="AA16" i="23"/>
  <c r="AA17" i="23" s="1"/>
  <c r="AA19" i="23" s="1"/>
  <c r="AB4" i="23"/>
  <c r="AA5" i="23"/>
  <c r="O52" i="28"/>
  <c r="O66" i="28"/>
  <c r="N113" i="7" a="1"/>
  <c r="N113" i="7" s="1"/>
  <c r="N87" i="7" a="1"/>
  <c r="N87" i="7" s="1"/>
  <c r="O59" i="6"/>
  <c r="Q13" i="8" a="1"/>
  <c r="Q13" i="8" s="1"/>
  <c r="P48" i="6" a="1"/>
  <c r="P48" i="6" s="1"/>
  <c r="O7" i="32" s="1"/>
  <c r="P22" i="6" a="1"/>
  <c r="P22" i="6" s="1"/>
  <c r="P15" i="6"/>
  <c r="P86" i="6" s="1"/>
  <c r="P43" i="6"/>
  <c r="P28" i="6"/>
  <c r="P21" i="6"/>
  <c r="R33" i="8" s="1" a="1"/>
  <c r="R33" i="8" s="1"/>
  <c r="P14" i="6"/>
  <c r="P81" i="6"/>
  <c r="O6" i="5"/>
  <c r="P24" i="6"/>
  <c r="P34" i="6" a="1"/>
  <c r="P34" i="6" s="1"/>
  <c r="P13" i="6"/>
  <c r="P49" i="6" a="1"/>
  <c r="P49" i="6" s="1"/>
  <c r="R11" i="8" a="1"/>
  <c r="R11" i="8" s="1"/>
  <c r="M249" i="28"/>
  <c r="O34" i="12"/>
  <c r="O3" i="12"/>
  <c r="C17" i="15"/>
  <c r="B17" i="15"/>
  <c r="S70" i="7"/>
  <c r="N117" i="9"/>
  <c r="O77" i="6"/>
  <c r="N54" i="28" s="1"/>
  <c r="O23" i="6"/>
  <c r="N40" i="34" s="1"/>
  <c r="O243" i="28"/>
  <c r="O232" i="28"/>
  <c r="P225" i="14"/>
  <c r="O83" i="9"/>
  <c r="O29" i="16" l="1"/>
  <c r="O29" i="34"/>
  <c r="I29" i="16"/>
  <c r="I29" i="34"/>
  <c r="E40" i="6"/>
  <c r="P110" i="17"/>
  <c r="M251" i="28"/>
  <c r="M255" i="28"/>
  <c r="O59" i="9"/>
  <c r="O63" i="9"/>
  <c r="K59" i="28"/>
  <c r="P57" i="17"/>
  <c r="P23" i="17"/>
  <c r="O112" i="7" a="1"/>
  <c r="O112" i="7" s="1"/>
  <c r="N40" i="16"/>
  <c r="O239" i="28"/>
  <c r="P85" i="6"/>
  <c r="P59" i="9"/>
  <c r="P63" i="9"/>
  <c r="Q21" i="17"/>
  <c r="P25" i="17" s="1"/>
  <c r="N127" i="28"/>
  <c r="N128" i="28" s="1"/>
  <c r="N55" i="28"/>
  <c r="P39" i="28"/>
  <c r="U14" i="17"/>
  <c r="Q208" i="14"/>
  <c r="P19" i="12"/>
  <c r="S6" i="8"/>
  <c r="P53" i="9"/>
  <c r="T120" i="7"/>
  <c r="Q7" i="6"/>
  <c r="C78" i="5" a="1"/>
  <c r="C78" i="5" s="1"/>
  <c r="M44" i="5" a="1"/>
  <c r="M44" i="5" s="1"/>
  <c r="M42" i="5" a="1"/>
  <c r="M42" i="5" s="1"/>
  <c r="M43" i="5" a="1"/>
  <c r="M43" i="5" s="1"/>
  <c r="M46" i="5" a="1"/>
  <c r="M46" i="5" s="1"/>
  <c r="C80" i="5" a="1"/>
  <c r="C80" i="5" s="1"/>
  <c r="M48" i="5" a="1"/>
  <c r="M48" i="5" s="1"/>
  <c r="M45" i="5" a="1"/>
  <c r="M45" i="5" s="1"/>
  <c r="M47" i="5" a="1"/>
  <c r="M47" i="5" s="1"/>
  <c r="C77" i="5" a="1"/>
  <c r="C77" i="5" s="1"/>
  <c r="M41" i="5" a="1"/>
  <c r="M41" i="5" s="1"/>
  <c r="K10" i="5"/>
  <c r="P54" i="6"/>
  <c r="Q117" i="17"/>
  <c r="M19" i="6"/>
  <c r="N249" i="28"/>
  <c r="N254" i="28" s="1"/>
  <c r="C41" i="9"/>
  <c r="C42" i="9"/>
  <c r="C36" i="9"/>
  <c r="C37" i="9" s="1"/>
  <c r="T68" i="7" a="1"/>
  <c r="T68" i="7" s="1"/>
  <c r="T70" i="7" s="1"/>
  <c r="T81" i="7" a="1"/>
  <c r="T81" i="7" s="1"/>
  <c r="T69" i="7" a="1"/>
  <c r="T69" i="7" s="1"/>
  <c r="T139" i="7" s="1" a="1"/>
  <c r="T139" i="7" s="1"/>
  <c r="T9" i="7"/>
  <c r="T144" i="7" a="1"/>
  <c r="T144" i="7" s="1"/>
  <c r="T143" i="7"/>
  <c r="T128" i="7" a="1"/>
  <c r="T128" i="7" s="1"/>
  <c r="T129" i="7" a="1"/>
  <c r="T129" i="7" s="1"/>
  <c r="T141" i="7" a="1"/>
  <c r="T141" i="7" s="1"/>
  <c r="T142" i="7"/>
  <c r="T145" i="7"/>
  <c r="T136" i="7" a="1"/>
  <c r="T136" i="7" s="1"/>
  <c r="T147" i="7"/>
  <c r="T148" i="7"/>
  <c r="T149" i="7"/>
  <c r="T234" i="14"/>
  <c r="T236" i="14" s="1"/>
  <c r="T238" i="14" s="1"/>
  <c r="S238" i="14"/>
  <c r="P149" i="13"/>
  <c r="S150" i="7"/>
  <c r="Q77" i="17"/>
  <c r="Q78" i="17" s="1"/>
  <c r="S67" i="7"/>
  <c r="D56" i="28"/>
  <c r="D117" i="28" s="1"/>
  <c r="E807" i="11"/>
  <c r="E809" i="11" s="1"/>
  <c r="G10" i="8"/>
  <c r="E69" i="6"/>
  <c r="E70" i="6" s="1"/>
  <c r="D9" i="5"/>
  <c r="F10" i="6"/>
  <c r="E38" i="34" s="1"/>
  <c r="Q68" i="6"/>
  <c r="Q45" i="6"/>
  <c r="N64" i="9"/>
  <c r="R111" i="7"/>
  <c r="O66" i="6"/>
  <c r="P106" i="9"/>
  <c r="P116" i="9" s="1"/>
  <c r="P55" i="9"/>
  <c r="P78" i="9" s="1"/>
  <c r="P79" i="9" s="1"/>
  <c r="R21" i="8" a="1"/>
  <c r="R21" i="8" s="1"/>
  <c r="Q22" i="8"/>
  <c r="O112" i="17"/>
  <c r="K73" i="6"/>
  <c r="M37" i="8" a="1"/>
  <c r="M37" i="8" s="1"/>
  <c r="M38" i="8" s="1"/>
  <c r="O238" i="28"/>
  <c r="P16" i="6"/>
  <c r="P84" i="6"/>
  <c r="O49" i="12"/>
  <c r="O65" i="12" s="1"/>
  <c r="O80" i="12" s="1"/>
  <c r="S122" i="7" a="1"/>
  <c r="S122" i="7" s="1"/>
  <c r="S123" i="7" a="1"/>
  <c r="S123" i="7" s="1"/>
  <c r="S125" i="7" a="1"/>
  <c r="S125" i="7" s="1"/>
  <c r="S124" i="7" a="1"/>
  <c r="S124" i="7" s="1"/>
  <c r="S127" i="7" a="1"/>
  <c r="S127" i="7" s="1"/>
  <c r="S130" i="7" a="1"/>
  <c r="S130" i="7" s="1"/>
  <c r="S126" i="7" a="1"/>
  <c r="S126" i="7" s="1"/>
  <c r="O7" i="5"/>
  <c r="P53" i="6"/>
  <c r="P58" i="6" s="1"/>
  <c r="AB17" i="23"/>
  <c r="AB19" i="23" s="1"/>
  <c r="AB14" i="23"/>
  <c r="AB9" i="23"/>
  <c r="AB8" i="23"/>
  <c r="AB15" i="23"/>
  <c r="AB16" i="23"/>
  <c r="AB7" i="23"/>
  <c r="AB6" i="23"/>
  <c r="AC4" i="23"/>
  <c r="AB5" i="23"/>
  <c r="O91" i="6"/>
  <c r="P83" i="6"/>
  <c r="Q42" i="8" a="1"/>
  <c r="Q42" i="8" s="1"/>
  <c r="D17" i="15"/>
  <c r="E17" i="15" s="1"/>
  <c r="F17" i="15" s="1"/>
  <c r="P221" i="14"/>
  <c r="Q217" i="14" s="1"/>
  <c r="Q211" i="14"/>
  <c r="Q224" i="14"/>
  <c r="Q232" i="14"/>
  <c r="Q235" i="14"/>
  <c r="R235" i="14" s="1"/>
  <c r="Q220" i="14"/>
  <c r="Q231" i="14" s="1"/>
  <c r="Q225" i="14"/>
  <c r="O235" i="28"/>
  <c r="O250" i="28" s="1"/>
  <c r="M254" i="28"/>
  <c r="S38" i="17"/>
  <c r="S51" i="17"/>
  <c r="U95" i="17"/>
  <c r="U33" i="17"/>
  <c r="P238" i="14"/>
  <c r="J29" i="16" l="1"/>
  <c r="J29" i="34"/>
  <c r="E39" i="6"/>
  <c r="C23" i="32"/>
  <c r="O240" i="28"/>
  <c r="P87" i="6"/>
  <c r="P89" i="6" s="1"/>
  <c r="Q83" i="6" s="1"/>
  <c r="C44" i="9"/>
  <c r="Q149" i="13"/>
  <c r="T150" i="7"/>
  <c r="Q84" i="17"/>
  <c r="R75" i="17"/>
  <c r="Q86" i="17"/>
  <c r="Q80" i="17"/>
  <c r="Q82" i="17" s="1"/>
  <c r="P49" i="17"/>
  <c r="P26" i="17"/>
  <c r="O117" i="9"/>
  <c r="P77" i="6"/>
  <c r="O54" i="28" s="1"/>
  <c r="O127" i="28" s="1"/>
  <c r="O128" i="28" s="1"/>
  <c r="P23" i="6"/>
  <c r="O40" i="34" s="1"/>
  <c r="Q24" i="17"/>
  <c r="K24" i="32" s="1"/>
  <c r="O247" i="28"/>
  <c r="O244" i="28"/>
  <c r="P119" i="17"/>
  <c r="P58" i="17"/>
  <c r="K58" i="28" s="1"/>
  <c r="N251" i="28"/>
  <c r="N255" i="28"/>
  <c r="AC8" i="23"/>
  <c r="AC15" i="23"/>
  <c r="AC16" i="23"/>
  <c r="AC14" i="23"/>
  <c r="AC7" i="23"/>
  <c r="AC17" i="23"/>
  <c r="AC19" i="23" s="1"/>
  <c r="AC6" i="23"/>
  <c r="AD4" i="23"/>
  <c r="AC5" i="23"/>
  <c r="AC9" i="23"/>
  <c r="S50" i="8"/>
  <c r="S31" i="8" a="1"/>
  <c r="S31" i="8" s="1"/>
  <c r="F139" i="28" s="1"/>
  <c r="S37" i="8" a="1"/>
  <c r="S37" i="8" s="1"/>
  <c r="Q238" i="14"/>
  <c r="P59" i="6"/>
  <c r="R13" i="8" a="1"/>
  <c r="R13" i="8" s="1"/>
  <c r="P34" i="12"/>
  <c r="P3" i="12"/>
  <c r="R12" i="8" a="1"/>
  <c r="R12" i="8" s="1"/>
  <c r="P243" i="28"/>
  <c r="P232" i="28"/>
  <c r="R224" i="14"/>
  <c r="Q57" i="8"/>
  <c r="Q23" i="8"/>
  <c r="N24" i="16" s="1"/>
  <c r="Q219" i="14"/>
  <c r="Q218" i="14"/>
  <c r="Q221" i="14"/>
  <c r="S21" i="8" a="1"/>
  <c r="S21" i="8" s="1"/>
  <c r="S22" i="8" s="1"/>
  <c r="R22" i="8"/>
  <c r="E38" i="16"/>
  <c r="Q236" i="14"/>
  <c r="U96" i="17"/>
  <c r="U34" i="17"/>
  <c r="P52" i="28"/>
  <c r="P66" i="28"/>
  <c r="S33" i="8" a="1"/>
  <c r="S33" i="8" s="1"/>
  <c r="T67" i="7"/>
  <c r="C76" i="5" s="1" a="1"/>
  <c r="C76" i="5" s="1"/>
  <c r="T138" i="7" a="1"/>
  <c r="T138" i="7" s="1"/>
  <c r="L60" i="28"/>
  <c r="Q56" i="17"/>
  <c r="O96" i="12"/>
  <c r="O111" i="12"/>
  <c r="O128" i="12" s="1"/>
  <c r="O146" i="12" s="1"/>
  <c r="O165" i="12" s="1"/>
  <c r="P77" i="9"/>
  <c r="P115" i="9"/>
  <c r="P105" i="9"/>
  <c r="Q88" i="17"/>
  <c r="G56" i="8"/>
  <c r="G15" i="8"/>
  <c r="D22" i="34" s="1"/>
  <c r="D25" i="34" s="1"/>
  <c r="D33" i="34" s="1"/>
  <c r="C23" i="5"/>
  <c r="I105" i="7"/>
  <c r="Q22" i="6" a="1"/>
  <c r="Q22" i="6" s="1"/>
  <c r="Q15" i="6"/>
  <c r="Q86" i="6" s="1"/>
  <c r="Q43" i="6"/>
  <c r="Q28" i="6"/>
  <c r="Q21" i="6"/>
  <c r="Q14" i="6"/>
  <c r="Q81" i="6"/>
  <c r="Q49" i="6" a="1"/>
  <c r="Q49" i="6" s="1"/>
  <c r="Q48" i="6" a="1"/>
  <c r="Q48" i="6" s="1"/>
  <c r="P7" i="32" s="1"/>
  <c r="Q34" i="6" a="1"/>
  <c r="Q34" i="6" s="1"/>
  <c r="S11" i="8" s="1" a="1"/>
  <c r="S11" i="8" s="1"/>
  <c r="P6" i="5"/>
  <c r="Q13" i="6"/>
  <c r="R42" i="8" l="1" a="1"/>
  <c r="R42" i="8" s="1"/>
  <c r="P91" i="6"/>
  <c r="L57" i="28"/>
  <c r="L116" i="28" s="1"/>
  <c r="Q48" i="17"/>
  <c r="L10" i="32" s="1"/>
  <c r="K24" i="5"/>
  <c r="R18" i="17"/>
  <c r="Q16" i="17"/>
  <c r="Q22" i="17"/>
  <c r="O40" i="16"/>
  <c r="P238" i="28"/>
  <c r="Q16" i="6"/>
  <c r="Q84" i="6"/>
  <c r="C30" i="28"/>
  <c r="AD17" i="23"/>
  <c r="AD19" i="23" s="1"/>
  <c r="AD15" i="23"/>
  <c r="AD16" i="23"/>
  <c r="AD14" i="23"/>
  <c r="AD6" i="23"/>
  <c r="AD7" i="23"/>
  <c r="AD5" i="23"/>
  <c r="AE4" i="23"/>
  <c r="AD9" i="23"/>
  <c r="AD8" i="23"/>
  <c r="O113" i="7" a="1"/>
  <c r="O113" i="7" s="1"/>
  <c r="O87" i="7" a="1"/>
  <c r="O87" i="7" s="1"/>
  <c r="P120" i="17"/>
  <c r="L31" i="6" s="1" a="1"/>
  <c r="L31" i="6" s="1"/>
  <c r="L65" i="6" s="1"/>
  <c r="L72" i="6"/>
  <c r="N31" i="8" a="1"/>
  <c r="N31" i="8" s="1"/>
  <c r="P111" i="17"/>
  <c r="P50" i="17"/>
  <c r="S57" i="8"/>
  <c r="S23" i="8"/>
  <c r="P24" i="16" s="1"/>
  <c r="P49" i="12"/>
  <c r="P65" i="12" s="1"/>
  <c r="P80" i="12" s="1"/>
  <c r="T123" i="7" a="1"/>
  <c r="T123" i="7" s="1"/>
  <c r="T125" i="7" a="1"/>
  <c r="T125" i="7" s="1"/>
  <c r="T130" i="7" a="1"/>
  <c r="T130" i="7" s="1"/>
  <c r="T122" i="7" a="1"/>
  <c r="T122" i="7" s="1"/>
  <c r="T124" i="7" a="1"/>
  <c r="T124" i="7" s="1"/>
  <c r="T126" i="7" a="1"/>
  <c r="T126" i="7" s="1"/>
  <c r="T127" i="7" a="1"/>
  <c r="T127" i="7" s="1"/>
  <c r="F33" i="6" a="1"/>
  <c r="F33" i="6" s="1"/>
  <c r="H43" i="8" a="1"/>
  <c r="H43" i="8" s="1"/>
  <c r="Q118" i="17"/>
  <c r="P233" i="28"/>
  <c r="P235" i="28" s="1"/>
  <c r="P250" i="28" s="1"/>
  <c r="R218" i="14"/>
  <c r="P7" i="5"/>
  <c r="Q53" i="6"/>
  <c r="Q58" i="6" s="1"/>
  <c r="P234" i="28"/>
  <c r="R219" i="14"/>
  <c r="B241" i="14" s="1"/>
  <c r="O249" i="28"/>
  <c r="O254" i="28" s="1"/>
  <c r="Q54" i="6"/>
  <c r="Q59" i="6" s="1"/>
  <c r="D22" i="16"/>
  <c r="D25" i="16" s="1"/>
  <c r="D33" i="16" s="1"/>
  <c r="G25" i="8"/>
  <c r="F140" i="28"/>
  <c r="S38" i="8"/>
  <c r="R76" i="17" a="1"/>
  <c r="R76" i="17" s="1"/>
  <c r="R57" i="8"/>
  <c r="R23" i="8"/>
  <c r="O24" i="16" s="1"/>
  <c r="S13" i="8" a="1"/>
  <c r="S13" i="8" s="1"/>
  <c r="P239" i="28"/>
  <c r="Q85" i="6"/>
  <c r="C31" i="28"/>
  <c r="O55" i="28"/>
  <c r="P29" i="16" l="1"/>
  <c r="P29" i="34"/>
  <c r="Q110" i="17"/>
  <c r="L59" i="28"/>
  <c r="Q57" i="17"/>
  <c r="Q23" i="17"/>
  <c r="C300" i="28"/>
  <c r="C138" i="28"/>
  <c r="R77" i="17"/>
  <c r="C299" i="28"/>
  <c r="C137" i="28"/>
  <c r="R21" i="17"/>
  <c r="Q87" i="6"/>
  <c r="Q89" i="6" s="1"/>
  <c r="P117" i="9"/>
  <c r="Q23" i="6"/>
  <c r="P40" i="34" s="1"/>
  <c r="C29" i="28"/>
  <c r="L10" i="5"/>
  <c r="D63" i="28"/>
  <c r="D145" i="28" s="1"/>
  <c r="G49" i="8"/>
  <c r="P240" i="28"/>
  <c r="P96" i="12"/>
  <c r="P111" i="12"/>
  <c r="P128" i="12" s="1"/>
  <c r="P146" i="12" s="1"/>
  <c r="P165" i="12" s="1"/>
  <c r="AE16" i="23"/>
  <c r="AE9" i="23"/>
  <c r="AE15" i="23"/>
  <c r="AE5" i="23"/>
  <c r="AF4" i="23"/>
  <c r="AE14" i="23"/>
  <c r="AE7" i="23"/>
  <c r="AE17" i="23"/>
  <c r="AE19" i="23" s="1"/>
  <c r="AE6" i="23"/>
  <c r="AE8" i="23"/>
  <c r="P112" i="7" a="1"/>
  <c r="P112" i="7" s="1"/>
  <c r="S12" i="8" a="1"/>
  <c r="S12" i="8" s="1"/>
  <c r="R117" i="17"/>
  <c r="N19" i="6"/>
  <c r="H45" i="8"/>
  <c r="E32" i="34" s="1"/>
  <c r="R221" i="14"/>
  <c r="B242" i="14"/>
  <c r="E242" i="14" s="1"/>
  <c r="O251" i="28"/>
  <c r="O255" i="28"/>
  <c r="E118" i="9"/>
  <c r="F35" i="6"/>
  <c r="E42" i="34" s="1"/>
  <c r="E46" i="34" s="1"/>
  <c r="E48" i="34" s="1"/>
  <c r="L73" i="6"/>
  <c r="P112" i="17"/>
  <c r="N37" i="8" a="1"/>
  <c r="N37" i="8" s="1"/>
  <c r="N38" i="8" s="1"/>
  <c r="K29" i="16" l="1"/>
  <c r="K29" i="34"/>
  <c r="G55" i="8"/>
  <c r="G50" i="8"/>
  <c r="M60" i="28"/>
  <c r="R56" i="17"/>
  <c r="R78" i="17"/>
  <c r="E42" i="16"/>
  <c r="E46" i="16" s="1"/>
  <c r="E48" i="16" s="1"/>
  <c r="F37" i="6"/>
  <c r="E791" i="11"/>
  <c r="I791" i="11" s="1"/>
  <c r="C298" i="28"/>
  <c r="C34" i="28"/>
  <c r="C303" i="28" s="1"/>
  <c r="C33" i="28"/>
  <c r="P40" i="16"/>
  <c r="C125" i="9"/>
  <c r="E120" i="9"/>
  <c r="Q91" i="6"/>
  <c r="S42" i="8" a="1"/>
  <c r="S42" i="8" s="1"/>
  <c r="Q119" i="17"/>
  <c r="Q58" i="17"/>
  <c r="L58" i="28" s="1"/>
  <c r="AF15" i="23"/>
  <c r="AF9" i="23"/>
  <c r="AF8" i="23"/>
  <c r="AF16" i="23"/>
  <c r="AF17" i="23" s="1"/>
  <c r="AF19" i="23" s="1"/>
  <c r="AF5" i="23"/>
  <c r="AF14" i="23"/>
  <c r="AF7" i="23"/>
  <c r="AF6" i="23"/>
  <c r="AG4" i="23"/>
  <c r="R24" i="17"/>
  <c r="L24" i="32" s="1"/>
  <c r="Q25" i="17"/>
  <c r="E62" i="28"/>
  <c r="E144" i="28" s="1"/>
  <c r="E32" i="16"/>
  <c r="P244" i="28"/>
  <c r="P247" i="28"/>
  <c r="F808" i="11" l="1"/>
  <c r="F38" i="6"/>
  <c r="R84" i="17"/>
  <c r="S75" i="17"/>
  <c r="R86" i="17"/>
  <c r="R80" i="17"/>
  <c r="R82" i="17" s="1"/>
  <c r="R118" i="17"/>
  <c r="Q49" i="17"/>
  <c r="Q26" i="17"/>
  <c r="E121" i="9"/>
  <c r="C302" i="28"/>
  <c r="L13" i="4"/>
  <c r="R408" i="29" s="1"/>
  <c r="P249" i="28"/>
  <c r="P254" i="28" s="1"/>
  <c r="Q247" i="28"/>
  <c r="M57" i="28"/>
  <c r="M116" i="28" s="1"/>
  <c r="R48" i="17"/>
  <c r="M10" i="32" s="1"/>
  <c r="L24" i="5"/>
  <c r="R16" i="17"/>
  <c r="S18" i="17"/>
  <c r="R22" i="17"/>
  <c r="AG14" i="23"/>
  <c r="AG9" i="23"/>
  <c r="AG8" i="23"/>
  <c r="AG7" i="23"/>
  <c r="AG16" i="23"/>
  <c r="AG17" i="23" s="1"/>
  <c r="AG19" i="23" s="1"/>
  <c r="AG15" i="23"/>
  <c r="AG6" i="23"/>
  <c r="AG5" i="23"/>
  <c r="AH4" i="23"/>
  <c r="P113" i="7" a="1"/>
  <c r="P113" i="7" s="1"/>
  <c r="P87" i="7" a="1"/>
  <c r="P87" i="7" s="1"/>
  <c r="Q120" i="17"/>
  <c r="M31" i="6" s="1" a="1"/>
  <c r="M31" i="6" s="1"/>
  <c r="M65" i="6" s="1"/>
  <c r="F138" i="28"/>
  <c r="R88" i="17"/>
  <c r="F40" i="6" l="1"/>
  <c r="E9" i="32"/>
  <c r="M72" i="6"/>
  <c r="O31" i="8" a="1"/>
  <c r="O31" i="8" s="1"/>
  <c r="Q111" i="17"/>
  <c r="Q50" i="17"/>
  <c r="Q112" i="7" a="1"/>
  <c r="Q112" i="7" s="1"/>
  <c r="Q249" i="28"/>
  <c r="Q254" i="28"/>
  <c r="D169" i="4"/>
  <c r="P251" i="28"/>
  <c r="P255" i="28"/>
  <c r="S76" i="17" a="1"/>
  <c r="S76" i="17" s="1"/>
  <c r="R110" i="17"/>
  <c r="M59" i="28"/>
  <c r="R57" i="17"/>
  <c r="R23" i="17"/>
  <c r="E56" i="28"/>
  <c r="E117" i="28" s="1"/>
  <c r="F807" i="11"/>
  <c r="F809" i="11" s="1"/>
  <c r="E797" i="11"/>
  <c r="I797" i="11" s="1"/>
  <c r="H10" i="8"/>
  <c r="D23" i="32" s="1"/>
  <c r="F39" i="6"/>
  <c r="G10" i="6"/>
  <c r="F38" i="34" s="1"/>
  <c r="E9" i="5"/>
  <c r="F69" i="6"/>
  <c r="F70" i="6" s="1"/>
  <c r="S21" i="17"/>
  <c r="M10" i="5"/>
  <c r="AH8" i="23"/>
  <c r="AH7" i="23"/>
  <c r="AH6" i="23"/>
  <c r="AH16" i="23"/>
  <c r="AH17" i="23" s="1"/>
  <c r="AH19" i="23" s="1"/>
  <c r="AH15" i="23"/>
  <c r="AH14" i="23"/>
  <c r="AH5" i="23"/>
  <c r="AI4" i="23"/>
  <c r="AH9" i="23"/>
  <c r="N60" i="28" l="1"/>
  <c r="S56" i="17"/>
  <c r="AI6" i="23"/>
  <c r="AI16" i="23"/>
  <c r="AI17" i="23" s="1"/>
  <c r="AI19" i="23" s="1"/>
  <c r="AI15" i="23"/>
  <c r="AI14" i="23"/>
  <c r="AI7" i="23"/>
  <c r="AI5" i="23"/>
  <c r="AJ4" i="23"/>
  <c r="AI9" i="23"/>
  <c r="AI8" i="23"/>
  <c r="S24" i="17"/>
  <c r="Q251" i="28"/>
  <c r="B169" i="4"/>
  <c r="J169" i="4" s="1"/>
  <c r="Q255" i="28"/>
  <c r="M73" i="6"/>
  <c r="Q112" i="17"/>
  <c r="O37" i="8" a="1"/>
  <c r="O37" i="8" s="1"/>
  <c r="O38" i="8" s="1"/>
  <c r="S117" i="17"/>
  <c r="O19" i="6"/>
  <c r="S77" i="17"/>
  <c r="S78" i="17" s="1"/>
  <c r="H169" i="4"/>
  <c r="F38" i="16"/>
  <c r="C94" i="9"/>
  <c r="C46" i="32" s="1"/>
  <c r="H15" i="8"/>
  <c r="E22" i="34" s="1"/>
  <c r="E25" i="34" s="1"/>
  <c r="E33" i="34" s="1"/>
  <c r="H56" i="8"/>
  <c r="D23" i="5"/>
  <c r="R119" i="17"/>
  <c r="R58" i="17"/>
  <c r="M58" i="28" s="1"/>
  <c r="R25" i="17"/>
  <c r="L29" i="16" l="1"/>
  <c r="L29" i="34"/>
  <c r="N24" i="32"/>
  <c r="M24" i="32"/>
  <c r="S84" i="17"/>
  <c r="T75" i="17"/>
  <c r="S86" i="17"/>
  <c r="S80" i="17"/>
  <c r="S82" i="17" s="1"/>
  <c r="AJ16" i="23"/>
  <c r="AJ15" i="23"/>
  <c r="AJ14" i="23"/>
  <c r="AJ17" i="23"/>
  <c r="AJ19" i="23" s="1"/>
  <c r="AJ7" i="23"/>
  <c r="AJ6" i="23"/>
  <c r="AJ9" i="23"/>
  <c r="AJ5" i="23"/>
  <c r="AK4" i="23"/>
  <c r="AJ8" i="23"/>
  <c r="S88" i="17"/>
  <c r="E22" i="16"/>
  <c r="E25" i="16" s="1"/>
  <c r="E33" i="16" s="1"/>
  <c r="H25" i="8"/>
  <c r="Q87" i="7" a="1"/>
  <c r="Q87" i="7" s="1"/>
  <c r="Q113" i="7" a="1"/>
  <c r="Q113" i="7" s="1"/>
  <c r="R120" i="17"/>
  <c r="N31" i="6" s="1" a="1"/>
  <c r="N31" i="6" s="1"/>
  <c r="N65" i="6" s="1"/>
  <c r="C192" i="28"/>
  <c r="C46" i="5"/>
  <c r="R49" i="17"/>
  <c r="R26" i="17"/>
  <c r="H268" i="28"/>
  <c r="I268" i="28"/>
  <c r="E174" i="4"/>
  <c r="I174" i="4" s="1"/>
  <c r="H265" i="28"/>
  <c r="S118" i="17"/>
  <c r="N57" i="28"/>
  <c r="N116" i="28" s="1"/>
  <c r="S48" i="17"/>
  <c r="N10" i="32" s="1"/>
  <c r="M24" i="5"/>
  <c r="N24" i="5"/>
  <c r="S16" i="17"/>
  <c r="S25" i="17"/>
  <c r="S49" i="17" s="1"/>
  <c r="S22" i="17"/>
  <c r="S26" i="17" l="1"/>
  <c r="S50" i="17"/>
  <c r="N10" i="5"/>
  <c r="D223" i="28"/>
  <c r="C143" i="4"/>
  <c r="E63" i="28"/>
  <c r="E145" i="28" s="1"/>
  <c r="H49" i="8"/>
  <c r="N59" i="28"/>
  <c r="S57" i="17"/>
  <c r="S23" i="17"/>
  <c r="R112" i="7" a="1"/>
  <c r="R112" i="7" s="1"/>
  <c r="H271" i="28"/>
  <c r="J265" i="28"/>
  <c r="O72" i="6"/>
  <c r="Q31" i="8" a="1"/>
  <c r="Q31" i="8" s="1"/>
  <c r="J268" i="28"/>
  <c r="T76" i="17" a="1"/>
  <c r="T76" i="17" s="1"/>
  <c r="T77" i="17" s="1"/>
  <c r="T118" i="17" s="1"/>
  <c r="N72" i="6"/>
  <c r="P31" i="8" a="1"/>
  <c r="P31" i="8" s="1"/>
  <c r="R50" i="17"/>
  <c r="R111" i="17"/>
  <c r="AK16" i="23"/>
  <c r="AK17" i="23" s="1"/>
  <c r="AK19" i="23" s="1"/>
  <c r="AK15" i="23"/>
  <c r="AK14" i="23"/>
  <c r="AK7" i="23"/>
  <c r="AK6" i="23"/>
  <c r="AK9" i="23"/>
  <c r="AK8" i="23"/>
  <c r="AK5" i="23"/>
  <c r="AL4" i="23"/>
  <c r="S111" i="17"/>
  <c r="S110" i="17"/>
  <c r="S112" i="7" l="1" a="1"/>
  <c r="S112" i="7" s="1"/>
  <c r="T117" i="17"/>
  <c r="P19" i="6"/>
  <c r="T78" i="17"/>
  <c r="T88" i="17" s="1"/>
  <c r="H55" i="8"/>
  <c r="H50" i="8"/>
  <c r="N73" i="6"/>
  <c r="R112" i="17"/>
  <c r="P37" i="8" a="1"/>
  <c r="P37" i="8" s="1"/>
  <c r="P38" i="8" s="1"/>
  <c r="S119" i="17"/>
  <c r="S58" i="17"/>
  <c r="N58" i="28" s="1"/>
  <c r="AL15" i="23"/>
  <c r="AL14" i="23"/>
  <c r="AL6" i="23"/>
  <c r="AL16" i="23"/>
  <c r="AL17" i="23" s="1"/>
  <c r="AL19" i="23" s="1"/>
  <c r="AL9" i="23"/>
  <c r="AL8" i="23"/>
  <c r="AL5" i="23"/>
  <c r="AM4" i="23"/>
  <c r="AL7" i="23"/>
  <c r="S112" i="17"/>
  <c r="O73" i="6"/>
  <c r="Q37" i="8" a="1"/>
  <c r="Q37" i="8" s="1"/>
  <c r="Q38" i="8" s="1"/>
  <c r="M29" i="16" l="1"/>
  <c r="M29" i="34"/>
  <c r="N29" i="16"/>
  <c r="N29" i="34"/>
  <c r="T84" i="17"/>
  <c r="U75" i="17"/>
  <c r="T86" i="17"/>
  <c r="T80" i="17"/>
  <c r="AM14" i="23"/>
  <c r="AM17" i="23"/>
  <c r="AM19" i="23" s="1"/>
  <c r="AM16" i="23"/>
  <c r="AM9" i="23"/>
  <c r="AM8" i="23"/>
  <c r="AM7" i="23"/>
  <c r="AM6" i="23"/>
  <c r="AM15" i="23"/>
  <c r="AM5" i="23"/>
  <c r="AN4" i="23"/>
  <c r="R113" i="7" a="1"/>
  <c r="R113" i="7" s="1"/>
  <c r="R87" i="7" a="1"/>
  <c r="R87" i="7" s="1"/>
  <c r="S120" i="17"/>
  <c r="O31" i="6" s="1" a="1"/>
  <c r="O31" i="6" s="1"/>
  <c r="O65" i="6" s="1"/>
  <c r="AN15" i="23" l="1"/>
  <c r="AN14" i="23"/>
  <c r="AN16" i="23"/>
  <c r="AN17" i="23" s="1"/>
  <c r="AN19" i="23" s="1"/>
  <c r="AN9" i="23"/>
  <c r="AN8" i="23"/>
  <c r="AN5" i="23"/>
  <c r="AO4" i="23"/>
  <c r="AN7" i="23"/>
  <c r="AN6" i="23"/>
  <c r="T82" i="17"/>
  <c r="T119" i="17"/>
  <c r="U76" i="17" a="1"/>
  <c r="U76" i="17" s="1"/>
  <c r="T110" i="17"/>
  <c r="T111" i="17"/>
  <c r="U117" i="17" l="1"/>
  <c r="Q19" i="6"/>
  <c r="AO14" i="23"/>
  <c r="AO16" i="23"/>
  <c r="AO17" i="23" s="1"/>
  <c r="AO19" i="23" s="1"/>
  <c r="AO9" i="23"/>
  <c r="AO8" i="23"/>
  <c r="AO15" i="23"/>
  <c r="AO6" i="23"/>
  <c r="AO5" i="23"/>
  <c r="AP4" i="23"/>
  <c r="AO7" i="23"/>
  <c r="U77" i="17"/>
  <c r="U118" i="17" s="1"/>
  <c r="S113" i="7" a="1"/>
  <c r="S113" i="7" s="1"/>
  <c r="S108" i="7" s="1"/>
  <c r="S87" i="7" a="1"/>
  <c r="S87" i="7" s="1"/>
  <c r="T87" i="7" a="1"/>
  <c r="T87" i="7" s="1"/>
  <c r="T120" i="17"/>
  <c r="P31" i="6" s="1" a="1"/>
  <c r="P31" i="6" s="1"/>
  <c r="P65" i="6" s="1"/>
  <c r="AP16" i="23" l="1"/>
  <c r="AP17" i="23" s="1"/>
  <c r="AP19" i="23" s="1"/>
  <c r="AP9" i="23"/>
  <c r="AP8" i="23"/>
  <c r="AP7" i="23"/>
  <c r="AP15" i="23"/>
  <c r="AP5" i="23"/>
  <c r="AP14" i="23"/>
  <c r="AP6" i="23"/>
  <c r="AQ4" i="23"/>
  <c r="R32" i="8"/>
  <c r="U78" i="17"/>
  <c r="U88" i="17"/>
  <c r="T112" i="7" a="1"/>
  <c r="T112" i="7" s="1"/>
  <c r="AQ16" i="23" l="1"/>
  <c r="AQ17" i="23" s="1"/>
  <c r="AQ19" i="23" s="1"/>
  <c r="AQ9" i="23"/>
  <c r="AQ8" i="23"/>
  <c r="AQ5" i="23"/>
  <c r="AR4" i="23"/>
  <c r="AQ7" i="23"/>
  <c r="AQ14" i="23"/>
  <c r="AQ6" i="23"/>
  <c r="AQ15" i="23"/>
  <c r="U84" i="17"/>
  <c r="U86" i="17"/>
  <c r="U80" i="17"/>
  <c r="AR15" i="23" l="1"/>
  <c r="AR9" i="23"/>
  <c r="AR8" i="23"/>
  <c r="AR16" i="23"/>
  <c r="AR17" i="23" s="1"/>
  <c r="AR19" i="23" s="1"/>
  <c r="AR5" i="23"/>
  <c r="AS4" i="23"/>
  <c r="AR6" i="23"/>
  <c r="AR14" i="23"/>
  <c r="AR7" i="23"/>
  <c r="U82" i="17"/>
  <c r="U119" i="17"/>
  <c r="U110" i="17"/>
  <c r="U111" i="17"/>
  <c r="T113" i="7" l="1" a="1"/>
  <c r="T113" i="7" s="1"/>
  <c r="T108" i="7" s="1"/>
  <c r="U120" i="17"/>
  <c r="Q31" i="6" s="1" a="1"/>
  <c r="Q31" i="6" s="1"/>
  <c r="AS14" i="23"/>
  <c r="AS9" i="23"/>
  <c r="AS8" i="23"/>
  <c r="AS7" i="23"/>
  <c r="AS16" i="23"/>
  <c r="AS17" i="23"/>
  <c r="AS19" i="23" s="1"/>
  <c r="AS15" i="23"/>
  <c r="AS6" i="23"/>
  <c r="AS5" i="23"/>
  <c r="AT4" i="23"/>
  <c r="AT8" i="23" l="1"/>
  <c r="AT7" i="23"/>
  <c r="AT6" i="23"/>
  <c r="AT16" i="23"/>
  <c r="AT15" i="23"/>
  <c r="AT17" i="23"/>
  <c r="AT19" i="23" s="1"/>
  <c r="AT9" i="23"/>
  <c r="AU4" i="23"/>
  <c r="AT5" i="23"/>
  <c r="AT14" i="23"/>
  <c r="Q65" i="6"/>
  <c r="S32" i="8"/>
  <c r="AU6" i="23" l="1"/>
  <c r="AU16" i="23"/>
  <c r="AU17" i="23" s="1"/>
  <c r="AU19" i="23" s="1"/>
  <c r="AU15" i="23"/>
  <c r="AU8" i="23"/>
  <c r="AU7" i="23"/>
  <c r="AU14" i="23"/>
  <c r="AU9" i="23"/>
  <c r="AU5" i="23"/>
  <c r="AV4" i="23"/>
  <c r="AV16" i="23" l="1"/>
  <c r="AV15" i="23"/>
  <c r="AV7" i="23"/>
  <c r="AV6" i="23"/>
  <c r="AV17" i="23"/>
  <c r="AV19" i="23" s="1"/>
  <c r="AV14" i="23"/>
  <c r="AV9" i="23"/>
  <c r="AV8" i="23"/>
  <c r="AV5" i="23"/>
  <c r="AW4" i="23"/>
  <c r="AW17" i="23" l="1"/>
  <c r="AW19" i="23" s="1"/>
  <c r="AW16" i="23"/>
  <c r="AW15" i="23"/>
  <c r="AW14" i="23"/>
  <c r="AW7" i="23"/>
  <c r="AW6" i="23"/>
  <c r="AW9" i="23"/>
  <c r="AW8" i="23"/>
  <c r="AW5" i="23"/>
  <c r="AX4" i="23"/>
  <c r="AX16" i="23" l="1"/>
  <c r="AX17" i="23" s="1"/>
  <c r="AX19" i="23" s="1"/>
  <c r="AX15" i="23"/>
  <c r="AX14" i="23"/>
  <c r="AX7" i="23"/>
  <c r="AX6" i="23"/>
  <c r="AX5" i="23"/>
  <c r="AY4" i="23"/>
  <c r="AX9" i="23"/>
  <c r="AX8" i="23"/>
  <c r="AY15" i="23" l="1"/>
  <c r="AY14" i="23"/>
  <c r="AY7" i="23"/>
  <c r="AY6" i="23"/>
  <c r="AY9" i="23"/>
  <c r="AY8" i="23"/>
  <c r="AY5" i="23"/>
  <c r="AZ4" i="23"/>
  <c r="AY16" i="23"/>
  <c r="AY17" i="23" s="1"/>
  <c r="AY19" i="23" s="1"/>
  <c r="AZ14" i="23" l="1"/>
  <c r="AZ16" i="23"/>
  <c r="AZ17" i="23" s="1"/>
  <c r="AZ19" i="23" s="1"/>
  <c r="AZ6" i="23"/>
  <c r="AZ15" i="23"/>
  <c r="AZ9" i="23"/>
  <c r="AZ8" i="23"/>
  <c r="AZ5" i="23"/>
  <c r="BA4" i="23"/>
  <c r="AZ7" i="23"/>
  <c r="BA15" i="23" l="1"/>
  <c r="BA14" i="23"/>
  <c r="BA9" i="23"/>
  <c r="BA8" i="23"/>
  <c r="BA5" i="23"/>
  <c r="BB4" i="23"/>
  <c r="BA16" i="23"/>
  <c r="BA17" i="23" s="1"/>
  <c r="BA19" i="23" s="1"/>
  <c r="BA6" i="23"/>
  <c r="BA7" i="23"/>
  <c r="BB14" i="23" l="1"/>
  <c r="BB5" i="23"/>
  <c r="BB9" i="23"/>
  <c r="BB15" i="23"/>
  <c r="BB8" i="23"/>
  <c r="BB16" i="23"/>
  <c r="BB17" i="23" s="1"/>
  <c r="BB19" i="23" s="1"/>
  <c r="BB6" i="23"/>
  <c r="BB7" i="23"/>
  <c r="BC4" i="23"/>
  <c r="BC16" i="23" l="1"/>
  <c r="BC9" i="23"/>
  <c r="BC17" i="23"/>
  <c r="BC19" i="23" s="1"/>
  <c r="BC5" i="23"/>
  <c r="BD4" i="23"/>
  <c r="BC15" i="23"/>
  <c r="BC14" i="23"/>
  <c r="BC8" i="23"/>
  <c r="BC6" i="23"/>
  <c r="BC7" i="23"/>
  <c r="BD15" i="23" l="1"/>
  <c r="BD9" i="23"/>
  <c r="BD8" i="23"/>
  <c r="BD5" i="23"/>
  <c r="BE4" i="23"/>
  <c r="BD14" i="23"/>
  <c r="BD7" i="23"/>
  <c r="BD16" i="23"/>
  <c r="BD17" i="23" s="1"/>
  <c r="BD19" i="23" s="1"/>
  <c r="BD6" i="23"/>
  <c r="BE14" i="23" l="1"/>
  <c r="BE9" i="23"/>
  <c r="BE8" i="23"/>
  <c r="BE7" i="23"/>
  <c r="BE15" i="23"/>
  <c r="BE16" i="23"/>
  <c r="BE17" i="23" s="1"/>
  <c r="BE19" i="23" s="1"/>
  <c r="BE6" i="23"/>
  <c r="BF4" i="23"/>
  <c r="BE5" i="23"/>
  <c r="BF9" i="23" l="1"/>
  <c r="BF8" i="23"/>
  <c r="BF7" i="23"/>
  <c r="BF6" i="23"/>
  <c r="BF16" i="23"/>
  <c r="BF17" i="23" s="1"/>
  <c r="BF19" i="23" s="1"/>
  <c r="BF15" i="23"/>
  <c r="BF14" i="23"/>
  <c r="BF5" i="23"/>
  <c r="BG4" i="23"/>
  <c r="BG6" i="23" l="1"/>
  <c r="BG16" i="23"/>
  <c r="BG17" i="23" s="1"/>
  <c r="BG19" i="23" s="1"/>
  <c r="BG15" i="23"/>
  <c r="BG14" i="23"/>
  <c r="BG9" i="23"/>
  <c r="BG8" i="23"/>
  <c r="BG7" i="23"/>
  <c r="BH4" i="23"/>
  <c r="BG5" i="23"/>
  <c r="BH16" i="23" l="1"/>
  <c r="BH17" i="23" s="1"/>
  <c r="BH19" i="23" s="1"/>
  <c r="BH15" i="23"/>
  <c r="BH14" i="23"/>
  <c r="BH9" i="23"/>
  <c r="BH8" i="23"/>
  <c r="BH6" i="23"/>
  <c r="BH7" i="23"/>
  <c r="BI4" i="23"/>
  <c r="BH5" i="23"/>
  <c r="BI16" i="23" l="1"/>
  <c r="BI17" i="23" s="1"/>
  <c r="BI19" i="23" s="1"/>
  <c r="BI15" i="23"/>
  <c r="BI9" i="23"/>
  <c r="BI8" i="23"/>
  <c r="BI7" i="23"/>
  <c r="BJ4" i="23"/>
  <c r="BI5" i="23"/>
  <c r="BI14" i="23"/>
  <c r="BI6" i="23"/>
  <c r="BJ16" i="23" l="1"/>
  <c r="BJ17" i="23"/>
  <c r="BJ19" i="23" s="1"/>
  <c r="BJ15" i="23"/>
  <c r="BJ14" i="23"/>
  <c r="BJ9" i="23"/>
  <c r="BJ8" i="23"/>
  <c r="BJ7" i="23"/>
  <c r="BJ6" i="23"/>
  <c r="BJ5" i="23"/>
  <c r="BK4" i="23"/>
  <c r="BK16" i="23" l="1"/>
  <c r="BK17" i="23" s="1"/>
  <c r="BK19" i="23" s="1"/>
  <c r="BK15" i="23"/>
  <c r="BK14" i="23"/>
  <c r="BK7" i="23"/>
  <c r="BK6" i="23"/>
  <c r="BL4" i="23"/>
  <c r="BK9" i="23"/>
  <c r="BK8" i="23"/>
  <c r="BK5" i="23"/>
  <c r="BL17" i="23" l="1"/>
  <c r="BL19" i="23" s="1"/>
  <c r="BL16" i="23"/>
  <c r="BL15" i="23"/>
  <c r="BL14" i="23"/>
  <c r="BL7" i="23"/>
  <c r="BL6" i="23"/>
  <c r="BM4" i="23"/>
  <c r="BL5" i="23"/>
  <c r="BL9" i="23"/>
  <c r="BL8" i="23"/>
  <c r="BM14" i="23" l="1"/>
  <c r="BM7" i="23"/>
  <c r="BM15" i="23"/>
  <c r="BM6" i="23"/>
  <c r="BM16" i="23"/>
  <c r="BM17" i="23" s="1"/>
  <c r="BM19" i="23" s="1"/>
  <c r="BN4" i="23"/>
  <c r="BM5" i="23"/>
  <c r="BM9" i="23"/>
  <c r="BM8" i="23"/>
  <c r="BN16" i="23" l="1"/>
  <c r="BN17" i="23" s="1"/>
  <c r="BN19" i="23" s="1"/>
  <c r="BN15" i="23"/>
  <c r="BN6" i="23"/>
  <c r="BN5" i="23"/>
  <c r="BN7" i="23"/>
  <c r="BO4" i="23"/>
  <c r="BN9" i="23"/>
  <c r="BN8" i="23"/>
  <c r="BN14" i="23"/>
  <c r="BO16" i="23" l="1"/>
  <c r="BO9" i="23"/>
  <c r="BO14" i="23"/>
  <c r="BO15" i="23"/>
  <c r="BO5" i="23"/>
  <c r="BP4" i="23"/>
  <c r="BO17" i="23"/>
  <c r="BO19" i="23" s="1"/>
  <c r="BO8" i="23"/>
  <c r="BO7" i="23"/>
  <c r="BO6" i="23"/>
  <c r="BP15" i="23" l="1"/>
  <c r="BP8" i="23"/>
  <c r="BP5" i="23"/>
  <c r="BQ4" i="23"/>
  <c r="BP16" i="23"/>
  <c r="BP17" i="23" s="1"/>
  <c r="BP19" i="23" s="1"/>
  <c r="BP9" i="23"/>
  <c r="BP14" i="23"/>
  <c r="BP7" i="23"/>
  <c r="BP6" i="23"/>
  <c r="BQ14" i="23" l="1"/>
  <c r="BQ8" i="23"/>
  <c r="BQ9" i="23"/>
  <c r="BQ7" i="23"/>
  <c r="BQ16" i="23"/>
  <c r="BQ17" i="23" s="1"/>
  <c r="BQ19" i="23" s="1"/>
  <c r="BR4" i="23"/>
  <c r="BQ5" i="23"/>
  <c r="BQ6" i="23"/>
  <c r="BQ15" i="23"/>
  <c r="BR8" i="23" l="1"/>
  <c r="BR9" i="23"/>
  <c r="BR7" i="23"/>
  <c r="BR6" i="23"/>
  <c r="BR16" i="23"/>
  <c r="BR17" i="23" s="1"/>
  <c r="BR19" i="23" s="1"/>
  <c r="BS4" i="23"/>
  <c r="BR5" i="23"/>
  <c r="BR14" i="23"/>
  <c r="BR15" i="23"/>
  <c r="BS9" i="23" l="1"/>
  <c r="BS6" i="23"/>
  <c r="BS16" i="23"/>
  <c r="BS17" i="23" s="1"/>
  <c r="BS19" i="23" s="1"/>
  <c r="BS8" i="23"/>
  <c r="BS14" i="23"/>
  <c r="BS5" i="23"/>
  <c r="BS15" i="23"/>
  <c r="BS7" i="23"/>
  <c r="BT4" i="23"/>
  <c r="BT16" i="23" l="1"/>
  <c r="BT17" i="23" s="1"/>
  <c r="BT19" i="23" s="1"/>
  <c r="BT15" i="23"/>
  <c r="BT8" i="23"/>
  <c r="BT14" i="23"/>
  <c r="BT9" i="23"/>
  <c r="BT7" i="23"/>
  <c r="BT5" i="23"/>
  <c r="BU4" i="23"/>
  <c r="BT6" i="23"/>
  <c r="BU17" i="23" l="1"/>
  <c r="BU19" i="23" s="1"/>
  <c r="BU16" i="23"/>
  <c r="BU15" i="23"/>
  <c r="BU9" i="23"/>
  <c r="BU8" i="23"/>
  <c r="BU14" i="23"/>
  <c r="BU7" i="23"/>
  <c r="BV4" i="23"/>
  <c r="BU5" i="23"/>
  <c r="BU6" i="23"/>
  <c r="BV16" i="23" l="1"/>
  <c r="BV15" i="23"/>
  <c r="BV17" i="23"/>
  <c r="BV19" i="23" s="1"/>
  <c r="BV8" i="23"/>
  <c r="BV14" i="23"/>
  <c r="BV9" i="23"/>
  <c r="BV6" i="23"/>
  <c r="BV5" i="23"/>
  <c r="BW4" i="23"/>
  <c r="BV7" i="23"/>
  <c r="BW17" i="23" l="1"/>
  <c r="BW19" i="23" s="1"/>
  <c r="BW15" i="23"/>
  <c r="BW16" i="23"/>
  <c r="BW14" i="23"/>
  <c r="BW8" i="23"/>
  <c r="BW9" i="23"/>
  <c r="BW7" i="23"/>
  <c r="BW6" i="23"/>
  <c r="BW5" i="23"/>
  <c r="BX4" i="23"/>
  <c r="BX15" i="23" l="1"/>
  <c r="BX16" i="23"/>
  <c r="BX17" i="23" s="1"/>
  <c r="BX19" i="23" s="1"/>
  <c r="BX14" i="23"/>
  <c r="BX8" i="23"/>
  <c r="BX9" i="23"/>
  <c r="BX7" i="23"/>
  <c r="BX6" i="23"/>
  <c r="BX5" i="23"/>
  <c r="BY4" i="23"/>
  <c r="BY15" i="23" l="1"/>
  <c r="BY16" i="23"/>
  <c r="BY14" i="23"/>
  <c r="BY8" i="23"/>
  <c r="BY9" i="23"/>
  <c r="BY7" i="23"/>
  <c r="BY6" i="23"/>
  <c r="BY5" i="23"/>
  <c r="BY17" i="23"/>
  <c r="BY19" i="23" s="1"/>
  <c r="BZ4" i="23"/>
  <c r="BZ16" i="23" l="1"/>
  <c r="BZ14" i="23"/>
  <c r="BZ17" i="23"/>
  <c r="BZ19" i="23" s="1"/>
  <c r="BZ9" i="23"/>
  <c r="BZ7" i="23"/>
  <c r="BZ6" i="23"/>
  <c r="BZ5" i="23"/>
  <c r="BZ15" i="23"/>
  <c r="CA4" i="23"/>
  <c r="BZ8" i="23"/>
  <c r="CA16" i="23" l="1"/>
  <c r="CA9" i="23"/>
  <c r="CA17" i="23"/>
  <c r="CA19" i="23" s="1"/>
  <c r="CA15" i="23"/>
  <c r="CA7" i="23"/>
  <c r="CA6" i="23"/>
  <c r="CA5" i="23"/>
  <c r="CB4" i="23"/>
  <c r="CA14" i="23"/>
  <c r="CA8" i="23"/>
  <c r="CB15" i="23" l="1"/>
  <c r="CB8" i="23"/>
  <c r="CB14" i="23"/>
  <c r="CB9" i="23"/>
  <c r="CB6" i="23"/>
  <c r="CB5" i="23"/>
  <c r="CC4" i="23"/>
  <c r="CB16" i="23"/>
  <c r="CB17" i="23" s="1"/>
  <c r="CB19" i="23" s="1"/>
  <c r="CB7" i="23"/>
  <c r="CC14" i="23" l="1"/>
  <c r="CC8" i="23"/>
  <c r="CC7" i="23"/>
  <c r="CC16" i="23"/>
  <c r="CC17" i="23" s="1"/>
  <c r="CC19" i="23" s="1"/>
  <c r="CC15" i="23"/>
  <c r="CC6" i="23"/>
  <c r="CD4" i="23"/>
  <c r="CC5" i="23"/>
  <c r="CC9" i="23"/>
  <c r="CD8" i="23" l="1"/>
  <c r="CD7" i="23"/>
  <c r="CD9" i="23"/>
  <c r="CD6" i="23"/>
  <c r="CD16" i="23"/>
  <c r="CD17" i="23" s="1"/>
  <c r="CD19" i="23" s="1"/>
  <c r="CD14" i="23"/>
  <c r="CD15" i="23"/>
  <c r="CE4" i="23"/>
  <c r="CD5" i="23"/>
  <c r="CE9" i="23" l="1"/>
  <c r="CE6" i="23"/>
  <c r="CE14" i="23"/>
  <c r="CE15" i="23"/>
  <c r="CF4" i="23"/>
  <c r="CE8" i="23"/>
  <c r="CE5" i="23"/>
  <c r="CE16" i="23"/>
  <c r="CE17" i="23" s="1"/>
  <c r="CE19" i="23" s="1"/>
  <c r="CE7" i="23"/>
  <c r="CF9" i="23" l="1"/>
  <c r="CF14" i="23"/>
  <c r="CF15" i="23"/>
  <c r="CG4" i="23"/>
  <c r="CF6" i="23"/>
  <c r="CF8" i="23"/>
  <c r="CF5" i="23"/>
  <c r="CF16" i="23"/>
  <c r="CF17" i="23" s="1"/>
  <c r="CF19" i="23" s="1"/>
  <c r="CF7" i="23"/>
  <c r="CG15" i="23" l="1"/>
  <c r="CG8" i="23"/>
  <c r="CH4" i="23"/>
  <c r="CG6" i="23"/>
  <c r="CG14" i="23"/>
  <c r="CG5" i="23"/>
  <c r="CG7" i="23"/>
  <c r="CG16" i="23"/>
  <c r="CG17" i="23" s="1"/>
  <c r="CG19" i="23" s="1"/>
  <c r="CG9" i="23"/>
  <c r="CH16" i="23" l="1"/>
  <c r="CH17" i="23"/>
  <c r="CH19" i="23" s="1"/>
  <c r="CH15" i="23"/>
  <c r="CH9" i="23"/>
  <c r="CH8" i="23"/>
  <c r="CH5" i="23"/>
  <c r="CI4" i="23"/>
  <c r="CH7" i="23"/>
  <c r="CH6" i="23"/>
  <c r="CH14" i="23"/>
  <c r="CI17" i="23" l="1"/>
  <c r="CI19" i="23" s="1"/>
  <c r="CI15" i="23"/>
  <c r="CI16" i="23"/>
  <c r="CI8" i="23"/>
  <c r="CI7" i="23"/>
  <c r="CI6" i="23"/>
  <c r="CI14" i="23"/>
  <c r="CI5" i="23"/>
  <c r="CI9" i="23"/>
  <c r="CJ4" i="23"/>
  <c r="CJ15" i="23" l="1"/>
  <c r="CJ14" i="23"/>
  <c r="CJ16" i="23"/>
  <c r="CJ17" i="23" s="1"/>
  <c r="CJ19" i="23" s="1"/>
  <c r="CJ8" i="23"/>
  <c r="CJ6" i="23"/>
  <c r="CJ5" i="23"/>
  <c r="CJ9" i="23"/>
  <c r="CJ7" i="23"/>
  <c r="CK4" i="23"/>
  <c r="CK15" i="23" l="1"/>
  <c r="CK14" i="23"/>
  <c r="CK16" i="23"/>
  <c r="CK8" i="23"/>
  <c r="CK7" i="23"/>
  <c r="CK9" i="23"/>
  <c r="CK5" i="23"/>
  <c r="CK17" i="23"/>
  <c r="CK19" i="23" s="1"/>
  <c r="CK6" i="23"/>
  <c r="CL4" i="23"/>
  <c r="CL15" i="23" l="1"/>
  <c r="CL14" i="23"/>
  <c r="CL16" i="23"/>
  <c r="CL17" i="23" s="1"/>
  <c r="CL19" i="23" s="1"/>
  <c r="CL8" i="23"/>
  <c r="CL5" i="23"/>
  <c r="CL7" i="23"/>
  <c r="CL6" i="23"/>
  <c r="CL9" i="23"/>
  <c r="CM4" i="23"/>
  <c r="CM16" i="23" l="1"/>
  <c r="CM9" i="23"/>
  <c r="CM17" i="23"/>
  <c r="CM19" i="23" s="1"/>
  <c r="CM14" i="23"/>
  <c r="CM8" i="23"/>
  <c r="CM5" i="23"/>
  <c r="CN4" i="23"/>
  <c r="CM7" i="23"/>
  <c r="CM15" i="23"/>
  <c r="CM6" i="23"/>
  <c r="CN15" i="23" l="1"/>
  <c r="CN16" i="23"/>
  <c r="CN17" i="23" s="1"/>
  <c r="CN19" i="23" s="1"/>
  <c r="CN8" i="23"/>
  <c r="CN5" i="23"/>
  <c r="CO4" i="23"/>
  <c r="CN7" i="23"/>
  <c r="CN6" i="23"/>
  <c r="CN9" i="23"/>
  <c r="CN14" i="23"/>
  <c r="CO14" i="23" l="1"/>
  <c r="CO16" i="23"/>
  <c r="CO8" i="23"/>
  <c r="CO7" i="23"/>
  <c r="CO17" i="23"/>
  <c r="CO19" i="23" s="1"/>
  <c r="CO15" i="23"/>
  <c r="CO6" i="23"/>
  <c r="CO9" i="23"/>
  <c r="CP4" i="23"/>
  <c r="CO5" i="23"/>
  <c r="CP8" i="23" l="1"/>
  <c r="CP7" i="23"/>
  <c r="CP6" i="23"/>
  <c r="CP14" i="23"/>
  <c r="CP15" i="23"/>
  <c r="CP9" i="23"/>
  <c r="CP5" i="23"/>
  <c r="CP16" i="23"/>
  <c r="CQ4" i="23"/>
  <c r="CP17" i="23"/>
  <c r="CP19" i="23" s="1"/>
  <c r="CQ7" i="23" l="1"/>
  <c r="CQ6" i="23"/>
  <c r="CQ9" i="23"/>
  <c r="CQ16" i="23"/>
  <c r="CQ17" i="23" s="1"/>
  <c r="CQ19" i="23" s="1"/>
  <c r="CQ8" i="23"/>
  <c r="CQ15" i="23"/>
  <c r="CQ14" i="23"/>
  <c r="CR4" i="23"/>
  <c r="CQ5" i="23"/>
  <c r="CR9" i="23" l="1"/>
  <c r="CR15" i="23"/>
  <c r="CR7" i="23"/>
  <c r="CR6" i="23"/>
  <c r="CR14" i="23"/>
  <c r="CR16" i="23"/>
  <c r="CR8" i="23"/>
  <c r="CS4" i="23"/>
  <c r="CR5" i="23"/>
  <c r="CR17" i="23"/>
  <c r="CR19" i="23" s="1"/>
  <c r="CS9" i="23" l="1"/>
  <c r="CS14" i="23"/>
  <c r="CS16" i="23"/>
  <c r="CS17" i="23" s="1"/>
  <c r="CS19" i="23" s="1"/>
  <c r="CS8" i="23"/>
  <c r="CS15" i="23"/>
  <c r="CS7" i="23"/>
  <c r="CT4" i="23"/>
  <c r="CS6" i="23"/>
  <c r="CS5" i="23"/>
  <c r="CT16" i="23" l="1"/>
  <c r="CT17" i="23" s="1"/>
  <c r="CT19" i="23" s="1"/>
  <c r="CT15" i="23"/>
  <c r="CT9" i="23"/>
  <c r="CT14" i="23"/>
  <c r="CT5" i="23"/>
  <c r="CU4" i="23"/>
  <c r="CT8" i="23"/>
  <c r="CT7" i="23"/>
  <c r="CT6" i="23"/>
  <c r="CU15" i="23" l="1"/>
  <c r="CU9" i="23"/>
  <c r="CU14" i="23"/>
  <c r="CU16" i="23"/>
  <c r="CU17" i="23" s="1"/>
  <c r="CU19" i="23" s="1"/>
  <c r="CU8" i="23"/>
  <c r="CU7" i="23"/>
  <c r="CV4" i="23"/>
  <c r="CU6" i="23"/>
  <c r="CU5" i="23"/>
  <c r="CV15" i="23" l="1"/>
  <c r="CV9" i="23"/>
  <c r="CV14" i="23"/>
  <c r="CV16" i="23"/>
  <c r="CV17" i="23" s="1"/>
  <c r="CV19" i="23" s="1"/>
  <c r="CV8" i="23"/>
  <c r="CV7" i="23"/>
  <c r="CW4" i="23"/>
  <c r="CV5" i="23"/>
  <c r="CV6" i="23"/>
  <c r="CW15" i="23" l="1"/>
  <c r="CW14" i="23"/>
  <c r="CW16" i="23"/>
  <c r="CW9" i="23"/>
  <c r="CW8" i="23"/>
  <c r="CW17" i="23"/>
  <c r="CW19" i="23" s="1"/>
  <c r="CW7" i="23"/>
  <c r="CX4" i="23"/>
  <c r="CW5" i="23"/>
  <c r="CW6" i="23"/>
  <c r="CX15" i="23" l="1"/>
  <c r="CX14" i="23"/>
  <c r="CX16" i="23"/>
  <c r="CX17" i="23"/>
  <c r="CX19" i="23" s="1"/>
  <c r="CX5" i="23"/>
  <c r="CX8" i="23"/>
  <c r="CX7" i="23"/>
  <c r="CX6" i="23"/>
  <c r="CX9" i="23"/>
  <c r="CY4" i="23"/>
  <c r="CY16" i="23" l="1"/>
  <c r="CY9" i="23"/>
  <c r="CY15" i="23"/>
  <c r="CY14" i="23"/>
  <c r="CY17" i="23"/>
  <c r="CY19" i="23" s="1"/>
  <c r="CY5" i="23"/>
  <c r="CZ4" i="23"/>
  <c r="CY8" i="23"/>
  <c r="CY7" i="23"/>
  <c r="CY6" i="23"/>
  <c r="CZ15" i="23" l="1"/>
  <c r="CZ14" i="23"/>
  <c r="CZ8" i="23"/>
  <c r="CZ16" i="23"/>
  <c r="CZ17" i="23" s="1"/>
  <c r="CZ19" i="23" s="1"/>
  <c r="CZ5" i="23"/>
  <c r="DA4" i="23"/>
  <c r="CZ7" i="23"/>
  <c r="CZ6" i="23"/>
  <c r="CZ9" i="23"/>
  <c r="DA14" i="23" l="1"/>
  <c r="DA8" i="23"/>
  <c r="DA16" i="23"/>
  <c r="DA7" i="23"/>
  <c r="DA17" i="23"/>
  <c r="DA19" i="23" s="1"/>
  <c r="DA6" i="23"/>
  <c r="DA9" i="23"/>
  <c r="DA15" i="23"/>
  <c r="DA5" i="23"/>
  <c r="DB4" i="23"/>
  <c r="DB8" i="23" l="1"/>
  <c r="DB16" i="23"/>
  <c r="DB17" i="23" s="1"/>
  <c r="DB19" i="23" s="1"/>
  <c r="DB7" i="23"/>
  <c r="DB6" i="23"/>
  <c r="DB15" i="23"/>
  <c r="DB14" i="23"/>
  <c r="DB9" i="23"/>
  <c r="DB5" i="23"/>
  <c r="DC4" i="23"/>
  <c r="DC16" i="23" l="1"/>
  <c r="DC17" i="23" s="1"/>
  <c r="DC19" i="23" s="1"/>
  <c r="DC7" i="23"/>
  <c r="DC6" i="23"/>
  <c r="DC14" i="23"/>
  <c r="DC8" i="23"/>
  <c r="DC9" i="23"/>
  <c r="DC15" i="23"/>
  <c r="DC5" i="23"/>
  <c r="DD4" i="23"/>
  <c r="DD9" i="23" l="1"/>
  <c r="DD14" i="23"/>
  <c r="DD8" i="23"/>
  <c r="DD6" i="23"/>
  <c r="DD16" i="23"/>
  <c r="DD17" i="23" s="1"/>
  <c r="DD19" i="23" s="1"/>
  <c r="DD7" i="23"/>
  <c r="DD15" i="23"/>
  <c r="DD5" i="23"/>
  <c r="DE4" i="23"/>
  <c r="DE9" i="23" l="1"/>
  <c r="DE16" i="23"/>
  <c r="DE17" i="23" s="1"/>
  <c r="DE19" i="23" s="1"/>
  <c r="DE8" i="23"/>
  <c r="DE6" i="23"/>
  <c r="DE7" i="23"/>
  <c r="DE15" i="23"/>
  <c r="DE14" i="23"/>
  <c r="DE5" i="23"/>
  <c r="DF4" i="23"/>
  <c r="DF16" i="23" l="1"/>
  <c r="DF9" i="23"/>
  <c r="DF17" i="23"/>
  <c r="DF19" i="23" s="1"/>
  <c r="DF8" i="23"/>
  <c r="DF6" i="23"/>
  <c r="DF7" i="23"/>
  <c r="DF15" i="23"/>
  <c r="DF5" i="23"/>
  <c r="DG4" i="23"/>
  <c r="DF14" i="23"/>
  <c r="DG15" i="23" l="1"/>
  <c r="DG7" i="23"/>
  <c r="DG16" i="23"/>
  <c r="DG17" i="23" s="1"/>
  <c r="DG19" i="23" s="1"/>
  <c r="DG9" i="23"/>
  <c r="DG6" i="23"/>
  <c r="DH4" i="23"/>
  <c r="DG5" i="23"/>
  <c r="DG8" i="23"/>
  <c r="DG14" i="23"/>
  <c r="DH15" i="23" l="1"/>
  <c r="DH9" i="23"/>
  <c r="DH16" i="23"/>
  <c r="DH17" i="23" s="1"/>
  <c r="DH19" i="23" s="1"/>
  <c r="DH6" i="23"/>
  <c r="DI4" i="23"/>
  <c r="DH8" i="23"/>
  <c r="DH7" i="23"/>
  <c r="DH14" i="23"/>
  <c r="DH5" i="23"/>
  <c r="DI15" i="23" l="1"/>
  <c r="DI16" i="23"/>
  <c r="DI17" i="23" s="1"/>
  <c r="DI19" i="23" s="1"/>
  <c r="DI9" i="23"/>
  <c r="DI14" i="23"/>
  <c r="DI6" i="23"/>
  <c r="DJ4" i="23"/>
  <c r="DI7" i="23"/>
  <c r="DI5" i="23"/>
  <c r="DI8" i="23"/>
  <c r="DJ15" i="23" l="1"/>
  <c r="DJ14" i="23"/>
  <c r="DJ5" i="23"/>
  <c r="DJ9" i="23"/>
  <c r="DJ6" i="23"/>
  <c r="DK4" i="23"/>
  <c r="DJ16" i="23"/>
  <c r="DJ17" i="23" s="1"/>
  <c r="DJ19" i="23" s="1"/>
  <c r="DJ7" i="23"/>
  <c r="DJ8" i="23"/>
  <c r="DK16" i="23" l="1"/>
  <c r="DK9" i="23"/>
  <c r="DK15" i="23"/>
  <c r="DK14" i="23"/>
  <c r="DK5" i="23"/>
  <c r="DL4" i="23"/>
  <c r="DK17" i="23"/>
  <c r="DK19" i="23" s="1"/>
  <c r="DK8" i="23"/>
  <c r="DK6" i="23"/>
  <c r="DK7" i="23"/>
  <c r="DL15" i="23" l="1"/>
  <c r="DL14" i="23"/>
  <c r="DL8" i="23"/>
  <c r="DL16" i="23"/>
  <c r="DL17" i="23" s="1"/>
  <c r="DL19" i="23" s="1"/>
  <c r="DL5" i="23"/>
  <c r="DM4" i="23"/>
  <c r="DL9" i="23"/>
  <c r="DL6" i="23"/>
  <c r="DL7" i="23"/>
  <c r="DM14" i="23" l="1"/>
  <c r="DM15" i="23"/>
  <c r="DM8" i="23"/>
  <c r="DM7" i="23"/>
  <c r="DM16" i="23"/>
  <c r="DM17" i="23"/>
  <c r="DM19" i="23" s="1"/>
  <c r="DM9" i="23"/>
  <c r="DN4" i="23"/>
  <c r="DM5" i="23"/>
  <c r="DM6" i="23"/>
  <c r="DN14" i="23" l="1"/>
  <c r="DN8" i="23"/>
  <c r="DN7" i="23"/>
  <c r="DN6" i="23"/>
  <c r="DN16" i="23"/>
  <c r="DN9" i="23"/>
  <c r="DN17" i="23"/>
  <c r="DN19" i="23" s="1"/>
  <c r="DN15" i="23"/>
  <c r="DO4" i="23"/>
  <c r="DN5" i="23"/>
  <c r="DO7" i="23" l="1"/>
  <c r="DO6" i="23"/>
  <c r="DO16" i="23"/>
  <c r="DO17" i="23" s="1"/>
  <c r="DO19" i="23" s="1"/>
  <c r="DO15" i="23"/>
  <c r="DO9" i="23"/>
  <c r="DO14" i="23"/>
  <c r="DO8" i="23"/>
  <c r="DO5" i="23"/>
  <c r="DP4" i="23"/>
  <c r="DP16" i="23" l="1"/>
  <c r="DP14" i="23"/>
  <c r="DP17" i="23"/>
  <c r="DP19" i="23" s="1"/>
  <c r="DP15" i="23"/>
  <c r="DP6" i="23"/>
  <c r="DP8" i="23"/>
  <c r="DP7" i="23"/>
  <c r="DP5" i="23"/>
  <c r="DQ4" i="23"/>
  <c r="DP9" i="23"/>
  <c r="DQ16" i="23" l="1"/>
  <c r="DQ17" i="23" s="1"/>
  <c r="DQ19" i="23" s="1"/>
  <c r="DQ9" i="23"/>
  <c r="DQ15" i="23"/>
  <c r="DQ6" i="23"/>
  <c r="DQ8" i="23"/>
  <c r="DQ14" i="23"/>
  <c r="DQ7" i="23"/>
  <c r="DQ5" i="23"/>
  <c r="DR4" i="23"/>
  <c r="DR16" i="23" l="1"/>
  <c r="DR9" i="23"/>
  <c r="DR17" i="23"/>
  <c r="DR19" i="23" s="1"/>
  <c r="DR15" i="23"/>
  <c r="DR6" i="23"/>
  <c r="DR8" i="23"/>
  <c r="DR14" i="23"/>
  <c r="DR7" i="23"/>
  <c r="DR5" i="23"/>
  <c r="DS4" i="23"/>
  <c r="DS9" i="23" l="1"/>
  <c r="DS15" i="23"/>
  <c r="DS6" i="23"/>
  <c r="DS8" i="23"/>
  <c r="DS14" i="23"/>
  <c r="DS7" i="23"/>
  <c r="DS5" i="23"/>
  <c r="DS16" i="23"/>
  <c r="DS17" i="23" s="1"/>
  <c r="DS19" i="23" s="1"/>
  <c r="DT4" i="23"/>
  <c r="DT15" i="23" l="1"/>
  <c r="DT16" i="23"/>
  <c r="DT17" i="23" s="1"/>
  <c r="DT19" i="23" s="1"/>
  <c r="DT6" i="23"/>
  <c r="DT8" i="23"/>
  <c r="DT14" i="23"/>
  <c r="DT7" i="23"/>
  <c r="DT5" i="23"/>
  <c r="DT9" i="23"/>
  <c r="DU4" i="23"/>
  <c r="DU15" i="23" l="1"/>
  <c r="DU9" i="23"/>
  <c r="DU8" i="23"/>
  <c r="DU14" i="23"/>
  <c r="DU7" i="23"/>
  <c r="DU5" i="23"/>
  <c r="DU16" i="23"/>
  <c r="DU17" i="23" s="1"/>
  <c r="DU19" i="23" s="1"/>
  <c r="DU6" i="23"/>
  <c r="DV4" i="23"/>
  <c r="DV15" i="23" l="1"/>
  <c r="DV14" i="23"/>
  <c r="DV7" i="23"/>
  <c r="DV5" i="23"/>
  <c r="DV16" i="23"/>
  <c r="DV17" i="23" s="1"/>
  <c r="DV19" i="23" s="1"/>
  <c r="DW4" i="23"/>
  <c r="DV6" i="23"/>
  <c r="DV9" i="23"/>
  <c r="DV8" i="23"/>
  <c r="DW16" i="23" l="1"/>
  <c r="DW9" i="23"/>
  <c r="DW15" i="23"/>
  <c r="DW14" i="23"/>
  <c r="DW17" i="23"/>
  <c r="DW19" i="23" s="1"/>
  <c r="DW5" i="23"/>
  <c r="DX4" i="23"/>
  <c r="DW7" i="23"/>
  <c r="DW8" i="23"/>
  <c r="DW6" i="23"/>
  <c r="DX15" i="23" l="1"/>
  <c r="DX14" i="23"/>
  <c r="DX8" i="23"/>
  <c r="DX16" i="23"/>
  <c r="DX17" i="23" s="1"/>
  <c r="DX19" i="23" s="1"/>
  <c r="DX5" i="23"/>
  <c r="DY4" i="23"/>
  <c r="DX9" i="23"/>
  <c r="DX7" i="23"/>
  <c r="DX6" i="23"/>
  <c r="DY14" i="23" l="1"/>
  <c r="DY15" i="23"/>
  <c r="DY8" i="23"/>
  <c r="DY7" i="23"/>
  <c r="DY16" i="23"/>
  <c r="DY17" i="23" s="1"/>
  <c r="DY19" i="23" s="1"/>
  <c r="DY9" i="23"/>
  <c r="DZ4" i="23"/>
  <c r="DY5" i="23"/>
  <c r="DY6" i="23"/>
  <c r="DZ15" i="23" l="1"/>
  <c r="DZ8" i="23"/>
  <c r="DZ14" i="23"/>
  <c r="DZ7" i="23"/>
  <c r="DZ6" i="23"/>
  <c r="DZ16" i="23"/>
  <c r="DZ17" i="23" s="1"/>
  <c r="DZ19" i="23" s="1"/>
  <c r="DZ9" i="23"/>
  <c r="EA4" i="23"/>
  <c r="DZ5" i="23"/>
  <c r="EA14" i="23" l="1"/>
  <c r="EA7" i="23"/>
  <c r="EA6" i="23"/>
  <c r="EA16" i="23"/>
  <c r="EA17" i="23" s="1"/>
  <c r="EA19" i="23" s="1"/>
  <c r="EA15" i="23"/>
  <c r="EA9" i="23"/>
  <c r="EB4" i="23"/>
  <c r="EA8" i="23"/>
  <c r="EA5" i="23"/>
  <c r="EB16" i="23" l="1"/>
  <c r="EB17" i="23" s="1"/>
  <c r="EB19" i="23" s="1"/>
  <c r="EB15" i="23"/>
  <c r="EB9" i="23"/>
  <c r="EB6" i="23"/>
  <c r="EC4" i="23"/>
  <c r="EB8" i="23"/>
  <c r="EB7" i="23"/>
  <c r="EB14" i="23"/>
  <c r="EB5" i="23"/>
  <c r="EC17" i="23" l="1"/>
  <c r="EC19" i="23" s="1"/>
  <c r="EC16" i="23"/>
  <c r="EC14" i="23"/>
  <c r="EC9" i="23"/>
  <c r="EC8" i="23"/>
  <c r="ED4" i="23"/>
  <c r="EC7" i="23"/>
  <c r="EC6" i="23"/>
  <c r="EC5" i="23"/>
  <c r="EC15" i="23"/>
  <c r="ED16" i="23" l="1"/>
  <c r="ED17" i="23"/>
  <c r="ED19" i="23" s="1"/>
  <c r="ED9" i="23"/>
  <c r="ED6" i="23"/>
  <c r="ED8" i="23"/>
  <c r="ED5" i="23"/>
  <c r="EE4" i="23"/>
  <c r="ED7" i="23"/>
  <c r="ED15" i="23"/>
  <c r="ED14" i="23"/>
  <c r="EE16" i="23" l="1"/>
  <c r="EE17" i="23" s="1"/>
  <c r="EE19" i="23" s="1"/>
  <c r="EE9" i="23"/>
  <c r="EE6" i="23"/>
  <c r="EE8" i="23"/>
  <c r="EE7" i="23"/>
  <c r="EE14" i="23"/>
  <c r="EF4" i="23"/>
  <c r="EE15" i="23"/>
  <c r="EE5" i="23"/>
  <c r="EF16" i="23" l="1"/>
  <c r="EF17" i="23" s="1"/>
  <c r="EF19" i="23" s="1"/>
  <c r="EF9" i="23"/>
  <c r="EF6" i="23"/>
  <c r="EF8" i="23"/>
  <c r="EF5" i="23"/>
  <c r="EF7" i="23"/>
  <c r="EF14" i="23"/>
  <c r="EG4" i="23"/>
  <c r="EF15" i="23"/>
  <c r="EG15" i="23" l="1"/>
  <c r="EG6" i="23"/>
  <c r="EG9" i="23"/>
  <c r="EG8" i="23"/>
  <c r="EG5" i="23"/>
  <c r="EG7" i="23"/>
  <c r="EG16" i="23"/>
  <c r="EG17" i="23" s="1"/>
  <c r="EG19" i="23" s="1"/>
  <c r="EG14" i="23"/>
  <c r="EH4" i="23"/>
  <c r="EH15" i="23" l="1"/>
  <c r="EH16" i="23"/>
  <c r="EH17" i="23" s="1"/>
  <c r="EH19" i="23" s="1"/>
  <c r="EH9" i="23"/>
  <c r="EH6" i="23"/>
  <c r="EH8" i="23"/>
  <c r="EH5" i="23"/>
  <c r="EH7" i="23"/>
  <c r="EH14" i="23"/>
  <c r="EI4" i="23"/>
  <c r="EI16" i="23" l="1"/>
  <c r="EI9" i="23"/>
  <c r="EI17" i="23"/>
  <c r="EI19" i="23" s="1"/>
  <c r="EI15" i="23"/>
  <c r="EI8" i="23"/>
  <c r="EI5" i="23"/>
  <c r="EJ4" i="23"/>
  <c r="EI7" i="23"/>
  <c r="EI14" i="23"/>
  <c r="EI6" i="23"/>
  <c r="EJ15" i="23" l="1"/>
  <c r="EJ8" i="23"/>
  <c r="EJ14" i="23"/>
  <c r="EJ5" i="23"/>
  <c r="EK4" i="23"/>
  <c r="EJ9" i="23"/>
  <c r="EJ7" i="23"/>
  <c r="EJ16" i="23"/>
  <c r="EJ17" i="23" s="1"/>
  <c r="EJ19" i="23" s="1"/>
  <c r="EJ6" i="23"/>
  <c r="EK14" i="23" l="1"/>
  <c r="EK8" i="23"/>
  <c r="EK15" i="23"/>
  <c r="EK7" i="23"/>
  <c r="EK9" i="23"/>
  <c r="EK16" i="23"/>
  <c r="EK17" i="23" s="1"/>
  <c r="EK19" i="23" s="1"/>
  <c r="EK6" i="23"/>
  <c r="EK5" i="23"/>
  <c r="EL4" i="23"/>
  <c r="EL8" i="23" l="1"/>
  <c r="EL15" i="23"/>
  <c r="EL7" i="23"/>
  <c r="EL14" i="23"/>
  <c r="EL6" i="23"/>
  <c r="EL16" i="23"/>
  <c r="EL17" i="23" s="1"/>
  <c r="EL19" i="23" s="1"/>
  <c r="EL5" i="23"/>
  <c r="EM4" i="23"/>
  <c r="EL9" i="23"/>
  <c r="EM15" i="23" l="1"/>
  <c r="EM7" i="23"/>
  <c r="EM14" i="23"/>
  <c r="EM6" i="23"/>
  <c r="EM8" i="23"/>
  <c r="EM16" i="23"/>
  <c r="EM17" i="23" s="1"/>
  <c r="EM19" i="23" s="1"/>
  <c r="EM5" i="23"/>
  <c r="EN4" i="23"/>
  <c r="EM9" i="23"/>
  <c r="EN14" i="23" l="1"/>
  <c r="EN5" i="23"/>
  <c r="EN16" i="23"/>
  <c r="EN7" i="23"/>
  <c r="EN17" i="23"/>
  <c r="EN19" i="23" s="1"/>
  <c r="EN15" i="23"/>
  <c r="EN6" i="23"/>
  <c r="EN8" i="23"/>
  <c r="EO4" i="23"/>
  <c r="EN9" i="23"/>
  <c r="EO5" i="23" l="1"/>
  <c r="EO16" i="23"/>
  <c r="EO17" i="23" s="1"/>
  <c r="EO19" i="23" s="1"/>
  <c r="EO15" i="23"/>
  <c r="EO14" i="23"/>
  <c r="EO6" i="23"/>
  <c r="EO8" i="23"/>
  <c r="EO7" i="23"/>
  <c r="EP4" i="23"/>
  <c r="M62" i="13"/>
  <c r="G62" i="13"/>
  <c r="J62" i="13"/>
  <c r="O62" i="13"/>
  <c r="I62" i="13"/>
  <c r="L62" i="13"/>
  <c r="F62" i="13"/>
  <c r="P62" i="13"/>
  <c r="Q62" i="13"/>
  <c r="R62" i="13"/>
  <c r="N62" i="13"/>
  <c r="K62" i="13"/>
  <c r="H62" i="13"/>
  <c r="J63" i="13" l="1"/>
  <c r="M59" i="7" s="1"/>
  <c r="M58" i="7"/>
  <c r="G66" i="13"/>
  <c r="G137" i="13" s="1"/>
  <c r="G142" i="13" s="1"/>
  <c r="J58" i="7" a="1"/>
  <c r="J58" i="7" s="1"/>
  <c r="N63" i="13"/>
  <c r="Q59" i="7" s="1"/>
  <c r="Q58" i="7"/>
  <c r="R63" i="13"/>
  <c r="R66" i="13" s="1"/>
  <c r="R137" i="13" s="1"/>
  <c r="R142" i="13" s="1"/>
  <c r="R146" i="13" s="1"/>
  <c r="Q63" i="13"/>
  <c r="T59" i="7" s="1"/>
  <c r="T58" i="7"/>
  <c r="H63" i="13"/>
  <c r="K59" i="7" s="1"/>
  <c r="K58" i="7"/>
  <c r="EP16" i="23"/>
  <c r="EP14" i="23"/>
  <c r="EP17" i="23"/>
  <c r="EP19" i="23" s="1"/>
  <c r="EP15" i="23"/>
  <c r="EP6" i="23"/>
  <c r="EQ4" i="23"/>
  <c r="EP8" i="23"/>
  <c r="EP7" i="23"/>
  <c r="EP5" i="23"/>
  <c r="P63" i="13"/>
  <c r="S59" i="7" s="1"/>
  <c r="S58" i="7"/>
  <c r="K63" i="13"/>
  <c r="N59" i="7" s="1"/>
  <c r="N58" i="7"/>
  <c r="M63" i="13"/>
  <c r="P59" i="7" s="1"/>
  <c r="P58" i="7"/>
  <c r="L63" i="13"/>
  <c r="O59" i="7" s="1"/>
  <c r="O58" i="7"/>
  <c r="I63" i="13"/>
  <c r="L59" i="7" s="1"/>
  <c r="L58" i="7"/>
  <c r="O63" i="13"/>
  <c r="R59" i="7" s="1"/>
  <c r="R58" i="7"/>
  <c r="J66" i="13" l="1"/>
  <c r="J137" i="13" s="1"/>
  <c r="J142" i="13" s="1"/>
  <c r="K66" i="13"/>
  <c r="K137" i="13" s="1"/>
  <c r="K142" i="13" s="1"/>
  <c r="Q66" i="13"/>
  <c r="Q137" i="13" s="1"/>
  <c r="Q142" i="13" s="1"/>
  <c r="N66" i="13"/>
  <c r="N137" i="13" s="1"/>
  <c r="N142" i="13" s="1"/>
  <c r="P66" i="13"/>
  <c r="P137" i="13" s="1"/>
  <c r="P142" i="13" s="1"/>
  <c r="H66" i="13"/>
  <c r="H137" i="13" s="1"/>
  <c r="H142" i="13" s="1"/>
  <c r="C81" i="5" a="1"/>
  <c r="C81" i="5" s="1"/>
  <c r="C81" i="32" a="1"/>
  <c r="C81" i="32" s="1"/>
  <c r="J137" i="7" a="1"/>
  <c r="J137" i="7" s="1"/>
  <c r="J74" i="7"/>
  <c r="F10" i="34" s="1"/>
  <c r="F15" i="19"/>
  <c r="F17" i="19" s="1"/>
  <c r="F19" i="19" s="1"/>
  <c r="G30" i="6" a="1"/>
  <c r="G30" i="6" s="1"/>
  <c r="O66" i="13"/>
  <c r="O137" i="13" s="1"/>
  <c r="O142" i="13" s="1"/>
  <c r="L137" i="7" a="1"/>
  <c r="L137" i="7" s="1"/>
  <c r="L74" i="7"/>
  <c r="H10" i="34" s="1"/>
  <c r="H11" i="34" s="1"/>
  <c r="H15" i="19"/>
  <c r="H17" i="19" s="1"/>
  <c r="H19" i="19" s="1"/>
  <c r="H21" i="19" s="1"/>
  <c r="I30" i="6" a="1"/>
  <c r="I30" i="6" s="1"/>
  <c r="S137" i="7" a="1"/>
  <c r="S137" i="7" s="1"/>
  <c r="S74" i="7"/>
  <c r="O10" i="34" s="1"/>
  <c r="O11" i="34" s="1"/>
  <c r="P30" i="6" a="1"/>
  <c r="P30" i="6" s="1"/>
  <c r="K137" i="7" a="1"/>
  <c r="K137" i="7" s="1"/>
  <c r="K74" i="7"/>
  <c r="G10" i="34" s="1"/>
  <c r="G11" i="34" s="1"/>
  <c r="G15" i="19"/>
  <c r="G17" i="19" s="1"/>
  <c r="G19" i="19" s="1"/>
  <c r="G21" i="19" s="1"/>
  <c r="H30" i="6" a="1"/>
  <c r="H30" i="6" s="1"/>
  <c r="M137" i="7" a="1"/>
  <c r="M137" i="7" s="1"/>
  <c r="M74" i="7"/>
  <c r="I10" i="34" s="1"/>
  <c r="I11" i="34" s="1"/>
  <c r="I15" i="19"/>
  <c r="I17" i="19" s="1"/>
  <c r="I19" i="19" s="1"/>
  <c r="I21" i="19" s="1"/>
  <c r="J30" i="6" a="1"/>
  <c r="J30" i="6" s="1"/>
  <c r="P137" i="7" a="1"/>
  <c r="P137" i="7" s="1"/>
  <c r="L15" i="19"/>
  <c r="L17" i="19" s="1"/>
  <c r="L19" i="19" s="1"/>
  <c r="L21" i="19" s="1"/>
  <c r="P74" i="7"/>
  <c r="L10" i="34" s="1"/>
  <c r="L11" i="34" s="1"/>
  <c r="M30" i="6" a="1"/>
  <c r="M30" i="6" s="1"/>
  <c r="M66" i="13"/>
  <c r="M137" i="13" s="1"/>
  <c r="M142" i="13" s="1"/>
  <c r="Q137" i="7" a="1"/>
  <c r="Q137" i="7" s="1"/>
  <c r="Q74" i="7"/>
  <c r="M10" i="34" s="1"/>
  <c r="M11" i="34" s="1"/>
  <c r="N30" i="6" a="1"/>
  <c r="N30" i="6" s="1"/>
  <c r="N137" i="7" a="1"/>
  <c r="N137" i="7" s="1"/>
  <c r="N74" i="7"/>
  <c r="J10" i="34" s="1"/>
  <c r="J11" i="34" s="1"/>
  <c r="J15" i="19"/>
  <c r="J17" i="19" s="1"/>
  <c r="J19" i="19" s="1"/>
  <c r="J21" i="19" s="1"/>
  <c r="K30" i="6" a="1"/>
  <c r="K30" i="6" s="1"/>
  <c r="L66" i="13"/>
  <c r="L137" i="13" s="1"/>
  <c r="L142" i="13" s="1"/>
  <c r="EQ16" i="23"/>
  <c r="EQ17" i="23" s="1"/>
  <c r="EQ19" i="23" s="1"/>
  <c r="EQ14" i="23"/>
  <c r="EQ15" i="23"/>
  <c r="EQ8" i="23"/>
  <c r="EQ7" i="23"/>
  <c r="EQ5" i="23"/>
  <c r="EQ6" i="23"/>
  <c r="R137" i="7" a="1"/>
  <c r="R137" i="7" s="1"/>
  <c r="R74" i="7"/>
  <c r="N10" i="34" s="1"/>
  <c r="N11" i="34" s="1"/>
  <c r="O30" i="6" a="1"/>
  <c r="O30" i="6" s="1"/>
  <c r="I66" i="13"/>
  <c r="I137" i="13" s="1"/>
  <c r="I142" i="13" s="1"/>
  <c r="O137" i="7" a="1"/>
  <c r="O137" i="7" s="1"/>
  <c r="O74" i="7"/>
  <c r="K10" i="34" s="1"/>
  <c r="K11" i="34" s="1"/>
  <c r="K15" i="19"/>
  <c r="K17" i="19" s="1"/>
  <c r="K19" i="19" s="1"/>
  <c r="K21" i="19" s="1"/>
  <c r="L30" i="6" a="1"/>
  <c r="L30" i="6" s="1"/>
  <c r="T137" i="7" a="1"/>
  <c r="T137" i="7" s="1"/>
  <c r="T74" i="7"/>
  <c r="P10" i="34" s="1"/>
  <c r="P11" i="34" s="1"/>
  <c r="Q30" i="6" a="1"/>
  <c r="Q30" i="6" s="1"/>
  <c r="Q10" i="34" l="1"/>
  <c r="F11" i="34"/>
  <c r="Q11" i="34" s="1"/>
  <c r="J43" i="28"/>
  <c r="K144" i="13"/>
  <c r="K146" i="13" s="1"/>
  <c r="K155" i="13" s="1"/>
  <c r="J10" i="16"/>
  <c r="J11" i="16" s="1"/>
  <c r="K50" i="6"/>
  <c r="K55" i="6" s="1"/>
  <c r="N76" i="7"/>
  <c r="I43" i="28"/>
  <c r="I10" i="16"/>
  <c r="I11" i="16" s="1"/>
  <c r="J144" i="13"/>
  <c r="J146" i="13" s="1"/>
  <c r="J155" i="13" s="1"/>
  <c r="J50" i="6"/>
  <c r="J55" i="6" s="1"/>
  <c r="M76" i="7"/>
  <c r="H43" i="28"/>
  <c r="I144" i="13"/>
  <c r="I146" i="13" s="1"/>
  <c r="I155" i="13" s="1"/>
  <c r="H10" i="16"/>
  <c r="H11" i="16" s="1"/>
  <c r="I50" i="6"/>
  <c r="I55" i="6" s="1"/>
  <c r="L76" i="7"/>
  <c r="M43" i="28"/>
  <c r="M10" i="16"/>
  <c r="M11" i="16" s="1"/>
  <c r="N144" i="13"/>
  <c r="N146" i="13" s="1"/>
  <c r="N155" i="13" s="1"/>
  <c r="N50" i="6"/>
  <c r="N55" i="6" s="1"/>
  <c r="Q76" i="7"/>
  <c r="K43" i="28"/>
  <c r="L144" i="13"/>
  <c r="L146" i="13" s="1"/>
  <c r="L155" i="13" s="1"/>
  <c r="K10" i="16"/>
  <c r="K11" i="16" s="1"/>
  <c r="L50" i="6"/>
  <c r="L55" i="6" s="1"/>
  <c r="O76" i="7"/>
  <c r="G43" i="28"/>
  <c r="H144" i="13"/>
  <c r="H146" i="13" s="1"/>
  <c r="H155" i="13" s="1"/>
  <c r="G10" i="16"/>
  <c r="G11" i="16" s="1"/>
  <c r="H50" i="6"/>
  <c r="H55" i="6" s="1"/>
  <c r="K76" i="7"/>
  <c r="F21" i="19"/>
  <c r="F25" i="19"/>
  <c r="L43" i="28"/>
  <c r="L10" i="16"/>
  <c r="L11" i="16" s="1"/>
  <c r="M144" i="13"/>
  <c r="M146" i="13" s="1"/>
  <c r="M155" i="13" s="1"/>
  <c r="M50" i="6"/>
  <c r="M55" i="6" s="1"/>
  <c r="P76" i="7"/>
  <c r="F43" i="28"/>
  <c r="G144" i="13"/>
  <c r="G146" i="13" s="1"/>
  <c r="G155" i="13" s="1"/>
  <c r="F10" i="16"/>
  <c r="G50" i="6"/>
  <c r="G55" i="6" s="1"/>
  <c r="J76" i="7"/>
  <c r="P43" i="28"/>
  <c r="P10" i="16"/>
  <c r="P11" i="16" s="1"/>
  <c r="Q144" i="13"/>
  <c r="Q146" i="13" s="1"/>
  <c r="Q155" i="13" s="1"/>
  <c r="Q50" i="6"/>
  <c r="Q55" i="6" s="1"/>
  <c r="T76" i="7"/>
  <c r="D137" i="7" a="1"/>
  <c r="D137" i="7" s="1"/>
  <c r="O43" i="28"/>
  <c r="O10" i="16"/>
  <c r="O11" i="16" s="1"/>
  <c r="P144" i="13"/>
  <c r="P146" i="13" s="1"/>
  <c r="P155" i="13" s="1"/>
  <c r="P50" i="6"/>
  <c r="P55" i="6" s="1"/>
  <c r="S76" i="7"/>
  <c r="N43" i="28"/>
  <c r="N10" i="16"/>
  <c r="N11" i="16" s="1"/>
  <c r="O144" i="13"/>
  <c r="O146" i="13" s="1"/>
  <c r="O155" i="13" s="1"/>
  <c r="O50" i="6"/>
  <c r="O55" i="6" s="1"/>
  <c r="R76" i="7"/>
  <c r="J77" i="7" l="1"/>
  <c r="J60" i="6"/>
  <c r="J61" i="6" s="1"/>
  <c r="J36" i="6" s="1"/>
  <c r="I44" i="34" s="1"/>
  <c r="L30" i="8" a="1"/>
  <c r="L30" i="8" s="1"/>
  <c r="L34" i="8" s="1"/>
  <c r="I27" i="34" s="1"/>
  <c r="I30" i="34" s="1"/>
  <c r="L26" i="8" a="1"/>
  <c r="L26" i="8" s="1"/>
  <c r="Q10" i="16"/>
  <c r="F11" i="16"/>
  <c r="Q11" i="16" s="1"/>
  <c r="L60" i="6"/>
  <c r="L61" i="6" s="1"/>
  <c r="L36" i="6" s="1"/>
  <c r="K44" i="34" s="1"/>
  <c r="N30" i="8" a="1"/>
  <c r="N30" i="8" s="1"/>
  <c r="N34" i="8" s="1"/>
  <c r="K27" i="34" s="1"/>
  <c r="K30" i="34" s="1"/>
  <c r="N26" i="8" a="1"/>
  <c r="N26" i="8" s="1"/>
  <c r="I60" i="6"/>
  <c r="I61" i="6" s="1"/>
  <c r="I36" i="6" s="1"/>
  <c r="H44" i="34" s="1"/>
  <c r="K30" i="8" a="1"/>
  <c r="K30" i="8" s="1"/>
  <c r="K34" i="8" s="1"/>
  <c r="H27" i="34" s="1"/>
  <c r="H30" i="34" s="1"/>
  <c r="K26" i="8" a="1"/>
  <c r="K26" i="8" s="1"/>
  <c r="F27" i="19"/>
  <c r="F31" i="19" s="1"/>
  <c r="F36" i="19" s="1"/>
  <c r="G60" i="6"/>
  <c r="G61" i="6" s="1"/>
  <c r="G36" i="6" s="1"/>
  <c r="F44" i="34" s="1"/>
  <c r="I30" i="8" a="1"/>
  <c r="I30" i="8" s="1"/>
  <c r="I34" i="8" s="1"/>
  <c r="F27" i="34" s="1"/>
  <c r="F30" i="34" s="1"/>
  <c r="I26" i="8" a="1"/>
  <c r="I26" i="8" s="1"/>
  <c r="K77" i="7"/>
  <c r="H60" i="6"/>
  <c r="H61" i="6" s="1"/>
  <c r="H36" i="6" s="1"/>
  <c r="G44" i="34" s="1"/>
  <c r="J30" i="8" a="1"/>
  <c r="J30" i="8" s="1"/>
  <c r="J34" i="8" s="1"/>
  <c r="G27" i="34" s="1"/>
  <c r="G30" i="34" s="1"/>
  <c r="J26" i="8" a="1"/>
  <c r="J26" i="8" s="1"/>
  <c r="K60" i="6"/>
  <c r="K61" i="6" s="1"/>
  <c r="K36" i="6" s="1"/>
  <c r="J44" i="34" s="1"/>
  <c r="M30" i="8" a="1"/>
  <c r="M30" i="8" s="1"/>
  <c r="M34" i="8" s="1"/>
  <c r="J27" i="34" s="1"/>
  <c r="J30" i="34" s="1"/>
  <c r="M26" i="8" a="1"/>
  <c r="M26" i="8" s="1"/>
  <c r="Q60" i="6"/>
  <c r="Q61" i="6" s="1"/>
  <c r="Q36" i="6" s="1"/>
  <c r="P44" i="34" s="1"/>
  <c r="S30" i="8" a="1"/>
  <c r="S30" i="8" s="1"/>
  <c r="S34" i="8" s="1"/>
  <c r="P27" i="34" s="1"/>
  <c r="P30" i="34" s="1"/>
  <c r="S26" i="8" a="1"/>
  <c r="S26" i="8" s="1"/>
  <c r="P60" i="6"/>
  <c r="P61" i="6" s="1"/>
  <c r="P36" i="6" s="1"/>
  <c r="O44" i="34" s="1"/>
  <c r="R30" i="8" a="1"/>
  <c r="R30" i="8" s="1"/>
  <c r="R34" i="8" s="1"/>
  <c r="O27" i="34" s="1"/>
  <c r="O30" i="34" s="1"/>
  <c r="R26" i="8" a="1"/>
  <c r="R26" i="8" s="1"/>
  <c r="M60" i="6"/>
  <c r="M61" i="6" s="1"/>
  <c r="M36" i="6" s="1"/>
  <c r="L44" i="34" s="1"/>
  <c r="O30" i="8" a="1"/>
  <c r="O30" i="8" s="1"/>
  <c r="O34" i="8" s="1"/>
  <c r="L27" i="34" s="1"/>
  <c r="L30" i="34" s="1"/>
  <c r="O26" i="8" a="1"/>
  <c r="O26" i="8" s="1"/>
  <c r="N60" i="6"/>
  <c r="N61" i="6" s="1"/>
  <c r="N36" i="6" s="1"/>
  <c r="M44" i="34" s="1"/>
  <c r="P30" i="8" a="1"/>
  <c r="P30" i="8" s="1"/>
  <c r="P34" i="8" s="1"/>
  <c r="M27" i="34" s="1"/>
  <c r="M30" i="34" s="1"/>
  <c r="P26" i="8" a="1"/>
  <c r="P26" i="8" s="1"/>
  <c r="O60" i="6"/>
  <c r="O61" i="6" s="1"/>
  <c r="O36" i="6" s="1"/>
  <c r="N44" i="34" s="1"/>
  <c r="Q30" i="8" a="1"/>
  <c r="Q30" i="8" s="1"/>
  <c r="Q34" i="8" s="1"/>
  <c r="N27" i="34" s="1"/>
  <c r="N30" i="34" s="1"/>
  <c r="Q26" i="8" a="1"/>
  <c r="Q26" i="8" s="1"/>
  <c r="J44" i="16" l="1"/>
  <c r="J65" i="9"/>
  <c r="N110" i="7"/>
  <c r="L44" i="16"/>
  <c r="L65" i="9"/>
  <c r="P110" i="7"/>
  <c r="O27" i="16"/>
  <c r="O30" i="16" s="1"/>
  <c r="R39" i="8"/>
  <c r="K152" i="7"/>
  <c r="H29" i="6" a="1"/>
  <c r="H29" i="6" s="1"/>
  <c r="G27" i="16"/>
  <c r="G30" i="16" s="1"/>
  <c r="J39" i="8"/>
  <c r="G44" i="16"/>
  <c r="G65" i="9"/>
  <c r="K110" i="7"/>
  <c r="O44" i="16"/>
  <c r="S110" i="7"/>
  <c r="F29" i="19"/>
  <c r="G25" i="19" s="1"/>
  <c r="K79" i="7"/>
  <c r="F22" i="32" s="1"/>
  <c r="F27" i="16"/>
  <c r="F30" i="16" s="1"/>
  <c r="I39" i="8"/>
  <c r="I27" i="16"/>
  <c r="I30" i="16" s="1"/>
  <c r="L39" i="8"/>
  <c r="N27" i="16"/>
  <c r="N30" i="16" s="1"/>
  <c r="Q39" i="8"/>
  <c r="N44" i="16"/>
  <c r="R110" i="7"/>
  <c r="M27" i="16"/>
  <c r="M30" i="16" s="1"/>
  <c r="P39" i="8"/>
  <c r="M44" i="16"/>
  <c r="M65" i="9"/>
  <c r="Q110" i="7"/>
  <c r="K27" i="16"/>
  <c r="K30" i="16" s="1"/>
  <c r="N39" i="8"/>
  <c r="I44" i="16"/>
  <c r="I65" i="9"/>
  <c r="M110" i="7"/>
  <c r="J27" i="16"/>
  <c r="J30" i="16" s="1"/>
  <c r="M39" i="8"/>
  <c r="F44" i="16"/>
  <c r="F65" i="9"/>
  <c r="J110" i="7"/>
  <c r="P44" i="16"/>
  <c r="T110" i="7"/>
  <c r="K44" i="16"/>
  <c r="K65" i="9"/>
  <c r="O110" i="7"/>
  <c r="J152" i="7"/>
  <c r="G29" i="6" a="1"/>
  <c r="G29" i="6" s="1"/>
  <c r="H27" i="16"/>
  <c r="H30" i="16" s="1"/>
  <c r="K39" i="8"/>
  <c r="H44" i="16"/>
  <c r="L110" i="7"/>
  <c r="H65" i="9"/>
  <c r="P27" i="16"/>
  <c r="P30" i="16" s="1"/>
  <c r="S39" i="8"/>
  <c r="L27" i="16"/>
  <c r="L30" i="16" s="1"/>
  <c r="O39" i="8"/>
  <c r="L77" i="7"/>
  <c r="J79" i="7"/>
  <c r="E22" i="32" l="1"/>
  <c r="G44" i="28"/>
  <c r="G58" i="9"/>
  <c r="G60" i="9" s="1"/>
  <c r="D198" i="9"/>
  <c r="K85" i="7"/>
  <c r="G12" i="34" s="1"/>
  <c r="H64" i="6"/>
  <c r="F22" i="5"/>
  <c r="K80" i="7"/>
  <c r="J153" i="7"/>
  <c r="J154" i="7" s="1"/>
  <c r="K153" i="7"/>
  <c r="K154" i="7" s="1"/>
  <c r="F44" i="28"/>
  <c r="D189" i="9"/>
  <c r="F58" i="9"/>
  <c r="F60" i="9" s="1"/>
  <c r="J85" i="7"/>
  <c r="F12" i="34" s="1"/>
  <c r="G64" i="6"/>
  <c r="E22" i="5"/>
  <c r="J80" i="7"/>
  <c r="I29" i="6" a="1"/>
  <c r="I29" i="6" s="1"/>
  <c r="L152" i="7"/>
  <c r="L79" i="7"/>
  <c r="M77" i="7"/>
  <c r="N77" i="7" s="1"/>
  <c r="G27" i="19"/>
  <c r="G31" i="19" s="1"/>
  <c r="G36" i="19" s="1"/>
  <c r="G44" i="32" l="1"/>
  <c r="G22" i="32"/>
  <c r="J32" i="32"/>
  <c r="G8" i="32"/>
  <c r="G12" i="32"/>
  <c r="F8" i="32"/>
  <c r="F12" i="32"/>
  <c r="G77" i="32"/>
  <c r="G78" i="32"/>
  <c r="N152" i="7"/>
  <c r="K29" i="6" a="1"/>
  <c r="K29" i="6" s="1"/>
  <c r="N79" i="7"/>
  <c r="I22" i="32" s="1"/>
  <c r="G29" i="19"/>
  <c r="H25" i="19" s="1"/>
  <c r="J29" i="6" a="1"/>
  <c r="J29" i="6" s="1"/>
  <c r="M152" i="7"/>
  <c r="M79" i="7"/>
  <c r="H22" i="32" s="1"/>
  <c r="O77" i="7"/>
  <c r="P77" i="7"/>
  <c r="F8" i="5"/>
  <c r="G76" i="6"/>
  <c r="F53" i="28" s="1"/>
  <c r="F126" i="28" s="1"/>
  <c r="F12" i="5"/>
  <c r="F12" i="16"/>
  <c r="J89" i="7"/>
  <c r="F13" i="34" s="1"/>
  <c r="G8" i="5"/>
  <c r="H76" i="6"/>
  <c r="G53" i="28" s="1"/>
  <c r="G126" i="28" s="1"/>
  <c r="G12" i="5"/>
  <c r="F61" i="9"/>
  <c r="F62" i="9" s="1"/>
  <c r="F66" i="9" s="1"/>
  <c r="F80" i="9" s="1"/>
  <c r="E189" i="9"/>
  <c r="D190" i="9"/>
  <c r="D192" i="9" s="1"/>
  <c r="D193" i="9" s="1"/>
  <c r="G12" i="16"/>
  <c r="K89" i="7"/>
  <c r="G13" i="34" s="1"/>
  <c r="H44" i="28"/>
  <c r="H58" i="9"/>
  <c r="L85" i="7"/>
  <c r="H12" i="34" s="1"/>
  <c r="I64" i="6"/>
  <c r="J32" i="5"/>
  <c r="C68" i="29" s="1"/>
  <c r="G22" i="5"/>
  <c r="G44" i="5"/>
  <c r="C62" i="29" s="1"/>
  <c r="L80" i="7"/>
  <c r="F45" i="28"/>
  <c r="F100" i="28"/>
  <c r="F199" i="9"/>
  <c r="F201" i="9" s="1"/>
  <c r="F202" i="9" s="1"/>
  <c r="E199" i="9"/>
  <c r="E201" i="9" s="1"/>
  <c r="D199" i="9"/>
  <c r="D201" i="9" s="1"/>
  <c r="D202" i="9" s="1"/>
  <c r="D203" i="9" s="1"/>
  <c r="E198" i="9"/>
  <c r="F198" i="9" s="1"/>
  <c r="G61" i="9"/>
  <c r="G62" i="9" s="1"/>
  <c r="G66" i="9" s="1"/>
  <c r="G80" i="9" s="1"/>
  <c r="L153" i="7"/>
  <c r="L154" i="7" s="1"/>
  <c r="G100" i="28"/>
  <c r="G45" i="28"/>
  <c r="G45" i="5" l="1"/>
  <c r="C63" i="29" s="1"/>
  <c r="C6" i="30" s="1"/>
  <c r="G45" i="32"/>
  <c r="H8" i="32"/>
  <c r="H12" i="32"/>
  <c r="G107" i="9"/>
  <c r="G82" i="9"/>
  <c r="F107" i="9"/>
  <c r="F82" i="9"/>
  <c r="H8" i="5"/>
  <c r="I76" i="6"/>
  <c r="H53" i="28" s="1"/>
  <c r="H126" i="28" s="1"/>
  <c r="H12" i="5"/>
  <c r="H12" i="16"/>
  <c r="L89" i="7"/>
  <c r="H13" i="34" s="1"/>
  <c r="G13" i="16"/>
  <c r="F13" i="16"/>
  <c r="J91" i="7"/>
  <c r="F14" i="34" s="1"/>
  <c r="J92" i="7"/>
  <c r="K92" i="7" s="1"/>
  <c r="P152" i="7"/>
  <c r="M29" i="6" a="1"/>
  <c r="M29" i="6" s="1"/>
  <c r="P79" i="7"/>
  <c r="K22" i="32" s="1"/>
  <c r="I44" i="28"/>
  <c r="I58" i="9"/>
  <c r="I60" i="9" s="1"/>
  <c r="M85" i="7"/>
  <c r="I12" i="34" s="1"/>
  <c r="J64" i="6"/>
  <c r="H22" i="5"/>
  <c r="M80" i="7"/>
  <c r="G78" i="5"/>
  <c r="D192" i="4" s="1"/>
  <c r="G77" i="5"/>
  <c r="M153" i="7"/>
  <c r="M154" i="7" s="1"/>
  <c r="H27" i="19"/>
  <c r="H31" i="19" s="1"/>
  <c r="H36" i="19" s="1"/>
  <c r="Q77" i="7"/>
  <c r="H100" i="28"/>
  <c r="H45" i="28"/>
  <c r="F189" i="9"/>
  <c r="F190" i="9" s="1"/>
  <c r="F192" i="9" s="1"/>
  <c r="F193" i="9" s="1"/>
  <c r="D194" i="9" s="1"/>
  <c r="E190" i="9"/>
  <c r="E192" i="9" s="1"/>
  <c r="J44" i="28"/>
  <c r="N85" i="7"/>
  <c r="J12" i="34" s="1"/>
  <c r="J58" i="9"/>
  <c r="J60" i="9" s="1"/>
  <c r="K64" i="6"/>
  <c r="I22" i="5"/>
  <c r="N80" i="7"/>
  <c r="C130" i="9"/>
  <c r="J33" i="32" s="1"/>
  <c r="H60" i="9"/>
  <c r="N153" i="7"/>
  <c r="N154" i="7" s="1"/>
  <c r="O152" i="7"/>
  <c r="L29" i="6" a="1"/>
  <c r="L29" i="6" s="1"/>
  <c r="O79" i="7"/>
  <c r="J22" i="32" s="1"/>
  <c r="J8" i="32" l="1"/>
  <c r="J12" i="32"/>
  <c r="I8" i="32"/>
  <c r="I12" i="32"/>
  <c r="H29" i="19"/>
  <c r="I25" i="19" s="1"/>
  <c r="L44" i="28"/>
  <c r="L58" i="9"/>
  <c r="L60" i="9" s="1"/>
  <c r="P85" i="7"/>
  <c r="L12" i="34" s="1"/>
  <c r="M64" i="6"/>
  <c r="K22" i="5"/>
  <c r="P80" i="7"/>
  <c r="P153" i="7"/>
  <c r="P154" i="7" s="1"/>
  <c r="J61" i="9"/>
  <c r="J62" i="9" s="1"/>
  <c r="J66" i="9" s="1"/>
  <c r="J80" i="9" s="1"/>
  <c r="J45" i="28"/>
  <c r="J100" i="28"/>
  <c r="I8" i="5"/>
  <c r="J76" i="6"/>
  <c r="I53" i="28" s="1"/>
  <c r="I126" i="28" s="1"/>
  <c r="I12" i="5"/>
  <c r="I100" i="28"/>
  <c r="I45" i="28"/>
  <c r="J12" i="16"/>
  <c r="N89" i="7"/>
  <c r="J13" i="34" s="1"/>
  <c r="L92" i="7"/>
  <c r="F14" i="16"/>
  <c r="G32" i="6" a="1"/>
  <c r="G32" i="6" s="1"/>
  <c r="J109" i="7"/>
  <c r="J108" i="7" s="1"/>
  <c r="J95" i="7"/>
  <c r="F15" i="34" s="1"/>
  <c r="C172" i="9"/>
  <c r="J33" i="5"/>
  <c r="C69" i="29" s="1"/>
  <c r="I12" i="16"/>
  <c r="M89" i="7"/>
  <c r="I13" i="34" s="1"/>
  <c r="O153" i="7"/>
  <c r="O154" i="7" s="1"/>
  <c r="Q152" i="7"/>
  <c r="N29" i="6" a="1"/>
  <c r="N29" i="6" s="1"/>
  <c r="Q79" i="7"/>
  <c r="L22" i="32" s="1"/>
  <c r="R77" i="7"/>
  <c r="K91" i="7"/>
  <c r="G14" i="34" s="1"/>
  <c r="J8" i="5"/>
  <c r="K76" i="6"/>
  <c r="J53" i="28" s="1"/>
  <c r="J126" i="28" s="1"/>
  <c r="J12" i="5"/>
  <c r="H13" i="16"/>
  <c r="L91" i="7"/>
  <c r="K44" i="28"/>
  <c r="K58" i="9"/>
  <c r="K60" i="9" s="1"/>
  <c r="O85" i="7"/>
  <c r="K12" i="34" s="1"/>
  <c r="L64" i="6"/>
  <c r="J22" i="5"/>
  <c r="O80" i="7"/>
  <c r="H61" i="9"/>
  <c r="H62" i="9" s="1"/>
  <c r="H66" i="9" s="1"/>
  <c r="H80" i="9" s="1"/>
  <c r="I27" i="19"/>
  <c r="I31" i="19" s="1"/>
  <c r="I36" i="19" s="1"/>
  <c r="I61" i="9"/>
  <c r="I62" i="9" s="1"/>
  <c r="I66" i="9" s="1"/>
  <c r="I80" i="9" s="1"/>
  <c r="L95" i="7" l="1"/>
  <c r="H14" i="34"/>
  <c r="I29" i="19"/>
  <c r="J25" i="19" s="1"/>
  <c r="L8" i="32"/>
  <c r="L12" i="32"/>
  <c r="K8" i="32"/>
  <c r="K12" i="32"/>
  <c r="J107" i="9"/>
  <c r="J82" i="9"/>
  <c r="I107" i="9"/>
  <c r="I82" i="9"/>
  <c r="H107" i="9"/>
  <c r="H82" i="9"/>
  <c r="K61" i="9"/>
  <c r="K62" i="9" s="1"/>
  <c r="K66" i="9" s="1"/>
  <c r="K80" i="9" s="1"/>
  <c r="L12" i="16"/>
  <c r="P89" i="7"/>
  <c r="L13" i="34" s="1"/>
  <c r="K12" i="16"/>
  <c r="O89" i="7"/>
  <c r="K13" i="34" s="1"/>
  <c r="Q153" i="7"/>
  <c r="Q154" i="7" s="1"/>
  <c r="M44" i="28"/>
  <c r="M58" i="9"/>
  <c r="M60" i="9" s="1"/>
  <c r="Q85" i="7"/>
  <c r="M12" i="34" s="1"/>
  <c r="L22" i="5"/>
  <c r="N64" i="6"/>
  <c r="Q80" i="7"/>
  <c r="K100" i="28"/>
  <c r="K45" i="28"/>
  <c r="M92" i="7"/>
  <c r="N92" i="7" s="1"/>
  <c r="H14" i="16"/>
  <c r="I32" i="6" a="1"/>
  <c r="I32" i="6" s="1"/>
  <c r="L109" i="7"/>
  <c r="L108" i="7" s="1"/>
  <c r="J13" i="16"/>
  <c r="L61" i="9"/>
  <c r="L62" i="9" s="1"/>
  <c r="L66" i="9" s="1"/>
  <c r="L80" i="9" s="1"/>
  <c r="O29" i="6" a="1"/>
  <c r="O29" i="6" s="1"/>
  <c r="R152" i="7"/>
  <c r="R79" i="7"/>
  <c r="S77" i="7"/>
  <c r="J27" i="19"/>
  <c r="J31" i="19" s="1"/>
  <c r="J36" i="19" s="1"/>
  <c r="H46" i="28"/>
  <c r="H15" i="16"/>
  <c r="G46" i="5"/>
  <c r="L96" i="7"/>
  <c r="L45" i="28"/>
  <c r="L100" i="28"/>
  <c r="I13" i="16"/>
  <c r="M91" i="7"/>
  <c r="K8" i="5"/>
  <c r="L76" i="6"/>
  <c r="K53" i="28" s="1"/>
  <c r="K126" i="28" s="1"/>
  <c r="K12" i="5"/>
  <c r="F46" i="28"/>
  <c r="F15" i="16"/>
  <c r="J96" i="7"/>
  <c r="G14" i="16"/>
  <c r="H32" i="6" a="1"/>
  <c r="H32" i="6" s="1"/>
  <c r="K109" i="7"/>
  <c r="K108" i="7" s="1"/>
  <c r="K95" i="7"/>
  <c r="G15" i="34" s="1"/>
  <c r="J105" i="7"/>
  <c r="G33" i="6" s="1" a="1"/>
  <c r="G33" i="6" s="1"/>
  <c r="F118" i="9" s="1"/>
  <c r="G67" i="6"/>
  <c r="F49" i="34" s="1"/>
  <c r="L8" i="5"/>
  <c r="M76" i="6"/>
  <c r="L53" i="28" s="1"/>
  <c r="L126" i="28" s="1"/>
  <c r="L12" i="5"/>
  <c r="G46" i="32" l="1"/>
  <c r="G47" i="32" s="1"/>
  <c r="H15" i="34"/>
  <c r="M95" i="7"/>
  <c r="I15" i="34" s="1"/>
  <c r="I14" i="34"/>
  <c r="F11" i="32"/>
  <c r="M8" i="32"/>
  <c r="M12" i="32"/>
  <c r="N22" i="32"/>
  <c r="M22" i="32"/>
  <c r="O92" i="7"/>
  <c r="P92" i="7" s="1"/>
  <c r="J29" i="19"/>
  <c r="K25" i="19" s="1"/>
  <c r="K27" i="19" s="1"/>
  <c r="K31" i="19" s="1"/>
  <c r="K36" i="19" s="1"/>
  <c r="N91" i="7"/>
  <c r="I43" i="8" a="1"/>
  <c r="I43" i="8" s="1"/>
  <c r="I45" i="8" s="1"/>
  <c r="F32" i="34" s="1"/>
  <c r="L107" i="9"/>
  <c r="L82" i="9"/>
  <c r="K107" i="9"/>
  <c r="K82" i="9"/>
  <c r="R153" i="7"/>
  <c r="R154" i="7" s="1"/>
  <c r="L13" i="16"/>
  <c r="M8" i="5"/>
  <c r="N76" i="6"/>
  <c r="M53" i="28" s="1"/>
  <c r="M126" i="28" s="1"/>
  <c r="M12" i="5"/>
  <c r="I46" i="28"/>
  <c r="I15" i="16"/>
  <c r="M96" i="7"/>
  <c r="F101" i="28"/>
  <c r="F47" i="28"/>
  <c r="F120" i="9"/>
  <c r="H47" i="28"/>
  <c r="H101" i="28"/>
  <c r="M61" i="9"/>
  <c r="M62" i="9" s="1"/>
  <c r="M66" i="9" s="1"/>
  <c r="M80" i="9" s="1"/>
  <c r="C64" i="29"/>
  <c r="G47" i="5"/>
  <c r="C65" i="29" s="1"/>
  <c r="F61" i="28"/>
  <c r="F49" i="16"/>
  <c r="F11" i="5"/>
  <c r="M12" i="16"/>
  <c r="Q89" i="7"/>
  <c r="M13" i="34" s="1"/>
  <c r="G35" i="6"/>
  <c r="F42" i="34" s="1"/>
  <c r="F46" i="34" s="1"/>
  <c r="F48" i="34" s="1"/>
  <c r="M100" i="28"/>
  <c r="M45" i="28"/>
  <c r="G46" i="28"/>
  <c r="G15" i="16"/>
  <c r="K96" i="7"/>
  <c r="I67" i="6"/>
  <c r="S152" i="7"/>
  <c r="P29" i="6" a="1"/>
  <c r="P29" i="6" s="1"/>
  <c r="S79" i="7"/>
  <c r="O22" i="32" s="1"/>
  <c r="T77" i="7"/>
  <c r="H67" i="6"/>
  <c r="I14" i="16"/>
  <c r="J32" i="6" a="1"/>
  <c r="J32" i="6" s="1"/>
  <c r="M109" i="7"/>
  <c r="M108" i="7" s="1"/>
  <c r="N44" i="28"/>
  <c r="N58" i="9"/>
  <c r="N60" i="9" s="1"/>
  <c r="M22" i="5"/>
  <c r="R85" i="7"/>
  <c r="N12" i="34" s="1"/>
  <c r="Q12" i="34" s="1"/>
  <c r="N22" i="5"/>
  <c r="O64" i="6"/>
  <c r="R80" i="7"/>
  <c r="K13" i="16"/>
  <c r="O91" i="7"/>
  <c r="H11" i="32" l="1"/>
  <c r="H49" i="34"/>
  <c r="O95" i="7"/>
  <c r="K15" i="34" s="1"/>
  <c r="K14" i="34"/>
  <c r="G11" i="32"/>
  <c r="G49" i="34"/>
  <c r="N95" i="7"/>
  <c r="J14" i="34"/>
  <c r="P91" i="7"/>
  <c r="L14" i="34" s="1"/>
  <c r="J14" i="16"/>
  <c r="N96" i="7"/>
  <c r="N8" i="32"/>
  <c r="N12" i="32"/>
  <c r="K29" i="19"/>
  <c r="L25" i="19" s="1"/>
  <c r="L27" i="19" s="1"/>
  <c r="L31" i="19" s="1"/>
  <c r="L36" i="19" s="1"/>
  <c r="N109" i="7"/>
  <c r="N108" i="7" s="1"/>
  <c r="K32" i="6" a="1"/>
  <c r="K32" i="6" s="1"/>
  <c r="K67" i="6" s="1"/>
  <c r="Q92" i="7"/>
  <c r="M107" i="9"/>
  <c r="M82" i="9"/>
  <c r="N12" i="16"/>
  <c r="Q12" i="16" s="1"/>
  <c r="R89" i="7"/>
  <c r="N13" i="34" s="1"/>
  <c r="Q13" i="34" s="1"/>
  <c r="G101" i="28"/>
  <c r="G47" i="28"/>
  <c r="T152" i="7"/>
  <c r="Q29" i="6" a="1"/>
  <c r="Q29" i="6" s="1"/>
  <c r="T79" i="7"/>
  <c r="I101" i="28"/>
  <c r="I47" i="28"/>
  <c r="F62" i="28"/>
  <c r="F144" i="28" s="1"/>
  <c r="F32" i="16"/>
  <c r="F42" i="16"/>
  <c r="F46" i="16" s="1"/>
  <c r="F48" i="16" s="1"/>
  <c r="E799" i="11"/>
  <c r="G37" i="6"/>
  <c r="K14" i="16"/>
  <c r="L32" i="6" a="1"/>
  <c r="L32" i="6" s="1"/>
  <c r="O109" i="7"/>
  <c r="O108" i="7" s="1"/>
  <c r="N100" i="28"/>
  <c r="N45" i="28"/>
  <c r="M13" i="16"/>
  <c r="Q91" i="7"/>
  <c r="M14" i="34" s="1"/>
  <c r="N61" i="9"/>
  <c r="N62" i="9" s="1"/>
  <c r="N66" i="9" s="1"/>
  <c r="N80" i="9" s="1"/>
  <c r="C22" i="15"/>
  <c r="B22" i="15"/>
  <c r="S153" i="7"/>
  <c r="S154" i="7" s="1"/>
  <c r="K46" i="28"/>
  <c r="K15" i="16"/>
  <c r="O96" i="7"/>
  <c r="J67" i="6"/>
  <c r="F121" i="9"/>
  <c r="M32" i="6" a="1"/>
  <c r="M32" i="6" s="1"/>
  <c r="O44" i="28"/>
  <c r="O58" i="9"/>
  <c r="O60" i="9" s="1"/>
  <c r="P64" i="6"/>
  <c r="O22" i="5"/>
  <c r="S85" i="7"/>
  <c r="O12" i="34" s="1"/>
  <c r="S80" i="7"/>
  <c r="H61" i="28"/>
  <c r="H121" i="28" s="1"/>
  <c r="H49" i="16"/>
  <c r="H11" i="5"/>
  <c r="G61" i="28"/>
  <c r="G121" i="28" s="1"/>
  <c r="G49" i="16"/>
  <c r="G11" i="5"/>
  <c r="P95" i="7"/>
  <c r="L15" i="34" s="1"/>
  <c r="N8" i="5"/>
  <c r="O76" i="6"/>
  <c r="N53" i="28" s="1"/>
  <c r="N126" i="28" s="1"/>
  <c r="N12" i="5"/>
  <c r="F121" i="28"/>
  <c r="J46" i="28" l="1"/>
  <c r="J15" i="34"/>
  <c r="J11" i="32"/>
  <c r="J49" i="34"/>
  <c r="J15" i="16"/>
  <c r="P109" i="7"/>
  <c r="P108" i="7" s="1"/>
  <c r="L14" i="16"/>
  <c r="I11" i="32"/>
  <c r="I49" i="34"/>
  <c r="J55" i="32"/>
  <c r="J78" i="32"/>
  <c r="P22" i="32"/>
  <c r="R92" i="7"/>
  <c r="O8" i="32"/>
  <c r="N107" i="9"/>
  <c r="N82" i="9"/>
  <c r="P44" i="28"/>
  <c r="P58" i="9"/>
  <c r="T85" i="7"/>
  <c r="P12" i="34" s="1"/>
  <c r="Q64" i="6"/>
  <c r="P22" i="5"/>
  <c r="J55" i="5"/>
  <c r="J78" i="5"/>
  <c r="T80" i="7"/>
  <c r="K101" i="28"/>
  <c r="K47" i="28"/>
  <c r="T153" i="7"/>
  <c r="T154" i="7" s="1"/>
  <c r="D22" i="15"/>
  <c r="E22" i="15" s="1"/>
  <c r="F22" i="15" s="1"/>
  <c r="E803" i="11"/>
  <c r="G808" i="11"/>
  <c r="G38" i="6"/>
  <c r="F9" i="32" s="1"/>
  <c r="N13" i="16"/>
  <c r="Q13" i="16" s="1"/>
  <c r="R91" i="7"/>
  <c r="N14" i="34" s="1"/>
  <c r="Q14" i="34" s="1"/>
  <c r="I799" i="11"/>
  <c r="M67" i="6"/>
  <c r="L67" i="6"/>
  <c r="L29" i="19"/>
  <c r="J61" i="28"/>
  <c r="J121" i="28" s="1"/>
  <c r="J49" i="16"/>
  <c r="J11" i="5"/>
  <c r="O8" i="5"/>
  <c r="P76" i="6"/>
  <c r="O53" i="28" s="1"/>
  <c r="O126" i="28" s="1"/>
  <c r="P67" i="6"/>
  <c r="M14" i="16"/>
  <c r="N32" i="6" a="1"/>
  <c r="N32" i="6" s="1"/>
  <c r="Q109" i="7"/>
  <c r="Q108" i="7" s="1"/>
  <c r="I61" i="28"/>
  <c r="I121" i="28" s="1"/>
  <c r="I49" i="16"/>
  <c r="I11" i="5"/>
  <c r="Q95" i="7"/>
  <c r="M15" i="34" s="1"/>
  <c r="C18" i="15"/>
  <c r="B18" i="15"/>
  <c r="O12" i="16"/>
  <c r="S89" i="7"/>
  <c r="O13" i="34" s="1"/>
  <c r="O61" i="9"/>
  <c r="O62" i="9" s="1"/>
  <c r="O66" i="9" s="1"/>
  <c r="O80" i="9" s="1"/>
  <c r="L46" i="28"/>
  <c r="L15" i="16"/>
  <c r="P96" i="7"/>
  <c r="O100" i="28"/>
  <c r="O45" i="28"/>
  <c r="L11" i="32" l="1"/>
  <c r="L49" i="34"/>
  <c r="K11" i="32"/>
  <c r="K49" i="34"/>
  <c r="O11" i="32"/>
  <c r="O49" i="34"/>
  <c r="J101" i="28"/>
  <c r="J47" i="28"/>
  <c r="J56" i="5"/>
  <c r="C279" i="28" s="1"/>
  <c r="J56" i="32"/>
  <c r="P8" i="32"/>
  <c r="O107" i="9"/>
  <c r="O82" i="9"/>
  <c r="F56" i="28"/>
  <c r="F117" i="28" s="1"/>
  <c r="G807" i="11"/>
  <c r="G809" i="11" s="1"/>
  <c r="I10" i="8"/>
  <c r="E23" i="32" s="1"/>
  <c r="E798" i="11"/>
  <c r="H10" i="6"/>
  <c r="G38" i="34" s="1"/>
  <c r="F9" i="5"/>
  <c r="G69" i="6"/>
  <c r="G70" i="6" s="1"/>
  <c r="G40" i="6"/>
  <c r="C54" i="29"/>
  <c r="J186" i="4"/>
  <c r="L101" i="28"/>
  <c r="L47" i="28"/>
  <c r="C278" i="28"/>
  <c r="C48" i="29"/>
  <c r="M46" i="28"/>
  <c r="M15" i="16"/>
  <c r="Q96" i="7"/>
  <c r="N67" i="6"/>
  <c r="P8" i="5"/>
  <c r="Q24" i="6"/>
  <c r="Q77" i="6" s="1"/>
  <c r="P54" i="28" s="1"/>
  <c r="Q67" i="6"/>
  <c r="P100" i="28"/>
  <c r="P45" i="28"/>
  <c r="K61" i="28"/>
  <c r="K49" i="16"/>
  <c r="K11" i="5"/>
  <c r="O61" i="28"/>
  <c r="O121" i="28" s="1"/>
  <c r="O49" i="16"/>
  <c r="O11" i="5"/>
  <c r="N14" i="16"/>
  <c r="Q14" i="16" s="1"/>
  <c r="O32" i="6" a="1"/>
  <c r="O32" i="6" s="1"/>
  <c r="R109" i="7"/>
  <c r="R108" i="7" s="1"/>
  <c r="L61" i="28"/>
  <c r="L121" i="28" s="1"/>
  <c r="L49" i="16"/>
  <c r="L11" i="5"/>
  <c r="P12" i="16"/>
  <c r="T89" i="7"/>
  <c r="P13" i="34" s="1"/>
  <c r="O13" i="16"/>
  <c r="S91" i="7"/>
  <c r="O14" i="34" s="1"/>
  <c r="C131" i="9"/>
  <c r="C26" i="9" s="1"/>
  <c r="P60" i="9"/>
  <c r="C72" i="9"/>
  <c r="D18" i="15"/>
  <c r="E18" i="15" s="1"/>
  <c r="F18" i="15" s="1"/>
  <c r="R95" i="7"/>
  <c r="N15" i="34" s="1"/>
  <c r="Q15" i="34" s="1"/>
  <c r="B186" i="4" l="1"/>
  <c r="C49" i="29"/>
  <c r="M11" i="32"/>
  <c r="M49" i="34"/>
  <c r="P11" i="32"/>
  <c r="P49" i="34"/>
  <c r="H70" i="32"/>
  <c r="H68" i="32"/>
  <c r="H66" i="32"/>
  <c r="G70" i="32"/>
  <c r="G68" i="32"/>
  <c r="G66" i="32"/>
  <c r="K69" i="32"/>
  <c r="K67" i="32"/>
  <c r="J69" i="32"/>
  <c r="J67" i="32"/>
  <c r="I69" i="32"/>
  <c r="I67" i="32"/>
  <c r="I66" i="32"/>
  <c r="H69" i="32"/>
  <c r="H67" i="32"/>
  <c r="G69" i="32"/>
  <c r="G67" i="32"/>
  <c r="C43" i="32"/>
  <c r="I68" i="32"/>
  <c r="K70" i="32"/>
  <c r="K68" i="32"/>
  <c r="K66" i="32"/>
  <c r="I70" i="32"/>
  <c r="J70" i="32"/>
  <c r="J68" i="32"/>
  <c r="J66" i="32"/>
  <c r="J79" i="32"/>
  <c r="C57" i="32"/>
  <c r="G39" i="6"/>
  <c r="P13" i="16"/>
  <c r="T91" i="7"/>
  <c r="P14" i="34" s="1"/>
  <c r="M47" i="28"/>
  <c r="M101" i="28"/>
  <c r="P127" i="28"/>
  <c r="P128" i="28" s="1"/>
  <c r="P55" i="28"/>
  <c r="I56" i="8"/>
  <c r="I15" i="8"/>
  <c r="F22" i="34" s="1"/>
  <c r="F25" i="34" s="1"/>
  <c r="F33" i="34" s="1"/>
  <c r="E23" i="5"/>
  <c r="K105" i="7"/>
  <c r="Q76" i="6"/>
  <c r="P53" i="28" s="1"/>
  <c r="P126" i="28" s="1"/>
  <c r="N46" i="28"/>
  <c r="N15" i="16"/>
  <c r="Q15" i="16" s="1"/>
  <c r="R96" i="7"/>
  <c r="G38" i="16"/>
  <c r="C197" i="28"/>
  <c r="C148" i="4" s="1"/>
  <c r="C300" i="29" s="1"/>
  <c r="G154" i="9"/>
  <c r="F92" i="28" s="1"/>
  <c r="M81" i="4" s="1"/>
  <c r="E152" i="9"/>
  <c r="D90" i="28" s="1"/>
  <c r="K79" i="4" s="1"/>
  <c r="H143" i="9"/>
  <c r="G84" i="28" s="1"/>
  <c r="G81" i="4" s="1"/>
  <c r="F141" i="9"/>
  <c r="E82" i="28" s="1"/>
  <c r="E79" i="4" s="1"/>
  <c r="D139" i="9"/>
  <c r="C80" i="28" s="1"/>
  <c r="C77" i="4" s="1"/>
  <c r="F154" i="9"/>
  <c r="E92" i="28" s="1"/>
  <c r="L81" i="4" s="1"/>
  <c r="D152" i="9"/>
  <c r="C90" i="28" s="1"/>
  <c r="J79" i="4" s="1"/>
  <c r="G143" i="9"/>
  <c r="F84" i="28" s="1"/>
  <c r="F81" i="4" s="1"/>
  <c r="E141" i="9"/>
  <c r="D82" i="28" s="1"/>
  <c r="D79" i="4" s="1"/>
  <c r="E154" i="9"/>
  <c r="D92" i="28" s="1"/>
  <c r="K81" i="4" s="1"/>
  <c r="H151" i="9"/>
  <c r="G89" i="28" s="1"/>
  <c r="N78" i="4" s="1"/>
  <c r="F143" i="9"/>
  <c r="E84" i="28" s="1"/>
  <c r="E81" i="4" s="1"/>
  <c r="D141" i="9"/>
  <c r="C82" i="28" s="1"/>
  <c r="C79" i="4" s="1"/>
  <c r="D154" i="9"/>
  <c r="C92" i="28" s="1"/>
  <c r="J81" i="4" s="1"/>
  <c r="G151" i="9"/>
  <c r="F89" i="28" s="1"/>
  <c r="M78" i="4" s="1"/>
  <c r="E143" i="9"/>
  <c r="D84" i="28" s="1"/>
  <c r="D81" i="4" s="1"/>
  <c r="H140" i="9"/>
  <c r="G81" i="28" s="1"/>
  <c r="G78" i="4" s="1"/>
  <c r="H153" i="9"/>
  <c r="G91" i="28" s="1"/>
  <c r="N80" i="4" s="1"/>
  <c r="F151" i="9"/>
  <c r="E89" i="28" s="1"/>
  <c r="L78" i="4" s="1"/>
  <c r="D143" i="9"/>
  <c r="C84" i="28" s="1"/>
  <c r="C81" i="4" s="1"/>
  <c r="G140" i="9"/>
  <c r="F81" i="28" s="1"/>
  <c r="F78" i="4" s="1"/>
  <c r="G153" i="9"/>
  <c r="F91" i="28" s="1"/>
  <c r="M80" i="4" s="1"/>
  <c r="E151" i="9"/>
  <c r="D89" i="28" s="1"/>
  <c r="K78" i="4" s="1"/>
  <c r="H142" i="9"/>
  <c r="G83" i="28" s="1"/>
  <c r="G80" i="4" s="1"/>
  <c r="F140" i="9"/>
  <c r="E81" i="28" s="1"/>
  <c r="E78" i="4" s="1"/>
  <c r="F153" i="9"/>
  <c r="E91" i="28" s="1"/>
  <c r="L80" i="4" s="1"/>
  <c r="D151" i="9"/>
  <c r="C89" i="28" s="1"/>
  <c r="J78" i="4" s="1"/>
  <c r="G142" i="9"/>
  <c r="F83" i="28" s="1"/>
  <c r="F80" i="4" s="1"/>
  <c r="E140" i="9"/>
  <c r="D81" i="28" s="1"/>
  <c r="D78" i="4" s="1"/>
  <c r="C163" i="9"/>
  <c r="D153" i="9"/>
  <c r="C91" i="28" s="1"/>
  <c r="J80" i="4" s="1"/>
  <c r="G150" i="9"/>
  <c r="F88" i="28" s="1"/>
  <c r="M77" i="4" s="1"/>
  <c r="E142" i="9"/>
  <c r="D83" i="28" s="1"/>
  <c r="D80" i="4" s="1"/>
  <c r="H139" i="9"/>
  <c r="G80" i="28" s="1"/>
  <c r="G77" i="4" s="1"/>
  <c r="G152" i="9"/>
  <c r="F90" i="28" s="1"/>
  <c r="M79" i="4" s="1"/>
  <c r="E150" i="9"/>
  <c r="D88" i="28" s="1"/>
  <c r="K77" i="4" s="1"/>
  <c r="H141" i="9"/>
  <c r="G82" i="28" s="1"/>
  <c r="G79" i="4" s="1"/>
  <c r="F139" i="9"/>
  <c r="E80" i="28" s="1"/>
  <c r="E77" i="4" s="1"/>
  <c r="H154" i="9"/>
  <c r="G92" i="28" s="1"/>
  <c r="N81" i="4" s="1"/>
  <c r="F152" i="9"/>
  <c r="E90" i="28" s="1"/>
  <c r="L79" i="4" s="1"/>
  <c r="D150" i="9"/>
  <c r="C88" i="28" s="1"/>
  <c r="J77" i="4" s="1"/>
  <c r="G141" i="9"/>
  <c r="F82" i="28" s="1"/>
  <c r="F79" i="4" s="1"/>
  <c r="E139" i="9"/>
  <c r="D80" i="28" s="1"/>
  <c r="D77" i="4" s="1"/>
  <c r="D142" i="9"/>
  <c r="C83" i="28" s="1"/>
  <c r="C80" i="4" s="1"/>
  <c r="D140" i="9"/>
  <c r="C81" i="28" s="1"/>
  <c r="C78" i="4" s="1"/>
  <c r="G139" i="9"/>
  <c r="F80" i="28" s="1"/>
  <c r="F77" i="4" s="1"/>
  <c r="H152" i="9"/>
  <c r="G90" i="28" s="1"/>
  <c r="N79" i="4" s="1"/>
  <c r="F150" i="9"/>
  <c r="E88" i="28" s="1"/>
  <c r="L77" i="4" s="1"/>
  <c r="C74" i="9"/>
  <c r="C44" i="32" s="1"/>
  <c r="E153" i="9"/>
  <c r="D91" i="28" s="1"/>
  <c r="K80" i="4" s="1"/>
  <c r="H150" i="9"/>
  <c r="G88" i="28" s="1"/>
  <c r="N77" i="4" s="1"/>
  <c r="G69" i="5"/>
  <c r="J66" i="5"/>
  <c r="F142" i="9"/>
  <c r="E83" i="28" s="1"/>
  <c r="E80" i="4" s="1"/>
  <c r="K68" i="5"/>
  <c r="I66" i="5"/>
  <c r="J68" i="5"/>
  <c r="H66" i="5"/>
  <c r="K70" i="5"/>
  <c r="I68" i="5"/>
  <c r="G66" i="5"/>
  <c r="J70" i="5"/>
  <c r="H68" i="5"/>
  <c r="I70" i="5"/>
  <c r="G68" i="5"/>
  <c r="H70" i="5"/>
  <c r="K67" i="5"/>
  <c r="K69" i="5"/>
  <c r="I67" i="5"/>
  <c r="K66" i="5"/>
  <c r="J69" i="5"/>
  <c r="H67" i="5"/>
  <c r="I69" i="5"/>
  <c r="G67" i="5"/>
  <c r="C43" i="5"/>
  <c r="H69" i="5"/>
  <c r="J67" i="5"/>
  <c r="G70" i="5"/>
  <c r="P61" i="28"/>
  <c r="P121" i="28" s="1"/>
  <c r="P49" i="16"/>
  <c r="P11" i="5"/>
  <c r="I798" i="11"/>
  <c r="E801" i="11"/>
  <c r="I801" i="11" s="1"/>
  <c r="P61" i="9"/>
  <c r="P62" i="9" s="1"/>
  <c r="P66" i="9" s="1"/>
  <c r="P80" i="9" s="1"/>
  <c r="C24" i="28"/>
  <c r="D13" i="4" s="1"/>
  <c r="J408" i="29" s="1"/>
  <c r="C57" i="5"/>
  <c r="J79" i="5"/>
  <c r="C55" i="29" s="1"/>
  <c r="O14" i="16"/>
  <c r="P32" i="6" a="1"/>
  <c r="P32" i="6" s="1"/>
  <c r="S109" i="7"/>
  <c r="S95" i="7"/>
  <c r="O15" i="34" s="1"/>
  <c r="K121" i="28"/>
  <c r="O67" i="6"/>
  <c r="M61" i="28"/>
  <c r="M121" i="28" s="1"/>
  <c r="M49" i="16"/>
  <c r="M11" i="5"/>
  <c r="N11" i="32" l="1"/>
  <c r="N49" i="34"/>
  <c r="F13" i="5"/>
  <c r="F13" i="32"/>
  <c r="G76" i="32"/>
  <c r="G75" i="32"/>
  <c r="P82" i="9"/>
  <c r="C89" i="9" s="1"/>
  <c r="H33" i="6" a="1"/>
  <c r="H33" i="6" s="1"/>
  <c r="J43" i="8" a="1"/>
  <c r="J43" i="8" s="1"/>
  <c r="F22" i="16"/>
  <c r="F25" i="16" s="1"/>
  <c r="F33" i="16" s="1"/>
  <c r="I25" i="8"/>
  <c r="C199" i="28"/>
  <c r="C150" i="4" s="1"/>
  <c r="C302" i="29" s="1"/>
  <c r="P119" i="9"/>
  <c r="C165" i="9"/>
  <c r="P81" i="9"/>
  <c r="P83" i="9" s="1"/>
  <c r="C90" i="9" s="1"/>
  <c r="C189" i="28" s="1"/>
  <c r="C44" i="5"/>
  <c r="N61" i="28"/>
  <c r="N49" i="16"/>
  <c r="N11" i="5"/>
  <c r="G76" i="5"/>
  <c r="B192" i="4" s="1"/>
  <c r="G75" i="5"/>
  <c r="P14" i="16"/>
  <c r="Q32" i="6" a="1"/>
  <c r="Q32" i="6" s="1"/>
  <c r="T109" i="7"/>
  <c r="O46" i="28"/>
  <c r="O15" i="16"/>
  <c r="S96" i="7"/>
  <c r="T95" i="7"/>
  <c r="N101" i="28"/>
  <c r="N47" i="28"/>
  <c r="J57" i="32" l="1"/>
  <c r="J58" i="32" s="1"/>
  <c r="P15" i="34"/>
  <c r="O101" i="28"/>
  <c r="O47" i="28"/>
  <c r="D246" i="28"/>
  <c r="D220" i="28"/>
  <c r="C140" i="4"/>
  <c r="F63" i="28"/>
  <c r="F145" i="28" s="1"/>
  <c r="I49" i="8"/>
  <c r="J45" i="8"/>
  <c r="G32" i="34" s="1"/>
  <c r="P46" i="28"/>
  <c r="P15" i="16"/>
  <c r="J57" i="5"/>
  <c r="T96" i="7"/>
  <c r="N121" i="28"/>
  <c r="B13" i="4"/>
  <c r="H408" i="29" s="1"/>
  <c r="C188" i="28"/>
  <c r="C91" i="9"/>
  <c r="C45" i="32" s="1"/>
  <c r="G118" i="9"/>
  <c r="G120" i="9" s="1"/>
  <c r="H35" i="6"/>
  <c r="G42" i="34" s="1"/>
  <c r="G46" i="34" s="1"/>
  <c r="G48" i="34" s="1"/>
  <c r="P107" i="9"/>
  <c r="C181" i="9" s="1"/>
  <c r="C109" i="9" s="1"/>
  <c r="J45" i="32" s="1"/>
  <c r="C168" i="9" l="1"/>
  <c r="C20" i="9"/>
  <c r="J45" i="5"/>
  <c r="G42" i="16"/>
  <c r="G46" i="16" s="1"/>
  <c r="G48" i="16" s="1"/>
  <c r="H37" i="6"/>
  <c r="P47" i="28"/>
  <c r="P101" i="28"/>
  <c r="I55" i="8"/>
  <c r="I50" i="8"/>
  <c r="C190" i="28"/>
  <c r="C110" i="9"/>
  <c r="C21" i="9"/>
  <c r="C54" i="32" s="1"/>
  <c r="C161" i="9"/>
  <c r="C98" i="9"/>
  <c r="C45" i="5"/>
  <c r="C246" i="28"/>
  <c r="D245" i="28"/>
  <c r="C220" i="28"/>
  <c r="D219" i="28"/>
  <c r="C139" i="4"/>
  <c r="G62" i="28"/>
  <c r="G144" i="28" s="1"/>
  <c r="G32" i="16"/>
  <c r="G121" i="9"/>
  <c r="C280" i="28"/>
  <c r="C50" i="29"/>
  <c r="J58" i="5"/>
  <c r="C52" i="32" l="1"/>
  <c r="G56" i="32"/>
  <c r="C223" i="28"/>
  <c r="C222" i="28"/>
  <c r="F221" i="28"/>
  <c r="C141" i="4"/>
  <c r="C281" i="28"/>
  <c r="C51" i="29"/>
  <c r="F186" i="4"/>
  <c r="C193" i="28"/>
  <c r="C23" i="9"/>
  <c r="C124" i="9"/>
  <c r="C162" i="9"/>
  <c r="H38" i="6"/>
  <c r="G9" i="32" s="1"/>
  <c r="C18" i="28"/>
  <c r="C19" i="15"/>
  <c r="B19" i="15"/>
  <c r="C52" i="5"/>
  <c r="G56" i="5"/>
  <c r="C19" i="28"/>
  <c r="H8" i="4" s="1"/>
  <c r="N403" i="29" s="1"/>
  <c r="C54" i="5"/>
  <c r="C55" i="32" l="1"/>
  <c r="C47" i="32"/>
  <c r="H40" i="6"/>
  <c r="D19" i="15"/>
  <c r="E19" i="15" s="1"/>
  <c r="F19" i="15" s="1"/>
  <c r="C23" i="29"/>
  <c r="C290" i="28"/>
  <c r="C21" i="28"/>
  <c r="J8" i="4" s="1"/>
  <c r="P403" i="29" s="1"/>
  <c r="C55" i="5"/>
  <c r="C47" i="5"/>
  <c r="F224" i="28"/>
  <c r="C144" i="4"/>
  <c r="D144" i="4" s="1"/>
  <c r="B8" i="4"/>
  <c r="H403" i="29" s="1"/>
  <c r="D142" i="4"/>
  <c r="D143" i="4"/>
  <c r="D140" i="4"/>
  <c r="D139" i="4"/>
  <c r="G56" i="28"/>
  <c r="G117" i="28" s="1"/>
  <c r="J10" i="8"/>
  <c r="F23" i="32" s="1"/>
  <c r="I10" i="6"/>
  <c r="H38" i="34" s="1"/>
  <c r="G9" i="5"/>
  <c r="H39" i="6"/>
  <c r="H69" i="6"/>
  <c r="H70" i="6" s="1"/>
  <c r="G13" i="5" l="1"/>
  <c r="G13" i="32"/>
  <c r="B159" i="4"/>
  <c r="C151" i="4"/>
  <c r="C303" i="29" s="1"/>
  <c r="H38" i="16"/>
  <c r="J15" i="8"/>
  <c r="G22" i="34" s="1"/>
  <c r="G25" i="34" s="1"/>
  <c r="G33" i="34" s="1"/>
  <c r="J56" i="8"/>
  <c r="F23" i="5"/>
  <c r="L105" i="7"/>
  <c r="G22" i="16" l="1"/>
  <c r="G25" i="16" s="1"/>
  <c r="G33" i="16" s="1"/>
  <c r="J25" i="8"/>
  <c r="I33" i="6" a="1"/>
  <c r="I33" i="6" s="1"/>
  <c r="K43" i="8" a="1"/>
  <c r="K43" i="8" s="1"/>
  <c r="K45" i="8" l="1"/>
  <c r="H32" i="34" s="1"/>
  <c r="H118" i="9"/>
  <c r="H120" i="9" s="1"/>
  <c r="I35" i="6"/>
  <c r="H42" i="34" s="1"/>
  <c r="H46" i="34" s="1"/>
  <c r="H48" i="34" s="1"/>
  <c r="G63" i="28"/>
  <c r="G145" i="28" s="1"/>
  <c r="J49" i="8"/>
  <c r="J55" i="8" l="1"/>
  <c r="J50" i="8"/>
  <c r="H42" i="16"/>
  <c r="H46" i="16" s="1"/>
  <c r="H48" i="16" s="1"/>
  <c r="I37" i="6"/>
  <c r="H121" i="9"/>
  <c r="H62" i="28"/>
  <c r="H144" i="28" s="1"/>
  <c r="H32" i="16"/>
  <c r="I38" i="6" l="1"/>
  <c r="H9" i="32" s="1"/>
  <c r="H56" i="28" l="1"/>
  <c r="H117" i="28" s="1"/>
  <c r="K10" i="8"/>
  <c r="G23" i="32" s="1"/>
  <c r="J10" i="6"/>
  <c r="I38" i="34" s="1"/>
  <c r="I39" i="6"/>
  <c r="H9" i="5"/>
  <c r="I69" i="6"/>
  <c r="I70" i="6" s="1"/>
  <c r="I40" i="6"/>
  <c r="H13" i="5" l="1"/>
  <c r="H13" i="32"/>
  <c r="I38" i="16"/>
  <c r="K15" i="8"/>
  <c r="H22" i="34" s="1"/>
  <c r="H25" i="34" s="1"/>
  <c r="H33" i="34" s="1"/>
  <c r="K56" i="8"/>
  <c r="G23" i="5"/>
  <c r="M105" i="7"/>
  <c r="J33" i="6" l="1" a="1"/>
  <c r="J33" i="6" s="1"/>
  <c r="L43" i="8" a="1"/>
  <c r="L43" i="8" s="1"/>
  <c r="H22" i="16"/>
  <c r="H25" i="16" s="1"/>
  <c r="H33" i="16" s="1"/>
  <c r="K25" i="8"/>
  <c r="L45" i="8" l="1"/>
  <c r="I32" i="34" s="1"/>
  <c r="H63" i="28"/>
  <c r="H145" i="28" s="1"/>
  <c r="K49" i="8"/>
  <c r="I118" i="9"/>
  <c r="I120" i="9" s="1"/>
  <c r="J35" i="6"/>
  <c r="I42" i="34" s="1"/>
  <c r="I46" i="34" s="1"/>
  <c r="I48" i="34" s="1"/>
  <c r="I42" i="16" l="1"/>
  <c r="I46" i="16" s="1"/>
  <c r="I48" i="16" s="1"/>
  <c r="J37" i="6"/>
  <c r="I121" i="9"/>
  <c r="K55" i="8"/>
  <c r="K50" i="8"/>
  <c r="I62" i="28"/>
  <c r="I144" i="28" s="1"/>
  <c r="I32" i="16"/>
  <c r="J38" i="6" l="1"/>
  <c r="J40" i="6" l="1"/>
  <c r="I9" i="32"/>
  <c r="I56" i="28"/>
  <c r="I117" i="28" s="1"/>
  <c r="L10" i="8"/>
  <c r="K10" i="6"/>
  <c r="J38" i="34" s="1"/>
  <c r="I9" i="5"/>
  <c r="J69" i="6"/>
  <c r="J70" i="6" s="1"/>
  <c r="J39" i="6" l="1"/>
  <c r="H23" i="32"/>
  <c r="J38" i="16"/>
  <c r="L56" i="8"/>
  <c r="L15" i="8"/>
  <c r="I22" i="34" s="1"/>
  <c r="I25" i="34" s="1"/>
  <c r="I33" i="34" s="1"/>
  <c r="H23" i="5"/>
  <c r="N105" i="7"/>
  <c r="I13" i="5" l="1"/>
  <c r="I13" i="32"/>
  <c r="K33" i="6" a="1"/>
  <c r="K33" i="6" s="1"/>
  <c r="M43" i="8" a="1"/>
  <c r="M43" i="8" s="1"/>
  <c r="I22" i="16"/>
  <c r="I25" i="16" s="1"/>
  <c r="I33" i="16" s="1"/>
  <c r="L25" i="8"/>
  <c r="I63" i="28" l="1"/>
  <c r="I145" i="28" s="1"/>
  <c r="L49" i="8"/>
  <c r="M45" i="8"/>
  <c r="J32" i="34" s="1"/>
  <c r="J118" i="9"/>
  <c r="J120" i="9" s="1"/>
  <c r="J121" i="9" s="1"/>
  <c r="K35" i="6"/>
  <c r="J42" i="34" s="1"/>
  <c r="J46" i="34" s="1"/>
  <c r="J48" i="34" s="1"/>
  <c r="J62" i="28" l="1"/>
  <c r="J144" i="28" s="1"/>
  <c r="J32" i="16"/>
  <c r="J42" i="16"/>
  <c r="J46" i="16" s="1"/>
  <c r="J48" i="16" s="1"/>
  <c r="K37" i="6"/>
  <c r="L55" i="8"/>
  <c r="L50" i="8"/>
  <c r="K38" i="6" l="1"/>
  <c r="K40" i="6" l="1"/>
  <c r="J9" i="32"/>
  <c r="J56" i="28"/>
  <c r="J117" i="28" s="1"/>
  <c r="M10" i="8"/>
  <c r="I23" i="32" s="1"/>
  <c r="L10" i="6"/>
  <c r="K38" i="34" s="1"/>
  <c r="J9" i="5"/>
  <c r="K39" i="6"/>
  <c r="K69" i="6"/>
  <c r="K70" i="6" s="1"/>
  <c r="J13" i="5" l="1"/>
  <c r="J13" i="32"/>
  <c r="K38" i="16"/>
  <c r="M15" i="8"/>
  <c r="J22" i="34" s="1"/>
  <c r="J25" i="34" s="1"/>
  <c r="J33" i="34" s="1"/>
  <c r="M56" i="8"/>
  <c r="I23" i="5"/>
  <c r="O105" i="7"/>
  <c r="J22" i="16" l="1"/>
  <c r="J25" i="16" s="1"/>
  <c r="J33" i="16" s="1"/>
  <c r="M25" i="8"/>
  <c r="L33" i="6" a="1"/>
  <c r="L33" i="6" s="1"/>
  <c r="N43" i="8" a="1"/>
  <c r="N43" i="8" s="1"/>
  <c r="N45" i="8" l="1"/>
  <c r="K32" i="34" s="1"/>
  <c r="K118" i="9"/>
  <c r="K120" i="9" s="1"/>
  <c r="K121" i="9" s="1"/>
  <c r="L35" i="6"/>
  <c r="K42" i="34" s="1"/>
  <c r="K46" i="34" s="1"/>
  <c r="K48" i="34" s="1"/>
  <c r="J63" i="28"/>
  <c r="J145" i="28" s="1"/>
  <c r="M49" i="8"/>
  <c r="K42" i="16" l="1"/>
  <c r="K46" i="16" s="1"/>
  <c r="K48" i="16" s="1"/>
  <c r="L37" i="6"/>
  <c r="M55" i="8"/>
  <c r="M50" i="8"/>
  <c r="K62" i="28"/>
  <c r="K144" i="28" s="1"/>
  <c r="K32" i="16"/>
  <c r="L38" i="6" l="1"/>
  <c r="K9" i="32" s="1"/>
  <c r="K56" i="28" l="1"/>
  <c r="K117" i="28" s="1"/>
  <c r="N10" i="8"/>
  <c r="M10" i="6"/>
  <c r="L38" i="34" s="1"/>
  <c r="K9" i="5"/>
  <c r="L69" i="6"/>
  <c r="L70" i="6" s="1"/>
  <c r="L40" i="6"/>
  <c r="L39" i="6" l="1"/>
  <c r="J23" i="32"/>
  <c r="L38" i="16"/>
  <c r="N15" i="8"/>
  <c r="K22" i="34" s="1"/>
  <c r="K25" i="34" s="1"/>
  <c r="K33" i="34" s="1"/>
  <c r="N56" i="8"/>
  <c r="J23" i="5"/>
  <c r="P105" i="7"/>
  <c r="K13" i="5" l="1"/>
  <c r="K13" i="32"/>
  <c r="M33" i="6" a="1"/>
  <c r="M33" i="6" s="1"/>
  <c r="O43" i="8" a="1"/>
  <c r="O43" i="8" s="1"/>
  <c r="K22" i="16"/>
  <c r="K25" i="16" s="1"/>
  <c r="K33" i="16" s="1"/>
  <c r="N25" i="8"/>
  <c r="O45" i="8" l="1"/>
  <c r="L32" i="34" s="1"/>
  <c r="K63" i="28"/>
  <c r="K145" i="28" s="1"/>
  <c r="N49" i="8"/>
  <c r="L118" i="9"/>
  <c r="L120" i="9" s="1"/>
  <c r="L121" i="9" s="1"/>
  <c r="M35" i="6"/>
  <c r="L42" i="34" s="1"/>
  <c r="L46" i="34" s="1"/>
  <c r="L48" i="34" s="1"/>
  <c r="L42" i="16" l="1"/>
  <c r="L46" i="16" s="1"/>
  <c r="L48" i="16" s="1"/>
  <c r="M37" i="6"/>
  <c r="N55" i="8"/>
  <c r="N50" i="8"/>
  <c r="L62" i="28"/>
  <c r="L144" i="28" s="1"/>
  <c r="L32" i="16"/>
  <c r="M38" i="6" l="1"/>
  <c r="L9" i="32" s="1"/>
  <c r="L56" i="28" l="1"/>
  <c r="L117" i="28" s="1"/>
  <c r="O10" i="8"/>
  <c r="K23" i="32" s="1"/>
  <c r="L9" i="5"/>
  <c r="N10" i="6"/>
  <c r="M38" i="34" s="1"/>
  <c r="M69" i="6"/>
  <c r="M70" i="6" s="1"/>
  <c r="M40" i="6"/>
  <c r="M39" i="6" l="1"/>
  <c r="M38" i="16"/>
  <c r="O15" i="8"/>
  <c r="L22" i="34" s="1"/>
  <c r="L25" i="34" s="1"/>
  <c r="L33" i="34" s="1"/>
  <c r="O56" i="8"/>
  <c r="K23" i="5"/>
  <c r="Q105" i="7"/>
  <c r="L13" i="5" l="1"/>
  <c r="L13" i="32"/>
  <c r="N33" i="6" a="1"/>
  <c r="N33" i="6" s="1"/>
  <c r="P43" i="8" a="1"/>
  <c r="P43" i="8" s="1"/>
  <c r="L22" i="16"/>
  <c r="L25" i="16" s="1"/>
  <c r="L33" i="16" s="1"/>
  <c r="O25" i="8"/>
  <c r="L63" i="28" l="1"/>
  <c r="L145" i="28" s="1"/>
  <c r="O49" i="8"/>
  <c r="P45" i="8"/>
  <c r="M32" i="34" s="1"/>
  <c r="M118" i="9"/>
  <c r="M120" i="9" s="1"/>
  <c r="M121" i="9" s="1"/>
  <c r="N35" i="6"/>
  <c r="M42" i="34" s="1"/>
  <c r="M46" i="34" s="1"/>
  <c r="M48" i="34" s="1"/>
  <c r="M42" i="16" l="1"/>
  <c r="M46" i="16" s="1"/>
  <c r="M48" i="16" s="1"/>
  <c r="N37" i="6"/>
  <c r="M62" i="28"/>
  <c r="M144" i="28" s="1"/>
  <c r="M32" i="16"/>
  <c r="O55" i="8"/>
  <c r="O50" i="8"/>
  <c r="N38" i="6" l="1"/>
  <c r="M9" i="32" s="1"/>
  <c r="N40" i="6" l="1"/>
  <c r="M56" i="28"/>
  <c r="M117" i="28" s="1"/>
  <c r="P10" i="8"/>
  <c r="L23" i="32" s="1"/>
  <c r="N39" i="6"/>
  <c r="M9" i="5"/>
  <c r="O10" i="6"/>
  <c r="N38" i="34" s="1"/>
  <c r="N69" i="6"/>
  <c r="N70" i="6" s="1"/>
  <c r="M13" i="5" l="1"/>
  <c r="M13" i="32"/>
  <c r="N38" i="16"/>
  <c r="P15" i="8"/>
  <c r="M22" i="34" s="1"/>
  <c r="M25" i="34" s="1"/>
  <c r="M33" i="34" s="1"/>
  <c r="P56" i="8"/>
  <c r="L23" i="5"/>
  <c r="R105" i="7"/>
  <c r="O33" i="6" l="1" a="1"/>
  <c r="O33" i="6" s="1"/>
  <c r="Q43" i="8" a="1"/>
  <c r="Q43" i="8" s="1"/>
  <c r="M22" i="16"/>
  <c r="M25" i="16" s="1"/>
  <c r="M33" i="16" s="1"/>
  <c r="P25" i="8"/>
  <c r="M63" i="28" l="1"/>
  <c r="M145" i="28" s="1"/>
  <c r="P49" i="8"/>
  <c r="Q45" i="8"/>
  <c r="N32" i="34" s="1"/>
  <c r="N118" i="9"/>
  <c r="N120" i="9" s="1"/>
  <c r="O35" i="6"/>
  <c r="N42" i="34" s="1"/>
  <c r="N46" i="34" s="1"/>
  <c r="N48" i="34" s="1"/>
  <c r="N42" i="16" l="1"/>
  <c r="N46" i="16" s="1"/>
  <c r="N48" i="16" s="1"/>
  <c r="O37" i="6"/>
  <c r="N121" i="9"/>
  <c r="N62" i="28"/>
  <c r="N144" i="28" s="1"/>
  <c r="N32" i="16"/>
  <c r="P55" i="8"/>
  <c r="P50" i="8"/>
  <c r="O38" i="6" l="1"/>
  <c r="N9" i="32" s="1"/>
  <c r="O40" i="6"/>
  <c r="N56" i="28" l="1"/>
  <c r="N117" i="28" s="1"/>
  <c r="Q10" i="8"/>
  <c r="O39" i="6"/>
  <c r="N9" i="5"/>
  <c r="P10" i="6"/>
  <c r="O38" i="34" s="1"/>
  <c r="O69" i="6"/>
  <c r="O70" i="6" s="1"/>
  <c r="Q3" i="32"/>
  <c r="Q17" i="32" s="1"/>
  <c r="N13" i="5" l="1"/>
  <c r="N13" i="32"/>
  <c r="N23" i="32"/>
  <c r="M23" i="32"/>
  <c r="Q3" i="5"/>
  <c r="Q17" i="5" s="1"/>
  <c r="O38" i="16"/>
  <c r="Q56" i="8"/>
  <c r="Q15" i="8"/>
  <c r="N22" i="34" s="1"/>
  <c r="N25" i="34" s="1"/>
  <c r="N33" i="34" s="1"/>
  <c r="N23" i="5"/>
  <c r="M23" i="5"/>
  <c r="S105" i="7"/>
  <c r="P33" i="6" l="1" a="1"/>
  <c r="P33" i="6" s="1"/>
  <c r="R43" i="8" a="1"/>
  <c r="R43" i="8" s="1"/>
  <c r="N22" i="16"/>
  <c r="N25" i="16" s="1"/>
  <c r="N33" i="16" s="1"/>
  <c r="Q25" i="8"/>
  <c r="N63" i="28" l="1"/>
  <c r="N145" i="28" s="1"/>
  <c r="Q49" i="8"/>
  <c r="R45" i="8"/>
  <c r="O32" i="34" s="1"/>
  <c r="O118" i="9"/>
  <c r="O120" i="9" s="1"/>
  <c r="P35" i="6"/>
  <c r="O42" i="34" s="1"/>
  <c r="O46" i="34" s="1"/>
  <c r="O48" i="34" s="1"/>
  <c r="O121" i="9" l="1"/>
  <c r="O62" i="28"/>
  <c r="O144" i="28" s="1"/>
  <c r="O32" i="16"/>
  <c r="O42" i="16"/>
  <c r="O46" i="16" s="1"/>
  <c r="O48" i="16" s="1"/>
  <c r="P37" i="6"/>
  <c r="Q55" i="8"/>
  <c r="Q50" i="8"/>
  <c r="P38" i="6" l="1"/>
  <c r="P40" i="6" l="1"/>
  <c r="O9" i="32"/>
  <c r="O56" i="28"/>
  <c r="O117" i="28" s="1"/>
  <c r="R10" i="8"/>
  <c r="O9" i="5"/>
  <c r="Q10" i="6"/>
  <c r="P38" i="34" s="1"/>
  <c r="P69" i="6"/>
  <c r="P70" i="6" s="1"/>
  <c r="P39" i="6" l="1"/>
  <c r="O23" i="32"/>
  <c r="P38" i="16"/>
  <c r="R15" i="8"/>
  <c r="O22" i="34" s="1"/>
  <c r="O25" i="34" s="1"/>
  <c r="O33" i="34" s="1"/>
  <c r="R56" i="8"/>
  <c r="O23" i="5"/>
  <c r="T105" i="7"/>
  <c r="O13" i="5" l="1"/>
  <c r="O13" i="32"/>
  <c r="Q33" i="6" a="1"/>
  <c r="Q33" i="6" s="1"/>
  <c r="S43" i="8" a="1"/>
  <c r="S43" i="8" s="1"/>
  <c r="S45" i="8" s="1"/>
  <c r="P32" i="34" s="1"/>
  <c r="O22" i="16"/>
  <c r="O25" i="16" s="1"/>
  <c r="O33" i="16" s="1"/>
  <c r="R25" i="8"/>
  <c r="O63" i="28" l="1"/>
  <c r="O145" i="28" s="1"/>
  <c r="R49" i="8"/>
  <c r="P62" i="28"/>
  <c r="P144" i="28" s="1"/>
  <c r="P32" i="16"/>
  <c r="P118" i="9"/>
  <c r="Q35" i="6"/>
  <c r="P42" i="34" s="1"/>
  <c r="P46" i="34" s="1"/>
  <c r="P48" i="34" s="1"/>
  <c r="P42" i="16" l="1"/>
  <c r="P46" i="16" s="1"/>
  <c r="P48" i="16" s="1"/>
  <c r="Q37" i="6"/>
  <c r="P120" i="9"/>
  <c r="C126" i="9"/>
  <c r="R55" i="8"/>
  <c r="R50" i="8"/>
  <c r="O123" i="9" l="1"/>
  <c r="C180" i="9"/>
  <c r="P121" i="9"/>
  <c r="C128" i="9" s="1" a="1"/>
  <c r="C128" i="9" s="1"/>
  <c r="Q38" i="6"/>
  <c r="P9" i="32" s="1"/>
  <c r="Q40" i="6"/>
  <c r="G32" i="32" l="1" a="1"/>
  <c r="G32" i="32" s="1"/>
  <c r="G29" i="32" a="1"/>
  <c r="G29" i="32" s="1"/>
  <c r="G35" i="32" a="1"/>
  <c r="G35" i="32" s="1"/>
  <c r="G34" i="32" a="1"/>
  <c r="G34" i="32" s="1"/>
  <c r="G31" i="32" a="1"/>
  <c r="G31" i="32" s="1"/>
  <c r="G33" i="32" a="1"/>
  <c r="G33" i="32" s="1"/>
  <c r="G30" i="32" a="1"/>
  <c r="G30" i="32" s="1"/>
  <c r="G36" i="32" a="1"/>
  <c r="G36" i="32" s="1"/>
  <c r="F81" i="29" a="1"/>
  <c r="F81" i="29" s="1"/>
  <c r="F78" i="29" a="1"/>
  <c r="F78" i="29" s="1"/>
  <c r="F75" i="29" a="1"/>
  <c r="F75" i="29" s="1"/>
  <c r="F80" i="29" a="1"/>
  <c r="F80" i="29" s="1"/>
  <c r="F77" i="29" a="1"/>
  <c r="F77" i="29" s="1"/>
  <c r="F74" i="29" a="1"/>
  <c r="F74" i="29" s="1"/>
  <c r="F82" i="29" a="1"/>
  <c r="F82" i="29" s="1"/>
  <c r="F79" i="29" a="1"/>
  <c r="F79" i="29" s="1"/>
  <c r="F76" i="29" a="1"/>
  <c r="F76" i="29" s="1"/>
  <c r="C171" i="9"/>
  <c r="C25" i="9"/>
  <c r="G59" i="32" s="1"/>
  <c r="G30" i="5" a="1"/>
  <c r="G30" i="5" s="1"/>
  <c r="G34" i="5" a="1"/>
  <c r="G34" i="5" s="1"/>
  <c r="G32" i="5" a="1"/>
  <c r="G32" i="5" s="1"/>
  <c r="G36" i="5" a="1"/>
  <c r="G36" i="5" s="1"/>
  <c r="G31" i="5" a="1"/>
  <c r="G31" i="5" s="1"/>
  <c r="G29" i="5" a="1"/>
  <c r="G29" i="5" s="1"/>
  <c r="G33" i="5" a="1"/>
  <c r="G33" i="5" s="1"/>
  <c r="G35" i="5" a="1"/>
  <c r="G35" i="5" s="1"/>
  <c r="P56" i="28"/>
  <c r="P117" i="28" s="1"/>
  <c r="S10" i="8"/>
  <c r="P23" i="32" s="1"/>
  <c r="P9" i="5"/>
  <c r="Q69" i="6"/>
  <c r="Q70" i="6" s="1"/>
  <c r="C127" i="9"/>
  <c r="J47" i="32" s="1"/>
  <c r="C123" i="9"/>
  <c r="J46" i="32" s="1"/>
  <c r="Q39" i="6" l="1"/>
  <c r="P13" i="5"/>
  <c r="P13" i="32"/>
  <c r="C170" i="9"/>
  <c r="C24" i="9"/>
  <c r="J47" i="5"/>
  <c r="C23" i="28"/>
  <c r="C23" i="15"/>
  <c r="B23" i="15"/>
  <c r="G59" i="5"/>
  <c r="S56" i="8"/>
  <c r="S15" i="8"/>
  <c r="P22" i="34" s="1"/>
  <c r="P25" i="34" s="1"/>
  <c r="P33" i="34" s="1"/>
  <c r="P23" i="5"/>
  <c r="C169" i="9"/>
  <c r="C22" i="9"/>
  <c r="J46" i="5"/>
  <c r="D23" i="15" l="1"/>
  <c r="G57" i="32"/>
  <c r="C53" i="32"/>
  <c r="C56" i="32"/>
  <c r="G58" i="32"/>
  <c r="P22" i="16"/>
  <c r="P25" i="16" s="1"/>
  <c r="P33" i="16" s="1"/>
  <c r="S25" i="8"/>
  <c r="C20" i="28"/>
  <c r="C20" i="15"/>
  <c r="B20" i="15"/>
  <c r="C53" i="5"/>
  <c r="G57" i="5"/>
  <c r="C26" i="29"/>
  <c r="C293" i="28"/>
  <c r="L8" i="4"/>
  <c r="R403" i="29" s="1"/>
  <c r="B158" i="4"/>
  <c r="C22" i="28"/>
  <c r="C56" i="5"/>
  <c r="G58" i="5"/>
  <c r="C24" i="29" l="1"/>
  <c r="E5" i="30" s="1"/>
  <c r="C291" i="28"/>
  <c r="D20" i="15"/>
  <c r="E20" i="15" s="1"/>
  <c r="F20" i="15" s="1"/>
  <c r="C25" i="29"/>
  <c r="E6" i="30" s="1"/>
  <c r="C292" i="28"/>
  <c r="F8" i="4"/>
  <c r="L403" i="29" s="1"/>
  <c r="B157" i="4"/>
  <c r="D8" i="4"/>
  <c r="J403" i="29" s="1"/>
  <c r="B156" i="4"/>
  <c r="P63" i="28"/>
  <c r="P145" i="28" s="1"/>
  <c r="S49" i="8"/>
  <c r="S55" i="8" s="1"/>
</calcChain>
</file>

<file path=xl/sharedStrings.xml><?xml version="1.0" encoding="utf-8"?>
<sst xmlns="http://schemas.openxmlformats.org/spreadsheetml/2006/main" count="5224" uniqueCount="2332">
  <si>
    <t>THE BEND LIVE HOUSE — MODEL README</t>
  </si>
  <si>
    <t>Financial Model V4:Tab Index &amp; Descriptions</t>
  </si>
  <si>
    <t>No.</t>
  </si>
  <si>
    <t>Tab Name</t>
  </si>
  <si>
    <t>Description</t>
  </si>
  <si>
    <t>General Information</t>
  </si>
  <si>
    <t>Project overview describing the integrated entertainment precinct at 349 Bridge Street Melbourne — Live House music venue, URWLD active leisure, parking, Central Park, and employment impact.</t>
  </si>
  <si>
    <t>Dynamic Dashboard</t>
  </si>
  <si>
    <t>Interactive investor dashboard showing KPIs (Project IRR, Equity IRR, MOIC, Enterprise Value, Equity Value, Payback Period), revenue/EBITDA charts, and financial summary linked to the active scenario.</t>
  </si>
  <si>
    <t>Inputs for Dashboard</t>
  </si>
  <si>
    <t>Inputs for preparation of Dynamic Dashboards that are linked to the rest of the model</t>
  </si>
  <si>
    <t>Dashboard</t>
  </si>
  <si>
    <t>Executive dashboard with annual summary (Revenue, EBITDA, Closing Cash, Total Debt) across FY25–FY36, model health status, and active scenario indicator.</t>
  </si>
  <si>
    <t>Valuations</t>
  </si>
  <si>
    <t>Valuation architecture sheet with DCF and return metrics (IRR, NPV), WACC/Ke inputs, sensitivity framework, and terminal value calculations.</t>
  </si>
  <si>
    <t>Scenarios</t>
  </si>
  <si>
    <t>Scenario manager with Base, Optimistic, Pessimistic, and Delayed Opening scenarios. Defines multipliers for revenue, costs, capex, inflation, interest rate deltas, and event days.</t>
  </si>
  <si>
    <t>Inputs</t>
  </si>
  <si>
    <t>Master global inputs sheet (v35). Contains project timing, construction parameters, financing terms, WACC/Ke assumptions, escalation rates, and all key model drivers with source references.</t>
  </si>
  <si>
    <t>Construction Timeline</t>
  </si>
  <si>
    <t>Initial capex breakdown (Consultants, Structure, Civil, ICT, FF&amp;E) and construction phasing schedule across the build period.</t>
  </si>
  <si>
    <t>PL_BS_CFS Summary</t>
  </si>
  <si>
    <t xml:space="preserve">A summarised view of the P&amp;L, Balance Sheet and Cash Flow in one single tab, linked to respective tabs of P&amp;L, BS and CashFlow. </t>
  </si>
  <si>
    <t>P&amp;L</t>
  </si>
  <si>
    <t>Profit &amp; Loss statement (FY25–FY36) with operations and construction flags, revenue, operating expenses, EBITDA, depreciation, interest, and net income.</t>
  </si>
  <si>
    <t>Balance Sheet</t>
  </si>
  <si>
    <t>Annual balance sheet (FY25–FY36) with Assets (Cash, Receivables, PP&amp;E), Liabilities (Debt, Payables), and Equity sections.</t>
  </si>
  <si>
    <t>Cashflow</t>
  </si>
  <si>
    <t>Annual cashflow waterfall (AUD) showing operating, investing, and financing cash flows with opening/closing cash balances across FY25–FY36.</t>
  </si>
  <si>
    <t>Debt</t>
  </si>
  <si>
    <t>Debt schedule for Term Debt ($10.2M, 8%, 10yr amortising) and PE Loan facility. Tracks drawdowns, repayments, interest, and closing balances.</t>
  </si>
  <si>
    <t>Revenue Assumptions</t>
  </si>
  <si>
    <t>Detailed revenue build-up by event type (Music GA, EDM, Seated Music, Comedy, Corporate, Community) with venue capacities, ticket pricing, F&amp;B, and ancillary income.</t>
  </si>
  <si>
    <t>GST Calculation</t>
  </si>
  <si>
    <t>GST (10%) computation on revenue across forecast years for Australian tax compliance.</t>
  </si>
  <si>
    <t>Expense Assumptions</t>
  </si>
  <si>
    <t>Staffing plan with roles, headcount, salaries, on-costs, mobilisation timing, and pre-operational expenditure for venue operations.</t>
  </si>
  <si>
    <t>Calendar Assumptions</t>
  </si>
  <si>
    <t>Event calendar defining number of event days per year by event type, venue capacity utilisation (sell-through %), and annual ramp-up schedule (FY28–FY36).</t>
  </si>
  <si>
    <t>Partnership Assumptions</t>
  </si>
  <si>
    <t>Sponsorship and partnership revenue framework across tiers (Naming Rights, Founding Partners, Alcoholic/Non-Alcoholic, Energy, Ride Share) with cash and VIK value ranges.</t>
  </si>
  <si>
    <t>Legend</t>
  </si>
  <si>
    <t>Visual style legend defining header styles, formatting conventions, and cell colour coding used throughout the model.</t>
  </si>
  <si>
    <t>Timing</t>
  </si>
  <si>
    <t>Monthly timeline engine driving model phasing — month start/end dates, FY mapping, lease signed flag, major capex flag, and possession flag.</t>
  </si>
  <si>
    <t>Disclaimer</t>
  </si>
  <si>
    <t>Legal disclaimer and important notices for the financial model (V35, dated 04/03/2026). Outlines purpose, limitations, and usage restrictions.</t>
  </si>
  <si>
    <t>Original Capex</t>
  </si>
  <si>
    <t>Original capital expenditure schedule showing equity funding sources (Founder, Industry Partners, PE Investment), construction period phasing, and escrow arrangements.</t>
  </si>
  <si>
    <t>Model Audit Report</t>
  </si>
  <si>
    <t>Full remediation report with pre- and post-audit scores across Architecture, Formulas, Integrity, and other components. Tracks remediation actions performed.</t>
  </si>
  <si>
    <t>Model Checks</t>
  </si>
  <si>
    <t>Automated integrity checks - BS balance (A–L–E), cash tie-out (BS vs CFS), PPE tie, debt continuity, sources ≥ uses, revenue tie, and DSCR covenant with PASS/FAIL status.</t>
  </si>
  <si>
    <t>Integrated Entertainment and Recreational Development</t>
  </si>
  <si>
    <t>349 Bridge Street Melbourne</t>
  </si>
  <si>
    <t>Live House Music Venue - There is a need for a 4,000 to 5,000 live venue for the Melbourne market that is suitably located to avoid issues of noise and congestion for the local community. The location within our proposed precinct will provide a beneficial location for this development and allow for the improved development of access to culture, music, entertainment and activity.</t>
  </si>
  <si>
    <t xml:space="preserve"> "URWLD" - is an active leisure concept that will house a Sports Climbing Centre of Excellence as well as a range of 15-18 active leisure activities including surfing, scuba, ice climbing, sports climbing, bouldering, canyoning, coasteering, ninja, junior climb academy, and a range of VR activities such as skiing, snowboarding, squirrel suit, tennis, golf and other immersive game concepts. There will also be an eSports arena and concept area and interactive video games concepts.  These will be supported by 4 quality, chef curated F&amp;B concepts and 2 event venues.  URWLD addresses a key community and society issue of encouraging the entire populace to be active to support lifestyle mindset change and impact the alarming trend of obesity, diabetes and inactivity that threatens our future generations. By providing an accessible environment to help introduce a broad range of activities that encourage movement we will work to address this through our communications and positioning as well as with our event activities, TedTalks hosted and others to promote improving mobility for all age groups</t>
  </si>
  <si>
    <t>PARKING - we are in discussions with Wilson Parking to JV on a 900 space parking building connected to URWLD to service the precinct as well as to support the government policy on congestion reduction within the CBD. We will provide business day parking with shuttle service into the CBD area to Spencer St transport hub for trains, trams and buses. In the future when the Plummer St Light Rail/Tram is undertaken by state government the proximity will allow us to reduce shuttle services. The parking building will connect to both the live venue and URWLD buildings</t>
  </si>
  <si>
    <t>Central Park - in keeping with the need for green space and open areas for common use we have allocated space within the site for a central park which we plan to develop with native landscape focus and a central courtyard as a "FOOD TRUCK" park highlighting handheld foods from numerous cultures as part of our F&amp;B offering. This area will also be used for day time and evening buskers for entertainment.</t>
  </si>
  <si>
    <t>Employment and Community - We believe that Fisherman's Bend precinct's combined development will create almost 1,000 FTE jobs and support the planned redevelopment of the Fishermans Bend Urban Renewal Framework by encouraging further state and federal investment in infrastructure of light rail, metro and roads as well as private investor development of the larger sites for increased residential and commercial use of the area.</t>
  </si>
  <si>
    <t>The zone we are developing is on a site of 37k square metres</t>
  </si>
  <si>
    <t>THE BEND LIVE HOUSE</t>
  </si>
  <si>
    <t xml:space="preserve">Investor Dashboard </t>
  </si>
  <si>
    <t>Active Scenario:</t>
  </si>
  <si>
    <t>SECTION 1 — KEY PERFORMANCE INDICATORS</t>
  </si>
  <si>
    <t>PROJECT IRR (UNLEVERED)</t>
  </si>
  <si>
    <t>EQUITY IRR (LEVERED)</t>
  </si>
  <si>
    <t>EQUITY MOIC</t>
  </si>
  <si>
    <t>ENTERPRISE VALUE (DCF)</t>
  </si>
  <si>
    <t>EQUITY VALUE</t>
  </si>
  <si>
    <t>PAYBACK PERIOD</t>
  </si>
  <si>
    <t>Return on total capital</t>
  </si>
  <si>
    <t>Return to equity investors</t>
  </si>
  <si>
    <t>Multiple on invested capital</t>
  </si>
  <si>
    <t>NPV @ WACC</t>
  </si>
  <si>
    <t>EV less net debt</t>
  </si>
  <si>
    <t>Equity breakeven year</t>
  </si>
  <si>
    <t>AVG DSCR</t>
  </si>
  <si>
    <t>YIELD ON COST</t>
  </si>
  <si>
    <t>WACC</t>
  </si>
  <si>
    <t>EXIT MULTIPLE</t>
  </si>
  <si>
    <t>TOTAL CAPEX</t>
  </si>
  <si>
    <t>DEBT / TOTAL CAP</t>
  </si>
  <si>
    <t>SECTION 2 — REVENUE &amp; PROFITABILITY TREND</t>
  </si>
  <si>
    <t>FY (operations start FY28)</t>
  </si>
  <si>
    <t>SECTION 3 — DEBT REPAYMENT &amp; COVERAGE</t>
  </si>
  <si>
    <t>Bank term debt amortises over 10 years at 8% — fully repaid by FY36</t>
  </si>
  <si>
    <t>SECTION 4 — CASH FLOWS &amp; SHAREHOLDER RETURNS</t>
  </si>
  <si>
    <t>Unlevered vs Equity cash flows; dividends track stabilised operations</t>
  </si>
  <si>
    <t>SECTION 5 — CAPITAL STRUCTURE &amp; EQUITY BUILD</t>
  </si>
  <si>
    <t>Funding sources and book equity growth trajectory</t>
  </si>
  <si>
    <t>SECTION 6 — SENSITIVITY ANALYSIS</t>
  </si>
  <si>
    <t>Stress test Enterprise Value and Equity IRR under changing WACC, exit multiple and EBITDA assumptions</t>
  </si>
  <si>
    <t>Enterprise Value ($) — WACC vs Exit Multiple</t>
  </si>
  <si>
    <t>Equity IRR — EBITDA Δ vs Exit Multiple</t>
  </si>
  <si>
    <t>WACC ↓ / Mult →</t>
  </si>
  <si>
    <t>6.0x</t>
  </si>
  <si>
    <t>7.0x</t>
  </si>
  <si>
    <t>8.0x</t>
  </si>
  <si>
    <t>9.0x</t>
  </si>
  <si>
    <t>10.0x</t>
  </si>
  <si>
    <t>EBITDA Δ ↓ / Mult →</t>
  </si>
  <si>
    <t>0% (Base)</t>
  </si>
  <si>
    <t>SECTION 7 — OPERATIONAL KPIS</t>
  </si>
  <si>
    <t>Event day utilisation and revenue intensity underpin the financial forecast</t>
  </si>
  <si>
    <t>STABILISED EVENT DAYS (FY30+)</t>
  </si>
  <si>
    <t>REVENUE / EVENT DAY (FY30+)</t>
  </si>
  <si>
    <t>REVENUE CAGR (FY28-FY36)</t>
  </si>
  <si>
    <t>FY28 → FY36 REVENUE GROWTH</t>
  </si>
  <si>
    <t>SECTION 8 — USE OF PROCEEDS (CAPEX BREAKDOWN)</t>
  </si>
  <si>
    <t>Where the construction capex is deployed</t>
  </si>
  <si>
    <t>SECTION 9 — SCENARIO COMPARISON</t>
  </si>
  <si>
    <t>Impact of alternate assumptions on returns — active scenario set via Scenarios!B4</t>
  </si>
  <si>
    <t>Scenario</t>
  </si>
  <si>
    <t>Rev Impact</t>
  </si>
  <si>
    <t>Cost Impact</t>
  </si>
  <si>
    <t>IRR Δ (pp)</t>
  </si>
  <si>
    <t>Risk Level</t>
  </si>
  <si>
    <t>SECTION 10 — EXIT WATERFALL &amp; EV BRIDGE</t>
  </si>
  <si>
    <t>How the $46M equity value is built from operating cash flows and terminal exit at FY36</t>
  </si>
  <si>
    <t>EV BRIDGE</t>
  </si>
  <si>
    <t>Component</t>
  </si>
  <si>
    <t>Value ($M)</t>
  </si>
  <si>
    <t>% of EV</t>
  </si>
  <si>
    <t>PV of Operating FCF (FY25–FY36)</t>
  </si>
  <si>
    <t>PV of Terminal Value</t>
  </si>
  <si>
    <t>Enterprise Value (DCF)</t>
  </si>
  <si>
    <t>Less: Debt at Valuation</t>
  </si>
  <si>
    <t>Add: Cash at Valuation</t>
  </si>
  <si>
    <t>EXIT ASSUMPTIONS (FY38)</t>
  </si>
  <si>
    <t>Exit Year</t>
  </si>
  <si>
    <t>Exit EBITDA</t>
  </si>
  <si>
    <t>Exit Multiple</t>
  </si>
  <si>
    <t>Terminal Value (undiscounted)</t>
  </si>
  <si>
    <t>% of EV from Terminal</t>
  </si>
  <si>
    <t>INVESTOR TAKEAWAYS</t>
  </si>
  <si>
    <t>• Stabilised operations generate consistent dividends; terminal value at exit drives the bulk of equity return.</t>
  </si>
  <si>
    <t>SECTION 11 — DRAWDOWN SCHEDULE &amp; MILESTONE FUNDING</t>
  </si>
  <si>
    <t>Yearly view of equity &amp; debt deployment across construction (linked to Inputs for Dashboard Section 14)</t>
  </si>
  <si>
    <t>TOTAL FUNDING NEED</t>
  </si>
  <si>
    <t>EQUITY DRAWN</t>
  </si>
  <si>
    <t>DEBT DRAWN</t>
  </si>
  <si>
    <t>EQUITY %</t>
  </si>
  <si>
    <t>DEBT %</t>
  </si>
  <si>
    <t>Total project cost incl. lease + IDC</t>
  </si>
  <si>
    <t>Total equity deployed FY26-FY27</t>
  </si>
  <si>
    <t>Total senior debt drawn FY27</t>
  </si>
  <si>
    <t>Equity share at completion</t>
  </si>
  <si>
    <t>Debt share at completion</t>
  </si>
  <si>
    <t>YEARLY DRAWDOWN</t>
  </si>
  <si>
    <t>FY25</t>
  </si>
  <si>
    <t>FY26</t>
  </si>
  <si>
    <t>FY27</t>
  </si>
  <si>
    <t>FY28</t>
  </si>
  <si>
    <t>FY29</t>
  </si>
  <si>
    <t>FY30</t>
  </si>
  <si>
    <t>TOTAL</t>
  </si>
  <si>
    <t>Total funding need</t>
  </si>
  <si>
    <t>Equity drawn</t>
  </si>
  <si>
    <t>Debt drawn</t>
  </si>
  <si>
    <t>Cumulative funding</t>
  </si>
  <si>
    <t>→ Click 'Inputs for Dashboard' tab, scroll to Section 14 for full schedule, milestone map, capital structure split, and validation checks.</t>
  </si>
  <si>
    <t>SECTION 12 — OPERATING &amp; FINANCIAL HEALTH SNAPSHOT</t>
  </si>
  <si>
    <t>Profitability margins, coverage ratios, and operating intensity at stabilised exit (FY36) — sourced from Dashboard tab</t>
  </si>
  <si>
    <t>A. PROFITABILITY AT STABILISED EXIT (FY36)</t>
  </si>
  <si>
    <t>EBITDA MARGIN</t>
  </si>
  <si>
    <t>GROSS MARGIN</t>
  </si>
  <si>
    <t>NET MARGIN</t>
  </si>
  <si>
    <t>REV / EVENT DAY</t>
  </si>
  <si>
    <t>EBITDA / EVENT DAY</t>
  </si>
  <si>
    <t>EBITDA / Revenue at exit</t>
  </si>
  <si>
    <t>Gross Profit / Revenue</t>
  </si>
  <si>
    <t>NPAT / Revenue at exit</t>
  </si>
  <si>
    <t>Revenue per event day (180 days/yr)</t>
  </si>
  <si>
    <t>EBITDA per event day</t>
  </si>
  <si>
    <t>B. COVERAGE, RUNWAY &amp; OPERATING INTENSITY</t>
  </si>
  <si>
    <t>MIN DSCR</t>
  </si>
  <si>
    <t>MIN ICR</t>
  </si>
  <si>
    <t>ANNUAL EVENT DAYS</t>
  </si>
  <si>
    <t>DEBT PAYOFF YEAR</t>
  </si>
  <si>
    <t>OPERATIONS START</t>
  </si>
  <si>
    <t>Worst-case debt service cover</t>
  </si>
  <si>
    <t>Worst-case interest cover</t>
  </si>
  <si>
    <t>Stabilised event days per year</t>
  </si>
  <si>
    <t>When senior debt is fully repaid</t>
  </si>
  <si>
    <t>Soft opening / revenue commencement</t>
  </si>
  <si>
    <t>→ Click 'Dashboard' tab for the full static metric inventory (Capacity Configurations, Revenue Mix, Event Days Mix, OPEX detail, full Coverage Ratios).</t>
  </si>
  <si>
    <t>THE BEND LIVE HOUSE — EXECUTIVE DASHBOARD</t>
  </si>
  <si>
    <t>Active Scenario</t>
  </si>
  <si>
    <t>Model Health</t>
  </si>
  <si>
    <t xml:space="preserve"> </t>
  </si>
  <si>
    <t>Summary</t>
  </si>
  <si>
    <t>FY</t>
  </si>
  <si>
    <t>Revenue</t>
  </si>
  <si>
    <t>EBITDA</t>
  </si>
  <si>
    <t>Closing Cash</t>
  </si>
  <si>
    <t>Total Debt</t>
  </si>
  <si>
    <t>DSCR</t>
  </si>
  <si>
    <t>ICR</t>
  </si>
  <si>
    <t>Net Leverage (Net Debt/EBITDA)</t>
  </si>
  <si>
    <t>FINANCIAL SUMMARY</t>
  </si>
  <si>
    <t>FY31</t>
  </si>
  <si>
    <t>FY32</t>
  </si>
  <si>
    <t>FY33</t>
  </si>
  <si>
    <t>FY34</t>
  </si>
  <si>
    <t>FY35</t>
  </si>
  <si>
    <t>FY36</t>
  </si>
  <si>
    <t>FY37</t>
  </si>
  <si>
    <t>FY38</t>
  </si>
  <si>
    <t>DEBT &amp; LEVERAGE</t>
  </si>
  <si>
    <t>KEY INVESTMENT METRICS</t>
  </si>
  <si>
    <t>Metric</t>
  </si>
  <si>
    <t>Value</t>
  </si>
  <si>
    <t>Total Debt Facility</t>
  </si>
  <si>
    <t>Total Funding Requirement</t>
  </si>
  <si>
    <t>Bank Debt</t>
  </si>
  <si>
    <t>Total Equity</t>
  </si>
  <si>
    <t>PE Equity</t>
  </si>
  <si>
    <t>Bank Term (years)</t>
  </si>
  <si>
    <t>Debt/Equity Ratio</t>
  </si>
  <si>
    <t>PE Equity Injection Year</t>
  </si>
  <si>
    <t>Project IRR</t>
  </si>
  <si>
    <t>Bank Interest Rate</t>
  </si>
  <si>
    <t>Equity IRR</t>
  </si>
  <si>
    <t>Shareholder Loan Toggle</t>
  </si>
  <si>
    <t>MOIC</t>
  </si>
  <si>
    <t>Debt/Total Capex</t>
  </si>
  <si>
    <t>Payback Period</t>
  </si>
  <si>
    <t>VALUATION SUMMARY</t>
  </si>
  <si>
    <t>Notes</t>
  </si>
  <si>
    <t>Discount rate</t>
  </si>
  <si>
    <t>EBITDA multiple</t>
  </si>
  <si>
    <t>FY38 EBITDA</t>
  </si>
  <si>
    <t>Terminal Value</t>
  </si>
  <si>
    <t>Exit value</t>
  </si>
  <si>
    <t>Enterprise Value</t>
  </si>
  <si>
    <t>DCF valuation</t>
  </si>
  <si>
    <t>Net Debt (Exit)</t>
  </si>
  <si>
    <t>Debt - Cash at exit</t>
  </si>
  <si>
    <t>Equity Value</t>
  </si>
  <si>
    <t>EV less Net Debt</t>
  </si>
  <si>
    <t>RETURN METRICS</t>
  </si>
  <si>
    <t>Unlevered return</t>
  </si>
  <si>
    <t>Levered return</t>
  </si>
  <si>
    <t>Project NPV @ WACC</t>
  </si>
  <si>
    <t>Value creation</t>
  </si>
  <si>
    <t>Equity NPV @ Ke</t>
  </si>
  <si>
    <t>Value to equity</t>
  </si>
  <si>
    <t>Cash multiple</t>
  </si>
  <si>
    <t>Yield on Cost</t>
  </si>
  <si>
    <t>Stabilised EBITDA / Capex</t>
  </si>
  <si>
    <t>Total Capex</t>
  </si>
  <si>
    <t>Equity Required</t>
  </si>
  <si>
    <t>PE Loan</t>
  </si>
  <si>
    <t>PE Term (years)</t>
  </si>
  <si>
    <t>PE Interest Rate</t>
  </si>
  <si>
    <t>Debt Payoff Year</t>
  </si>
  <si>
    <t>VENUE CAPACITY</t>
  </si>
  <si>
    <t>PROFITABILITY METRICS (EXIT FY)</t>
  </si>
  <si>
    <t>Configuration</t>
  </si>
  <si>
    <t>Capacity</t>
  </si>
  <si>
    <t>Music GA (Large)</t>
  </si>
  <si>
    <t>Total Revenue</t>
  </si>
  <si>
    <t>Music GA (Medium)</t>
  </si>
  <si>
    <t>Gross Profit</t>
  </si>
  <si>
    <t>Music GA (Small)</t>
  </si>
  <si>
    <t>Gross Margin %</t>
  </si>
  <si>
    <t>EDM/Dance</t>
  </si>
  <si>
    <t>Seated Events</t>
  </si>
  <si>
    <t>EBITDA Margin %</t>
  </si>
  <si>
    <t>MICE/Corporate</t>
  </si>
  <si>
    <t>NPAT</t>
  </si>
  <si>
    <t>Community</t>
  </si>
  <si>
    <t>Net Margin %</t>
  </si>
  <si>
    <t>Max Capacity</t>
  </si>
  <si>
    <t>PROJECT TIMELINE</t>
  </si>
  <si>
    <t>REVENUE MIX (EXIT FY)</t>
  </si>
  <si>
    <t>Milestone</t>
  </si>
  <si>
    <t>Date</t>
  </si>
  <si>
    <t>Stream</t>
  </si>
  <si>
    <t>Model Start</t>
  </si>
  <si>
    <t>VHA</t>
  </si>
  <si>
    <t>Lease Signing</t>
  </si>
  <si>
    <t>Premium Sales</t>
  </si>
  <si>
    <t>Construction Start</t>
  </si>
  <si>
    <t>Premium F&amp;B</t>
  </si>
  <si>
    <t>Construction End</t>
  </si>
  <si>
    <t>F&amp;B</t>
  </si>
  <si>
    <t>Operations Start</t>
  </si>
  <si>
    <t>Merchandise</t>
  </si>
  <si>
    <t>Model End</t>
  </si>
  <si>
    <t>Equipment Hire</t>
  </si>
  <si>
    <t>Sponsorship</t>
  </si>
  <si>
    <t>Project Duration</t>
  </si>
  <si>
    <t>Advertising</t>
  </si>
  <si>
    <t>OPEX MIX (EXIT FY)</t>
  </si>
  <si>
    <t>EVENT DAYS MIX (EXIT FY)</t>
  </si>
  <si>
    <t>EVENT DAYS MIX (STABILIZED FY)</t>
  </si>
  <si>
    <t>Category</t>
  </si>
  <si>
    <t>Event Type</t>
  </si>
  <si>
    <t>Days</t>
  </si>
  <si>
    <t>Staff Costs</t>
  </si>
  <si>
    <t>Music GA (all tiers)</t>
  </si>
  <si>
    <t>Lease / Rent</t>
  </si>
  <si>
    <t>EDM</t>
  </si>
  <si>
    <t>Utilities</t>
  </si>
  <si>
    <t>Seated Music</t>
  </si>
  <si>
    <t>Maintenance</t>
  </si>
  <si>
    <t>Comedy</t>
  </si>
  <si>
    <t>Marketing</t>
  </si>
  <si>
    <t>Admin/Legal/Insurance/etc</t>
  </si>
  <si>
    <t>MICE</t>
  </si>
  <si>
    <t>Other OPEX</t>
  </si>
  <si>
    <t>Live Site</t>
  </si>
  <si>
    <t>DEBT COVERAGE RATIOS</t>
  </si>
  <si>
    <t>EVENT INDUSTRY KPIs (EXIT FY)</t>
  </si>
  <si>
    <t>EVENT INDUSTRY KPIs (STABILIZED FY)</t>
  </si>
  <si>
    <t>Units</t>
  </si>
  <si>
    <t>Average DSCR</t>
  </si>
  <si>
    <t>Annual Event Days</t>
  </si>
  <si>
    <t>days</t>
  </si>
  <si>
    <t>Minimum DSCR</t>
  </si>
  <si>
    <t>A$</t>
  </si>
  <si>
    <t>Average ICR</t>
  </si>
  <si>
    <t>Revenue per Event Day</t>
  </si>
  <si>
    <t>A$/day</t>
  </si>
  <si>
    <t>Minimum ICR</t>
  </si>
  <si>
    <t>EBITDA per Event Day</t>
  </si>
  <si>
    <t>%</t>
  </si>
  <si>
    <t>SENSITIVITY SUMMARY</t>
  </si>
  <si>
    <t>Enterprise Value Sensitivity (WACC vs Exit Multiple)</t>
  </si>
  <si>
    <t>EV ($m)</t>
  </si>
  <si>
    <t>▲ END OF DASHBOARD ▲</t>
  </si>
  <si>
    <t xml:space="preserve">Annual Cashflow Waterfall (AUD) </t>
  </si>
  <si>
    <t>THE BEND Live House</t>
  </si>
  <si>
    <t>Currency</t>
  </si>
  <si>
    <t>AUD</t>
  </si>
  <si>
    <t>FY Start</t>
  </si>
  <si>
    <t>FY End</t>
  </si>
  <si>
    <t>Year</t>
  </si>
  <si>
    <t>Opening Cash Balance</t>
  </si>
  <si>
    <t>INFLOWS</t>
  </si>
  <si>
    <t>Initial Cash Inflow through deposits via Partnerships</t>
  </si>
  <si>
    <t>PE Equity Inflow</t>
  </si>
  <si>
    <t>Additional Equity Tranches</t>
  </si>
  <si>
    <t>Total Equity Inflow</t>
  </si>
  <si>
    <t>Debt drawdowns – Bank (from Debt)</t>
  </si>
  <si>
    <t>WC Facility drawdowns (from Debt)</t>
  </si>
  <si>
    <t>PE Loan drawdowns – LEGACY INACTIVE</t>
  </si>
  <si>
    <t>Pre-op revenue (from Cashflow)</t>
  </si>
  <si>
    <t>Operational revenue (from P&amp;L)</t>
  </si>
  <si>
    <t>Total inflows</t>
  </si>
  <si>
    <t>Terminal value + bond return</t>
  </si>
  <si>
    <t>OUTFLOWS (shown as negatives)</t>
  </si>
  <si>
    <t xml:space="preserve">Capex (from Construction Timeline) + Lease Deposit </t>
  </si>
  <si>
    <t>Pre-op expenses excl. capex (from Cashflow)</t>
  </si>
  <si>
    <t>COGS +Operating expenses (excl lease/outgoings) + Hold Co Fees – from P&amp;L</t>
  </si>
  <si>
    <t>Lease payments (venue lease + outgoings) – from P&amp;L</t>
  </si>
  <si>
    <t>Debt service (principal + interest) – cash (from Debt)</t>
  </si>
  <si>
    <t>Taxes (from P&amp;L if modelled)</t>
  </si>
  <si>
    <t>Dividends</t>
  </si>
  <si>
    <t>Transfer to Community Fund (Restricted Cash)</t>
  </si>
  <si>
    <t>Total outflows</t>
  </si>
  <si>
    <t>Net working capital movement (ΔWC)</t>
  </si>
  <si>
    <t>Net Cash Flow</t>
  </si>
  <si>
    <t>Closing Cash Balance</t>
  </si>
  <si>
    <t>Cash tie (CFS - BS cash)</t>
  </si>
  <si>
    <t>Cash tie (Waterfall - BS cash)</t>
  </si>
  <si>
    <t>DRIVERS</t>
  </si>
  <si>
    <t>COGS</t>
  </si>
  <si>
    <t>OPEX (cash, excl dep'n)</t>
  </si>
  <si>
    <t>BALANCES</t>
  </si>
  <si>
    <t>Accounts receivable</t>
  </si>
  <si>
    <t>Inventory</t>
  </si>
  <si>
    <t>Accounts payable</t>
  </si>
  <si>
    <t>CASHFLOW IMPACT (positive = inflow)</t>
  </si>
  <si>
    <t>Change in AR</t>
  </si>
  <si>
    <t>Change in Inventory</t>
  </si>
  <si>
    <t>Change in AP</t>
  </si>
  <si>
    <t>Net working capital change</t>
  </si>
  <si>
    <t>KEY METRICS</t>
  </si>
  <si>
    <t>EBITDA (from P&amp;L)</t>
  </si>
  <si>
    <t>Debt Service (cash) – positive</t>
  </si>
  <si>
    <t>Capex</t>
  </si>
  <si>
    <t>DSCR = CFADS / Debt Service</t>
  </si>
  <si>
    <t>Minimum Closing Cash (FY27–FY37)</t>
  </si>
  <si>
    <t>Funding Surplus / (Shortfall)</t>
  </si>
  <si>
    <t>Funding Status</t>
  </si>
  <si>
    <t>Total current borrowings (next 12 months)</t>
  </si>
  <si>
    <t>Total non-current borrowings</t>
  </si>
  <si>
    <t>Unlevered FCF</t>
  </si>
  <si>
    <t>Equity CF</t>
  </si>
  <si>
    <t>EQUITY SCHEDULE</t>
  </si>
  <si>
    <t>Total New Equity</t>
  </si>
  <si>
    <t>Distributions / Buybacks</t>
  </si>
  <si>
    <t>Closing Contributed Equity</t>
  </si>
  <si>
    <t>Cumulative Contributed Equity</t>
  </si>
  <si>
    <t>Profit &amp; Loss Statement</t>
  </si>
  <si>
    <t>FY START</t>
  </si>
  <si>
    <t>FY END</t>
  </si>
  <si>
    <t>Ops Flag</t>
  </si>
  <si>
    <t>Construction Flag</t>
  </si>
  <si>
    <t>REVENUE</t>
  </si>
  <si>
    <t>Event day revenue</t>
  </si>
  <si>
    <t>Facilities Fee</t>
  </si>
  <si>
    <t>Non-event day revenue</t>
  </si>
  <si>
    <t xml:space="preserve">Yearly Revenue Growth </t>
  </si>
  <si>
    <t>Food &amp; Beverage</t>
  </si>
  <si>
    <t>CoG F&amp;B (GA)</t>
  </si>
  <si>
    <t>CoG F&amp;B (Premium)</t>
  </si>
  <si>
    <t>Consumables</t>
  </si>
  <si>
    <t>Total COGS</t>
  </si>
  <si>
    <t>COGS %</t>
  </si>
  <si>
    <t>GROSS PROFIT</t>
  </si>
  <si>
    <t>GPM</t>
  </si>
  <si>
    <t>GPM F&amp;B</t>
  </si>
  <si>
    <t xml:space="preserve">GPM Equipment lease </t>
  </si>
  <si>
    <t>OPERATING EXPENSES</t>
  </si>
  <si>
    <t>Leased equipment</t>
  </si>
  <si>
    <t>Maintenance (R&amp;M)</t>
  </si>
  <si>
    <t>T&amp;E</t>
  </si>
  <si>
    <t>Uniforms</t>
  </si>
  <si>
    <t>Dues and subscriptions</t>
  </si>
  <si>
    <t>Licenses</t>
  </si>
  <si>
    <t>Security Monitoring</t>
  </si>
  <si>
    <t>Health &amp; Safety</t>
  </si>
  <si>
    <t>Sponsorship Commission (15%)</t>
  </si>
  <si>
    <t>Sponsorship Activation (5%)</t>
  </si>
  <si>
    <t>Lease deposit</t>
  </si>
  <si>
    <t>Landlord Outgoings</t>
  </si>
  <si>
    <t>Administrative / Legal / Other</t>
  </si>
  <si>
    <t>General Consultant</t>
  </si>
  <si>
    <t>Insurance</t>
  </si>
  <si>
    <t>Bad debts</t>
  </si>
  <si>
    <t>Audit</t>
  </si>
  <si>
    <t>Payroll Processing</t>
  </si>
  <si>
    <t>Staff costs</t>
  </si>
  <si>
    <t>Salaries</t>
  </si>
  <si>
    <t>Oncosts</t>
  </si>
  <si>
    <t>Training</t>
  </si>
  <si>
    <t>Promoter Loyalty Rebates</t>
  </si>
  <si>
    <t>Total OPEX</t>
  </si>
  <si>
    <t>EBITDA (before HoldCo Fee)</t>
  </si>
  <si>
    <t>HoldCo License Fee</t>
  </si>
  <si>
    <t>EBITDA Margin</t>
  </si>
  <si>
    <t>Pre-opening expenses (below EBITDA)</t>
  </si>
  <si>
    <t>Depreciation</t>
  </si>
  <si>
    <t>EBIT</t>
  </si>
  <si>
    <t>Net interest expense</t>
  </si>
  <si>
    <t>PBT</t>
  </si>
  <si>
    <t>Tax</t>
  </si>
  <si>
    <t>Income tax</t>
  </si>
  <si>
    <t>Tax loss carry-forward (end)</t>
  </si>
  <si>
    <t>Net profit after tax</t>
  </si>
  <si>
    <t>NPAT %</t>
  </si>
  <si>
    <t>COMMUNITY FUND CALCULATION</t>
  </si>
  <si>
    <t>($1,463,545)</t>
  </si>
  <si>
    <t>$6,468,368</t>
  </si>
  <si>
    <t>$6,092,158</t>
  </si>
  <si>
    <t>$6,548,705</t>
  </si>
  <si>
    <t>$7,225,218</t>
  </si>
  <si>
    <t>$7,461,219</t>
  </si>
  <si>
    <t>$7,317,771</t>
  </si>
  <si>
    <t>$7,456,118</t>
  </si>
  <si>
    <t>$7,688,934</t>
  </si>
  <si>
    <t>$7,925,696</t>
  </si>
  <si>
    <t>$8,060,127</t>
  </si>
  <si>
    <t>$8,646,463</t>
  </si>
  <si>
    <t>Total Tickets Sold</t>
  </si>
  <si>
    <t>Community Fund Contribution per Ticket</t>
  </si>
  <si>
    <t>Community Fund Allocation</t>
  </si>
  <si>
    <t>Transfer to Community Fund</t>
  </si>
  <si>
    <t>Debt Service Coverage Ratio</t>
  </si>
  <si>
    <t>EBITDA (Less Taxes)</t>
  </si>
  <si>
    <t>Net Working Capital Adjustment</t>
  </si>
  <si>
    <t>Principal</t>
  </si>
  <si>
    <t>Interest</t>
  </si>
  <si>
    <t>CHECKS ONLY FOR REFERENCE</t>
  </si>
  <si>
    <t>Check</t>
  </si>
  <si>
    <t>Overall</t>
  </si>
  <si>
    <t>OPEX (Expense Assumptions)</t>
  </si>
  <si>
    <t>Maintenance R&amp;M</t>
  </si>
  <si>
    <t>Annual Venue Lease</t>
  </si>
  <si>
    <t>OPEX (Inputs)</t>
  </si>
  <si>
    <t>Leased Equipment</t>
  </si>
  <si>
    <t>Admin / Legal</t>
  </si>
  <si>
    <t>Sponsorship Commission</t>
  </si>
  <si>
    <t>Sponsorship Activation</t>
  </si>
  <si>
    <t>Bad Debts</t>
  </si>
  <si>
    <t>Opex + COGS Checks between CFS and P&amp;L</t>
  </si>
  <si>
    <t>COGS +Operating expenses (excl lease/outgoings) + Hold Co Fees – Cash Flow</t>
  </si>
  <si>
    <t>Difference</t>
  </si>
  <si>
    <t>ASSETS</t>
  </si>
  <si>
    <t>Current Assets</t>
  </si>
  <si>
    <t>Cash</t>
  </si>
  <si>
    <t>Community Fund Reserve (Restricted Cash)</t>
  </si>
  <si>
    <t>Total current assets</t>
  </si>
  <si>
    <t>Non-Current Assets</t>
  </si>
  <si>
    <t>Lease deposit / bond</t>
  </si>
  <si>
    <t>Work in Progress (WIP)</t>
  </si>
  <si>
    <t>Property, Plant &amp; Equipment (gross)</t>
  </si>
  <si>
    <t>Accumulated depreciation</t>
  </si>
  <si>
    <t>PPE (net)</t>
  </si>
  <si>
    <t>Total Non-Current Assets</t>
  </si>
  <si>
    <t>Total Assets</t>
  </si>
  <si>
    <t>NWC (AR + Inv – AP – Deferred rev)</t>
  </si>
  <si>
    <t>LIABILITIES</t>
  </si>
  <si>
    <t>Current Liabilities</t>
  </si>
  <si>
    <t>Accounts payable / accruals</t>
  </si>
  <si>
    <t>Borrowings – current</t>
  </si>
  <si>
    <t>Interest payable (accrued)</t>
  </si>
  <si>
    <t>Customer deposits / deferred revenue</t>
  </si>
  <si>
    <t>Non-Current Liabilities</t>
  </si>
  <si>
    <t>Borrowings – non-current</t>
  </si>
  <si>
    <t>Total Liabilities</t>
  </si>
  <si>
    <t>EQUITY</t>
  </si>
  <si>
    <t>Contributed equity</t>
  </si>
  <si>
    <t>Retained earnings</t>
  </si>
  <si>
    <t>TOTAL Equity</t>
  </si>
  <si>
    <t>Balance Check (Assets – Liabilities – Equity)</t>
  </si>
  <si>
    <t>Check Flag</t>
  </si>
  <si>
    <t>Balance Check Status</t>
  </si>
  <si>
    <t>THREE-STATEMENT INTEGRATION CHECKS</t>
  </si>
  <si>
    <t>1. Balance Test (A - L - E)</t>
  </si>
  <si>
    <t>2. Cash Tie (BS vs CFS)</t>
  </si>
  <si>
    <t>3. PPE Tie (BS vs Capex Schedule)</t>
  </si>
  <si>
    <t>Overall Model Status</t>
  </si>
  <si>
    <t>MODEL BALANCED</t>
  </si>
  <si>
    <t>THE BEND LIVE HOUSE — VALUATIONS</t>
  </si>
  <si>
    <t>Architecture sheet: valuation approaches, return metrics (IRR/NPV), and sensitivity framework. Calculations will be wired in the next step.</t>
  </si>
  <si>
    <t>VALUATION CONTROLS &amp; INPUTS</t>
  </si>
  <si>
    <t>Pulled from Scenarios toggle (read-only)</t>
  </si>
  <si>
    <t>Valuation Currency</t>
  </si>
  <si>
    <t>Match model currency</t>
  </si>
  <si>
    <t>Valuation Date</t>
  </si>
  <si>
    <t>Leave blank or set to transaction / IC date</t>
  </si>
  <si>
    <t>Discount Rate Basis</t>
  </si>
  <si>
    <t>WACC (FCFF) / Ke (Equity)</t>
  </si>
  <si>
    <t>Choose which return metric you’re presenting</t>
  </si>
  <si>
    <t>WACC (nominal)</t>
  </si>
  <si>
    <t>Linked to Inputs!E477</t>
  </si>
  <si>
    <t>Cost of Equity (Ke)</t>
  </si>
  <si>
    <t>Linked to Inputs!E478</t>
  </si>
  <si>
    <t>Cost of Debt (Kd)</t>
  </si>
  <si>
    <t>To be linked to Debt terms</t>
  </si>
  <si>
    <t>Corporate Tax Rate</t>
  </si>
  <si>
    <t>Linked to Inputs!E480</t>
  </si>
  <si>
    <t>Exit FY</t>
  </si>
  <si>
    <t>Linked to Inputs!E486</t>
  </si>
  <si>
    <t>Exit Method</t>
  </si>
  <si>
    <t>Choose primary method</t>
  </si>
  <si>
    <t>Exit EBITDA Multiple</t>
  </si>
  <si>
    <t>Linked to Inputs!E481</t>
  </si>
  <si>
    <t>Mid-year convention</t>
  </si>
  <si>
    <t>Linked to Inputs!E483</t>
  </si>
  <si>
    <t>Units / Format</t>
  </si>
  <si>
    <t>Cash Flow Basis</t>
  </si>
  <si>
    <t>Method / Formula Guidance + Link Source</t>
  </si>
  <si>
    <t>Project IRR (Unlevered)</t>
  </si>
  <si>
    <t>Unlevered</t>
  </si>
  <si>
    <t>XIRR(unlevered FCF, dates) — exclude debt &amp; equity flows | Source: Cashflow (build Unlevered FCF series)</t>
  </si>
  <si>
    <t>XNPV(WACC, unlevered FCF, dates) OR PV factors | Source: Valuations DCF block below</t>
  </si>
  <si>
    <t>Equity IRR (Levered)</t>
  </si>
  <si>
    <t>Equity</t>
  </si>
  <si>
    <t>XIRR(equity cash flows, dates) | Source: Equity injections + distributions + exit equity</t>
  </si>
  <si>
    <t>XNPV(Ke, equity cash flows, dates) | Source: Equity cash flow schedule</t>
  </si>
  <si>
    <t>Equity MOIC</t>
  </si>
  <si>
    <t>x</t>
  </si>
  <si>
    <t>(Total distributions + exit equity) / Total equity injected | Source: Dashboard already calculates</t>
  </si>
  <si>
    <t>Payback Period (Equity)</t>
  </si>
  <si>
    <t>First year cumulative equity distributions exceed equity injected | Source: To be added (optional)</t>
  </si>
  <si>
    <t>Yield on Cost (Exit)</t>
  </si>
  <si>
    <t>Operating</t>
  </si>
  <si>
    <t>Stabilised EBITDA / Total Project Cost | Source: Dashboard already calculates</t>
  </si>
  <si>
    <t>WEIGHTED AVERAGE COST OF CAPITAL (WACC)</t>
  </si>
  <si>
    <t>Source/Formula</t>
  </si>
  <si>
    <t>Risk-Free Rate</t>
  </si>
  <si>
    <t>Linked to Inputs!E488</t>
  </si>
  <si>
    <t>Market Risk Premium</t>
  </si>
  <si>
    <t>Hard-coded: 6.5% historical equity premium (add to Inputs if row available)</t>
  </si>
  <si>
    <t>Asset Beta (Unlevered)</t>
  </si>
  <si>
    <t>Linked to Inputs!E490</t>
  </si>
  <si>
    <t>Target D/E Ratio</t>
  </si>
  <si>
    <t>From model capital structure</t>
  </si>
  <si>
    <t>Tax Rate</t>
  </si>
  <si>
    <t>Corporate tax rate</t>
  </si>
  <si>
    <t>Levered Beta</t>
  </si>
  <si>
    <t>Hamada formula: βu×(1+(1-T)×D/E)</t>
  </si>
  <si>
    <t>CAPM: Rf + β × MRP</t>
  </si>
  <si>
    <t>Pre-Tax Cost of Debt (Kd)</t>
  </si>
  <si>
    <t>From Debt sheet</t>
  </si>
  <si>
    <t>After-Tax Cost of Debt</t>
  </si>
  <si>
    <t>Kd × (1-T)</t>
  </si>
  <si>
    <t>Weight of Equity</t>
  </si>
  <si>
    <t>E/(D+E)</t>
  </si>
  <si>
    <t>Weight of Debt</t>
  </si>
  <si>
    <t>D/(D+E)</t>
  </si>
  <si>
    <t>WACC (Calculated)</t>
  </si>
  <si>
    <t>We×Ke + Wd×Kd(1-T)</t>
  </si>
  <si>
    <t>WACC (Input Override)</t>
  </si>
  <si>
    <t>Manual input for sensitivity</t>
  </si>
  <si>
    <t>Applied Discount Rate</t>
  </si>
  <si>
    <t>Uses input WACC for discounting</t>
  </si>
  <si>
    <t>UNLEVERED DCF VALUATION</t>
  </si>
  <si>
    <t>Free Cash Flow to Firm (FCFF) Schedule</t>
  </si>
  <si>
    <t>FY End Date</t>
  </si>
  <si>
    <t>Period Number</t>
  </si>
  <si>
    <t>Less: Depreciation</t>
  </si>
  <si>
    <t>Less: Tax on EBIT</t>
  </si>
  <si>
    <t>NOPAT</t>
  </si>
  <si>
    <t>Add: Depreciation</t>
  </si>
  <si>
    <t>Less: Capex</t>
  </si>
  <si>
    <t>Less: Change in NWC</t>
  </si>
  <si>
    <t>Unlevered Free Cash Flow (FCFF)</t>
  </si>
  <si>
    <t>TERMINAL VALUE &amp; DISCOUNTING</t>
  </si>
  <si>
    <t>Terminal Value (EV)</t>
  </si>
  <si>
    <t>Discounting Schedule</t>
  </si>
  <si>
    <t>Period (Years)</t>
  </si>
  <si>
    <t>Discount Factor</t>
  </si>
  <si>
    <t>PV of FCF</t>
  </si>
  <si>
    <t>ENTERPRISE VALUE TO EQUITY VALUE BRIDGE</t>
  </si>
  <si>
    <t>Sum of PV of FCF</t>
  </si>
  <si>
    <t>Present value of forecast period cash flows</t>
  </si>
  <si>
    <t>Discounted exit value</t>
  </si>
  <si>
    <t>Total DCF enterprise value</t>
  </si>
  <si>
    <t>Less: Net Debt at Valuation Date</t>
  </si>
  <si>
    <t>Outstanding debt at valuation date</t>
  </si>
  <si>
    <t>Add: Cash at Valuation Date</t>
  </si>
  <si>
    <t>Available cash balance</t>
  </si>
  <si>
    <t>Less: Minority Interest</t>
  </si>
  <si>
    <t>If applicable</t>
  </si>
  <si>
    <t>Add: Associate Investments</t>
  </si>
  <si>
    <t>EV - Net Debt + Adjustments</t>
  </si>
  <si>
    <t>Project Returns (Unlevered)</t>
  </si>
  <si>
    <t>Unlevered Cash Flow Schedule</t>
  </si>
  <si>
    <t>Unlevered CF + TV</t>
  </si>
  <si>
    <t>Present value of all unlevered cash flows</t>
  </si>
  <si>
    <t>Equity Returns (Levered)</t>
  </si>
  <si>
    <t>Equity Cash Flow Schedule</t>
  </si>
  <si>
    <t>Equity Injections</t>
  </si>
  <si>
    <t>Dividends Received</t>
  </si>
  <si>
    <t>Exit Proceeds</t>
  </si>
  <si>
    <t>Net Equity Cash Flow</t>
  </si>
  <si>
    <t>Cumulative Equity CF</t>
  </si>
  <si>
    <t>XNPV at Cost of Equity</t>
  </si>
  <si>
    <t>Total Equity Invested</t>
  </si>
  <si>
    <t>Sum of equity contributions</t>
  </si>
  <si>
    <t>Total Distributions + Exit</t>
  </si>
  <si>
    <t>Dividends + terminal proceeds</t>
  </si>
  <si>
    <t>Multiple of Invested Capital (MOIC)</t>
  </si>
  <si>
    <t>Total proceeds / Total invested</t>
  </si>
  <si>
    <t>First FY with positive cumulative equity CF</t>
  </si>
  <si>
    <t>Yield on Cost (Stabilised)</t>
  </si>
  <si>
    <t>Stabilised EBITDA / Total Capex</t>
  </si>
  <si>
    <t>Yield on Cost (Exit Year)</t>
  </si>
  <si>
    <t>Exit EBITDA / Total Capex</t>
  </si>
  <si>
    <t>SENSITIVITY ANALYSIS</t>
  </si>
  <si>
    <t>Equity IRR Sensitivity (Exit Multiple vs Exit Year EBITDA Variance)</t>
  </si>
  <si>
    <t>EBITDA Δ</t>
  </si>
  <si>
    <t>DCF valuation at WACC</t>
  </si>
  <si>
    <t>Exit EBITDA (FY38)</t>
  </si>
  <si>
    <t>Terminal year EBITDA</t>
  </si>
  <si>
    <t>Exit Multiple Applied</t>
  </si>
  <si>
    <t>Exit EBITDA × Multiple</t>
  </si>
  <si>
    <t>Discount rate applied</t>
  </si>
  <si>
    <t>Year cumulative CF turns positive</t>
  </si>
  <si>
    <t>CF for IRR</t>
  </si>
  <si>
    <t>Dates for IRR</t>
  </si>
  <si>
    <t>Total Positive CF</t>
  </si>
  <si>
    <t>Total Positive Unlevered CF</t>
  </si>
  <si>
    <t>Total Negative Unlevered CF</t>
  </si>
  <si>
    <t>Multiple of EBITDA based valuation</t>
  </si>
  <si>
    <t>EBITDA Year</t>
  </si>
  <si>
    <t>Estimated Enterprise Value</t>
  </si>
  <si>
    <t>Range</t>
  </si>
  <si>
    <t>to</t>
  </si>
  <si>
    <t>Median</t>
  </si>
  <si>
    <t>FY 29</t>
  </si>
  <si>
    <t>A. LISTED TRADING COMPARABLES (for directional reference only)</t>
  </si>
  <si>
    <t>Company</t>
  </si>
  <si>
    <t>Ticker / Code</t>
  </si>
  <si>
    <t>Exchange</t>
  </si>
  <si>
    <t>EV / EBITDA</t>
  </si>
  <si>
    <t>Year / Period</t>
  </si>
  <si>
    <t>Notes on Comparability</t>
  </si>
  <si>
    <t>Applicability to The Bend</t>
  </si>
  <si>
    <t>Source</t>
  </si>
  <si>
    <t>Live Nation Entertainment</t>
  </si>
  <si>
    <t>LYV</t>
  </si>
  <si>
    <t>NYSE</t>
  </si>
  <si>
    <t>Global live entertainment co. incl. Ticketmaster (software). Ticketmaster inflates multiple vs pure venue ops — directional only.</t>
  </si>
  <si>
    <t>Upper bound; scale &amp; software premium not applicable</t>
  </si>
  <si>
    <t>https://simplywall.st/stocks/us/media/nyse-lyv/live-nation-entertainment/valuation</t>
  </si>
  <si>
    <t>Endeavour Group</t>
  </si>
  <si>
    <t>EDV</t>
  </si>
  <si>
    <t>ASX</t>
  </si>
  <si>
    <t>Australian hospitality venues + retail liquor. Hospitality division alone trades ~10x; retail drag lowers blended multiple.</t>
  </si>
  <si>
    <t>Good proxy for Australian venue-based hospitality</t>
  </si>
  <si>
    <t>https://finbox.com/ASX:EDV/explorer/ev_to_ebitda_ltm/</t>
  </si>
  <si>
    <t>MSG Entertainment</t>
  </si>
  <si>
    <t>MSGE</t>
  </si>
  <si>
    <t>Premium US entertainment venues incl. Madison Square Garden. Iconic asset premium + media rights significantly lifts multiple.</t>
  </si>
  <si>
    <t>Upper bound reference; not a direct comparable</t>
  </si>
  <si>
    <t>https://finbox.com/NYSE:MSGE/explorer/ev_to_ebitda_ltm/</t>
  </si>
  <si>
    <t>Crown Resorts (Blackstone deal)</t>
  </si>
  <si>
    <t>CWN</t>
  </si>
  <si>
    <t>FY2022</t>
  </si>
  <si>
    <t>Australian entertainment/hospitality with casino operations. Casino licensing premium materially inflates multiple vs pure venue.</t>
  </si>
  <si>
    <t>Reference only — casino premium not applicable</t>
  </si>
  <si>
    <t>https://www.reuters.com/markets/asia/crown-plays-its-cards-well-with-blackstone-2022-01-13/</t>
  </si>
  <si>
    <t>Ardent Leisure (Theme Parks div.)</t>
  </si>
  <si>
    <t>ALG</t>
  </si>
  <si>
    <t>Australian leisure/entertainment group. Theme park &amp; entertainment venue operations in AU — pre-COVID benchmark.</t>
  </si>
  <si>
    <t>Moderate relevance — same market, different asset type</t>
  </si>
  <si>
    <t>https://ng.investing.com/pro/ASX:CEH/explorer/ev_to_ebitda_ltm</t>
  </si>
  <si>
    <t>Median Trading Multiple</t>
  </si>
  <si>
    <t>Across listed comparables above</t>
  </si>
  <si>
    <t>B. PRECEDENT M&amp;A TRANSACTIONS (primary basis for exit multiple)</t>
  </si>
  <si>
    <t>Target</t>
  </si>
  <si>
    <t>Acquirer</t>
  </si>
  <si>
    <t>Country</t>
  </si>
  <si>
    <t>Deal Year</t>
  </si>
  <si>
    <t>Notes on Deal &amp; Multiple</t>
  </si>
  <si>
    <t>TEG Pty Ltd (Ticketek parent)</t>
  </si>
  <si>
    <t>Silver Lake Partners</t>
  </si>
  <si>
    <t>Australia</t>
  </si>
  <si>
    <t>Silver Lake acquired majority stake in TEG (Ticketek + live entertainment) at implied EV ~A$1.4B. Strong AU entertainment deal. Multiple includes ticketing platform.</t>
  </si>
  <si>
    <t>Most relevant AU entertainment deal; ticketing uplift means pure-venue comp is lower</t>
  </si>
  <si>
    <t>Internet search</t>
  </si>
  <si>
    <t>Village Roadshow Ltd</t>
  </si>
  <si>
    <t>BGH Capital</t>
  </si>
  <si>
    <t>BGH Capital privatised Village Roadshow at A$7.20/share (EV ~A$949M). Entertainment diversified: cinema, theme parks, venues. Post-COVID recovery pricing.</t>
  </si>
  <si>
    <t>Relevant AU leisure/entertainment privatisation; cinema drag lowers multiple vs pure venue</t>
  </si>
  <si>
    <t>Crown Resorts</t>
  </si>
  <si>
    <t>Blackstone</t>
  </si>
  <si>
    <t>Blackstone acquired Crown at A$13.10/share (EV ~A$8.9B). Casino + entertainment/hospitality. Casino licensing creates significant premium to pure venue multiple.</t>
  </si>
  <si>
    <t>Reference upper bound only; casino premium not applicable to The Bend</t>
  </si>
  <si>
    <t>ASM Global (AEG Fac. + SMG merger)</t>
  </si>
  <si>
    <t>AEG Facilities</t>
  </si>
  <si>
    <t>USA / Global</t>
  </si>
  <si>
    <t>Merger creating world's largest venue management company. Implied ~10x EBITDA on SMG component. Pure venue management business — highly relevant structural comp.</t>
  </si>
  <si>
    <t>Strong structural comp: professional venue management at scale</t>
  </si>
  <si>
    <t>House of Blues Entertainment</t>
  </si>
  <si>
    <t>Live Nation</t>
  </si>
  <si>
    <t>USA</t>
  </si>
  <si>
    <t>Live Nation acquisition of House of Blues mid-scale venue portfolio (1,000-2,500 capacity). Dated but the purest available mid-scale live music venue transaction comp.</t>
  </si>
  <si>
    <t>Most directly comparable asset type (mid-scale live music venues) — dated but directionally relevant</t>
  </si>
  <si>
    <t xml:space="preserve">Median Transaction Multiple </t>
  </si>
  <si>
    <t>FY (Financial Year): 1 July to 30 June
CY (Calendar Year): 1 January to 31 December
eg: FY 2028 ends on 30th June 2028 and CY 2028 ends on 31st Dec 2028.</t>
  </si>
  <si>
    <t>GLOBAL INPUTS</t>
  </si>
  <si>
    <t>THE BEND Live House: Financial Model</t>
  </si>
  <si>
    <t>Input</t>
  </si>
  <si>
    <t>1. PROJECT TIMING</t>
  </si>
  <si>
    <t>FORMAT LEGEND</t>
  </si>
  <si>
    <t>User Input</t>
  </si>
  <si>
    <t>Model Start Date</t>
  </si>
  <si>
    <t>Feb-2025 — Model commencement</t>
  </si>
  <si>
    <t>Formula/Link</t>
  </si>
  <si>
    <t>Model End Date</t>
  </si>
  <si>
    <t>May-2038 — 12-year horizon</t>
  </si>
  <si>
    <t>Section</t>
  </si>
  <si>
    <t>Model Duration</t>
  </si>
  <si>
    <t>Years</t>
  </si>
  <si>
    <t>Total projection period</t>
  </si>
  <si>
    <t>Sub-Section</t>
  </si>
  <si>
    <t>Australian Dollars</t>
  </si>
  <si>
    <t>Table Header</t>
  </si>
  <si>
    <t>Subtotal</t>
  </si>
  <si>
    <t>Lease Signing Date</t>
  </si>
  <si>
    <t>Dec-2026 — Triggers deposit payment</t>
  </si>
  <si>
    <t>Total</t>
  </si>
  <si>
    <t>Possession / Handover Date</t>
  </si>
  <si>
    <t>Jun-2027 — Site access begins</t>
  </si>
  <si>
    <t>Section Header</t>
  </si>
  <si>
    <t>Major Capex Start</t>
  </si>
  <si>
    <t>Feb-2027 — Fabrication begins</t>
  </si>
  <si>
    <t>Model Status:</t>
  </si>
  <si>
    <t>READY</t>
  </si>
  <si>
    <t>Major Capex End</t>
  </si>
  <si>
    <t>Jun-2027 — Fabrication complete</t>
  </si>
  <si>
    <t>Total/Subtotal</t>
  </si>
  <si>
    <t>Feb-2027 — On-site assembly</t>
  </si>
  <si>
    <t>Jun-2027 — Practical completion</t>
  </si>
  <si>
    <t>Commissioning Start</t>
  </si>
  <si>
    <t>Commissioning End</t>
  </si>
  <si>
    <t>Jul-2027 — First revenue month</t>
  </si>
  <si>
    <t>Target exit/valuation date</t>
  </si>
  <si>
    <t>2. LEASE ASSUMPTIONS</t>
  </si>
  <si>
    <t>Lease Commencement</t>
  </si>
  <si>
    <t>Matches Possession Date</t>
  </si>
  <si>
    <t>Lease Period</t>
  </si>
  <si>
    <t>Initial lease term</t>
  </si>
  <si>
    <t>Operational Months in Year 1</t>
  </si>
  <si>
    <t>Months</t>
  </si>
  <si>
    <t>Jul-Dec FY27</t>
  </si>
  <si>
    <t>Rent-Free Period</t>
  </si>
  <si>
    <t>Fitout/construction allowance</t>
  </si>
  <si>
    <t>Base Rent Rate</t>
  </si>
  <si>
    <t>$/m²/yr</t>
  </si>
  <si>
    <t>Per annum rate</t>
  </si>
  <si>
    <t>Plot Area</t>
  </si>
  <si>
    <t>m²</t>
  </si>
  <si>
    <t>Total leasable area</t>
  </si>
  <si>
    <t>Annual Base Rent (Yr 1)</t>
  </si>
  <si>
    <t>Formula</t>
  </si>
  <si>
    <t>Lease Deposit</t>
  </si>
  <si>
    <t>Equivalent to 1 year rent</t>
  </si>
  <si>
    <t>Rent Escalation</t>
  </si>
  <si>
    <t>% p.a.</t>
  </si>
  <si>
    <t>3.5% fixed annual increase</t>
  </si>
  <si>
    <t>% of rent</t>
  </si>
  <si>
    <t>15% additional outgoings</t>
  </si>
  <si>
    <t>Rent-Free End Date</t>
  </si>
  <si>
    <t>Lease Commencement + Rent-Free Period</t>
  </si>
  <si>
    <t>Rent Rebate Period</t>
  </si>
  <si>
    <t>48 months at reduced rent after rent-free ends</t>
  </si>
  <si>
    <t>Rent Rebate Multiplier</t>
  </si>
  <si>
    <t>50% of normal rent during rebate period</t>
  </si>
  <si>
    <t>Rent Rebate End Date</t>
  </si>
  <si>
    <t>Rent-Free End Date + Rebate Period</t>
  </si>
  <si>
    <t>Tenant Break Option</t>
  </si>
  <si>
    <t>Years from lease start</t>
  </si>
  <si>
    <t>Break Notice Period</t>
  </si>
  <si>
    <t>Required notice</t>
  </si>
  <si>
    <t>Renewal Option</t>
  </si>
  <si>
    <t>Extension available</t>
  </si>
  <si>
    <t>3. DEBT &amp; FINANCING</t>
  </si>
  <si>
    <t>FUNDING SUMMARY</t>
  </si>
  <si>
    <t>Amount (AUD)</t>
  </si>
  <si>
    <t>% of Total</t>
  </si>
  <si>
    <t>DEBT FACILITIES</t>
  </si>
  <si>
    <t>DEBT</t>
  </si>
  <si>
    <t>Working Capital Facility</t>
  </si>
  <si>
    <t>OTHER COMMITMENTS</t>
  </si>
  <si>
    <t>Lease Deposit / Rental Bond</t>
  </si>
  <si>
    <t>Subtotal Debt</t>
  </si>
  <si>
    <t>Subtotal Equity</t>
  </si>
  <si>
    <t>TOTAL FUNDING REQUIREMENT</t>
  </si>
  <si>
    <t>TOTAL FUNDING</t>
  </si>
  <si>
    <t>Total project funding requirement</t>
  </si>
  <si>
    <t>Term Debt (Bank)</t>
  </si>
  <si>
    <t>Interest Rate</t>
  </si>
  <si>
    <t>Bank rate</t>
  </si>
  <si>
    <t>Loan Term</t>
  </si>
  <si>
    <t>Amortisation period</t>
  </si>
  <si>
    <t>LTV Ratio</t>
  </si>
  <si>
    <t>% of capex</t>
  </si>
  <si>
    <t>Loan Principal</t>
  </si>
  <si>
    <t>LTV × Total Capex</t>
  </si>
  <si>
    <t>Repayment Type</t>
  </si>
  <si>
    <t>Amortising</t>
  </si>
  <si>
    <t>Equal principal repayments</t>
  </si>
  <si>
    <t>Draw Year</t>
  </si>
  <si>
    <t>Construction period</t>
  </si>
  <si>
    <t>Interest-Only Period</t>
  </si>
  <si>
    <t>Before amortisation starts</t>
  </si>
  <si>
    <t>Private Debt (PE Loan)</t>
  </si>
  <si>
    <t>LEGACY — INACTIVE (PE is now equity, see Equity section below)</t>
  </si>
  <si>
    <t>12% PE rate</t>
  </si>
  <si>
    <t>5-year term</t>
  </si>
  <si>
    <t>20% of capex</t>
  </si>
  <si>
    <t>WORKING CAPITAL FACILITY</t>
  </si>
  <si>
    <t>Pre-revenue operating cost facility — separate from term debt and equity (Wages &amp; Consulting costs)</t>
  </si>
  <si>
    <t>WC Facility Toggle</t>
  </si>
  <si>
    <t>On/Off</t>
  </si>
  <si>
    <t>1 = ON, 0 = OFF</t>
  </si>
  <si>
    <t>8.5% - higher than term debt (unsecured/current)</t>
  </si>
  <si>
    <t>Undrawn Commitment Fee</t>
  </si>
  <si>
    <t>1% on undrawn commitment</t>
  </si>
  <si>
    <t>Facility Start Date</t>
  </si>
  <si>
    <t>1-Nov-2026— facility available from FY27</t>
  </si>
  <si>
    <t>Last Draw Date</t>
  </si>
  <si>
    <t>30-Jun-2027 — last eligible draw (ops start)</t>
  </si>
  <si>
    <t>Repayment Start Date</t>
  </si>
  <si>
    <t>1-Jul-2027 — repayment begins at ops start</t>
  </si>
  <si>
    <t>Final Maturity Date</t>
  </si>
  <si>
    <t>30-Jun-2028 — clean-down within 12 months of ops</t>
  </si>
  <si>
    <t>Minimum Cash Threshold</t>
  </si>
  <si>
    <t>Minimum cash buffer - WC draws when cash falls below this</t>
  </si>
  <si>
    <t>Repayment Method</t>
  </si>
  <si>
    <t>Type</t>
  </si>
  <si>
    <t>Cash Sweep</t>
  </si>
  <si>
    <t>Cash Sweep or Scheduled</t>
  </si>
  <si>
    <t>Manual Facility Limit</t>
  </si>
  <si>
    <t>Manual limit override (if auto-sizing off)</t>
  </si>
  <si>
    <t>Auto-Size Facility Limit</t>
  </si>
  <si>
    <t>Toggle</t>
  </si>
  <si>
    <t>1 = auto-size to eligible uses, 0 = use manual limit</t>
  </si>
  <si>
    <t>Active Facility Limit</t>
  </si>
  <si>
    <t>=IF(E77=1,linked,E76) — populated later</t>
  </si>
  <si>
    <t>Interest Capitalisation Toggle</t>
  </si>
  <si>
    <t>0 = pay interest cash, 1 = capitalise to balance</t>
  </si>
  <si>
    <t>ELIGIBLE PRE-OP USE FLAGS</t>
  </si>
  <si>
    <t>4. EQUITY / SHARE CAPITAL</t>
  </si>
  <si>
    <t>PE is true share capital — NOT debt. It is not repaid, not amortised, and bears no interest. Equity funds the 20% loan deposit.</t>
  </si>
  <si>
    <t>Initial Cash Inflow through advances/deposits via Partnerships</t>
  </si>
  <si>
    <t>advances/deposits from Partnerships</t>
  </si>
  <si>
    <t>PE Equity Mode</t>
  </si>
  <si>
    <t>Controls how PE equity is calculated: 0 = enter a fixed dollar amount; 1 = auto-calculate as a % of total project cost (capex); 2 = % is for ownership reference only, enter amount separately. Default is Mode 1 (% of capex).</t>
  </si>
  <si>
    <t>PE Equity %</t>
  </si>
  <si>
    <t>PE's share of total project cost. Bank LTV + PE%  must = 100%. Currently: 60% bank + 40% PE + 10% initial advances + deposits= 100%.</t>
  </si>
  <si>
    <t>PE Equity Fixed Amount</t>
  </si>
  <si>
    <t>Only used when PE Equity Mode = 0 (fixed dollar). If Mode = 1 or 2, the model calculates the PE amount from the % above. This field is ignored unless Mode = 0.</t>
  </si>
  <si>
    <t>PE Equity Amount</t>
  </si>
  <si>
    <t>Auto-calculated PE equity amount based on the mode selected above. This is the actual PE cash injection that flows into the cashflow and balance sheet. PE equity is permanent — never repaid.</t>
  </si>
  <si>
    <t>Initial Capital +  Equity Funding</t>
  </si>
  <si>
    <t>Total equity = PE + tranches. Covers total project need (capex + lease deposit) minus bank debt. Bank + Equity = 100% of capex, plus equity covers lease deposit.</t>
  </si>
  <si>
    <t>Bank Debt % of Total Capex</t>
  </si>
  <si>
    <t>Link</t>
  </si>
  <si>
    <t>Linked from Term Debt LTV above. Shows bank debt as % of total capex for cross-reference. Bank funds the remaining balance after equity.</t>
  </si>
  <si>
    <t>Required Loan Deposit / Equity Contribution %</t>
  </si>
  <si>
    <t>Lender requires this % of total capex as upfront equity (deposit) before releasing debt. Funded from total equity.</t>
  </si>
  <si>
    <t>Required Deposit Amount</t>
  </si>
  <si>
    <t xml:space="preserve">Formula: Deposit % × Total Capex. This is the minimum equity the bank needs to see committed before it will drawdown the loan. </t>
  </si>
  <si>
    <t>Equity Injection Timing</t>
  </si>
  <si>
    <t>Controls WHEN each equity source enters the cashflow. Equity only appears in the period specified below.</t>
  </si>
  <si>
    <t>Capital Injection Year</t>
  </si>
  <si>
    <t>Equity injects in FY26 (pre-construction) to meet the bank's deposit requirement before the FY27 construction debt drawdown.</t>
  </si>
  <si>
    <t>Additional Equity Tranche 1 Amount</t>
  </si>
  <si>
    <t>Reserved for future use — if additional equity is needed (e.g. cost overruns, new investor). Set to $0 by default. Change the amount and timing to activate.</t>
  </si>
  <si>
    <t>Additional Equity Tranche 1 Timing</t>
  </si>
  <si>
    <t>Year tranche 1 would be injected. Only active if the amount above is &gt; $0.</t>
  </si>
  <si>
    <t>Additional Equity Tranche 2 Amount</t>
  </si>
  <si>
    <t>Second reserve tranche for future flexibility. Set to $0 by default. Same logic as Tranche 1.</t>
  </si>
  <si>
    <t>Additional Equity Tranche 2 Timing</t>
  </si>
  <si>
    <t>Year tranche 2 would be injected. Only active if the amount above is &gt; $0.</t>
  </si>
  <si>
    <t>PE equity injects in FY27 alongside the bank debt drawdown during the construction year. PE funds are permanent share capital — no repayment schedule.</t>
  </si>
  <si>
    <t>Future flexibility: if set to 1 (ON), PE would be treated as a shareholder loan (with repayment). Currently OFF — PE is pure equity with no debt characteristics. Do not change without building a separate loan schedule.</t>
  </si>
  <si>
    <t>Management / Other Equity</t>
  </si>
  <si>
    <t>Optional — for future management equity participation, employee equity schemes, or other co-investors. Set to $0 by default.</t>
  </si>
  <si>
    <t>Management / Other Equity Timing</t>
  </si>
  <si>
    <t>Year management/other equity would be injected. Only active if the amount above is &gt; $0.</t>
  </si>
  <si>
    <t>Bank Covenants</t>
  </si>
  <si>
    <t>Debt service coverage</t>
  </si>
  <si>
    <t>Interest coverage</t>
  </si>
  <si>
    <t>Maximum Net Leverage</t>
  </si>
  <si>
    <t>Net Debt / EBITDA</t>
  </si>
  <si>
    <t>Equity Timing</t>
  </si>
  <si>
    <t>Equity Draw Year</t>
  </si>
  <si>
    <t>Year equity is received (end of FY)</t>
  </si>
  <si>
    <t>4. CAPITAL EXPENDITURE</t>
  </si>
  <si>
    <t>Consultants</t>
  </si>
  <si>
    <t>from Construction timeline tab: do not edit here</t>
  </si>
  <si>
    <t>Project management, surveys, design</t>
  </si>
  <si>
    <t>Structure</t>
  </si>
  <si>
    <t>Building structure &amp; shell</t>
  </si>
  <si>
    <t>Civil</t>
  </si>
  <si>
    <t>Site works &amp; foundations</t>
  </si>
  <si>
    <t>ICT</t>
  </si>
  <si>
    <t>IT infrastructure</t>
  </si>
  <si>
    <t>FF&amp;E</t>
  </si>
  <si>
    <t>Furniture, fixtures &amp; equipment</t>
  </si>
  <si>
    <t>Services</t>
  </si>
  <si>
    <t>MEP &amp; specialist services</t>
  </si>
  <si>
    <t>Security</t>
  </si>
  <si>
    <t>Security systems</t>
  </si>
  <si>
    <t>Finance Costs</t>
  </si>
  <si>
    <t>Arrangement fees</t>
  </si>
  <si>
    <t>Customs</t>
  </si>
  <si>
    <t>Customs Taxe on Structure import</t>
  </si>
  <si>
    <t>Miscellaneous / Contingency</t>
  </si>
  <si>
    <t>Contingency</t>
  </si>
  <si>
    <t>Total Construction Capex</t>
  </si>
  <si>
    <t>Construction Risk Factors</t>
  </si>
  <si>
    <t>Contingency %</t>
  </si>
  <si>
    <t>% of Capex</t>
  </si>
  <si>
    <t>10% standard allowance</t>
  </si>
  <si>
    <t>Cost Overrun Allowance</t>
  </si>
  <si>
    <t>5% buffer</t>
  </si>
  <si>
    <t>Retention Holdback</t>
  </si>
  <si>
    <t>Held until defects clear</t>
  </si>
  <si>
    <t>Defects Liability Period</t>
  </si>
  <si>
    <t>Post-completion</t>
  </si>
  <si>
    <t>IDC Rate</t>
  </si>
  <si>
    <t>Interest during construction</t>
  </si>
  <si>
    <t>Capex Phasing</t>
  </si>
  <si>
    <t>FY26 Capex %</t>
  </si>
  <si>
    <t>Percentage of construction capex spent in FY26</t>
  </si>
  <si>
    <t>Breakup of Construction costs</t>
  </si>
  <si>
    <t>CONSULTANTS</t>
  </si>
  <si>
    <t xml:space="preserve">Project Management </t>
  </si>
  <si>
    <t>Building Surveyor</t>
  </si>
  <si>
    <t>Acoustics</t>
  </si>
  <si>
    <t>Fire</t>
  </si>
  <si>
    <t>Licensing</t>
  </si>
  <si>
    <t xml:space="preserve">Crowd Dynamics </t>
  </si>
  <si>
    <t>Environmental</t>
  </si>
  <si>
    <t>Architecture and ID</t>
  </si>
  <si>
    <t>Branding</t>
  </si>
  <si>
    <t xml:space="preserve">Engineering </t>
  </si>
  <si>
    <t>Transportation</t>
  </si>
  <si>
    <t xml:space="preserve">Total initial capex for Consultants </t>
  </si>
  <si>
    <t>STRUCTURE</t>
  </si>
  <si>
    <t>Performance area</t>
  </si>
  <si>
    <t>Venue Façade (inc Lighting)</t>
  </si>
  <si>
    <t>Concessions</t>
  </si>
  <si>
    <t>BoH Dressing Rooms</t>
  </si>
  <si>
    <t>Venue Management Offices</t>
  </si>
  <si>
    <t xml:space="preserve">Toilets </t>
  </si>
  <si>
    <t xml:space="preserve">Premium </t>
  </si>
  <si>
    <t xml:space="preserve">First Aid </t>
  </si>
  <si>
    <t>Storage Block &amp; Workshop</t>
  </si>
  <si>
    <t>CIVIL</t>
  </si>
  <si>
    <t xml:space="preserve">Sewer Connections </t>
  </si>
  <si>
    <t>Site base/hardstand                </t>
  </si>
  <si>
    <t xml:space="preserve">Internal External Fencing </t>
  </si>
  <si>
    <t>Bin wash</t>
  </si>
  <si>
    <t>External greenscape</t>
  </si>
  <si>
    <t>Internal and external floor</t>
  </si>
  <si>
    <t>Site drainage</t>
  </si>
  <si>
    <t>Induction platform (lease)</t>
  </si>
  <si>
    <t>Wifi (public and LAN)</t>
  </si>
  <si>
    <t xml:space="preserve">Website </t>
  </si>
  <si>
    <t>Socials collateral</t>
  </si>
  <si>
    <t>Venue Management Venue Ops initial set up(lease)</t>
  </si>
  <si>
    <t>POS Equipment and set up</t>
  </si>
  <si>
    <t>BMS (lease)</t>
  </si>
  <si>
    <t xml:space="preserve">Access Control </t>
  </si>
  <si>
    <t>Ticketing (Supplier)        </t>
  </si>
  <si>
    <t>Venue telephone system (VoIP)</t>
  </si>
  <si>
    <t>Venue Servers</t>
  </si>
  <si>
    <t xml:space="preserve">Rigging </t>
  </si>
  <si>
    <t>3T motors and controllers</t>
  </si>
  <si>
    <t xml:space="preserve">Truss </t>
  </si>
  <si>
    <t xml:space="preserve">motor controllers </t>
  </si>
  <si>
    <t xml:space="preserve">Consoles </t>
  </si>
  <si>
    <t>House sound system</t>
  </si>
  <si>
    <t>Stage</t>
  </si>
  <si>
    <t>Barrier</t>
  </si>
  <si>
    <t>DB's</t>
  </si>
  <si>
    <t>Cables and fittings                </t>
  </si>
  <si>
    <t xml:space="preserve">Forklift </t>
  </si>
  <si>
    <t>MWEP</t>
  </si>
  <si>
    <t>Portable Scaffold tower         </t>
  </si>
  <si>
    <t>Reduced mode curtians</t>
  </si>
  <si>
    <t>Signage</t>
  </si>
  <si>
    <t>Retractables</t>
  </si>
  <si>
    <t xml:space="preserve">C&amp;B seating and tables </t>
  </si>
  <si>
    <t>Loose Seating</t>
  </si>
  <si>
    <t xml:space="preserve">Seat Numbering </t>
  </si>
  <si>
    <t>UV/Blacklights</t>
  </si>
  <si>
    <t>Staff office furiniture</t>
  </si>
  <si>
    <t>Storage shelving</t>
  </si>
  <si>
    <t>Internal LED Screen (TV's)</t>
  </si>
  <si>
    <t>Internal LED wall</t>
  </si>
  <si>
    <t>Outdoor LED wall</t>
  </si>
  <si>
    <t>Outdoor furniture</t>
  </si>
  <si>
    <t>Rain water detention tanks</t>
  </si>
  <si>
    <t>Solar roof</t>
  </si>
  <si>
    <t>SERVICES</t>
  </si>
  <si>
    <t>Mechanical plant                </t>
  </si>
  <si>
    <t>AHU's                 </t>
  </si>
  <si>
    <t>Fire system                 </t>
  </si>
  <si>
    <t>House Lighting</t>
  </si>
  <si>
    <t>Emergency Lighting</t>
  </si>
  <si>
    <t>UPS                 </t>
  </si>
  <si>
    <t>Accoustic treament</t>
  </si>
  <si>
    <t>Internal Distribution System and Boards</t>
  </si>
  <si>
    <t>External façade LED aspect lighting</t>
  </si>
  <si>
    <t xml:space="preserve">External Lighting </t>
  </si>
  <si>
    <t>SECURITY</t>
  </si>
  <si>
    <t>CCTV</t>
  </si>
  <si>
    <t>Access Control</t>
  </si>
  <si>
    <t xml:space="preserve">Open Gates </t>
  </si>
  <si>
    <t>MISCELLANEOUS</t>
  </si>
  <si>
    <t>CUSTOMS</t>
  </si>
  <si>
    <t>Import from Portugal</t>
  </si>
  <si>
    <t>Import from Thailand</t>
  </si>
  <si>
    <t>Import from Malaysia</t>
  </si>
  <si>
    <t>5. VENUE CAPACITY</t>
  </si>
  <si>
    <t>pax</t>
  </si>
  <si>
    <t>Maximum capacity</t>
  </si>
  <si>
    <t>Mid-size config</t>
  </si>
  <si>
    <t>Intimate shows</t>
  </si>
  <si>
    <t>EDM / Dance</t>
  </si>
  <si>
    <t>Electronic events</t>
  </si>
  <si>
    <t>Music (Seated)</t>
  </si>
  <si>
    <t>Seated concerts</t>
  </si>
  <si>
    <t>Comedy (Seated)</t>
  </si>
  <si>
    <t>Comedy shows</t>
  </si>
  <si>
    <t>Sports</t>
  </si>
  <si>
    <t>Sports events</t>
  </si>
  <si>
    <t>Corporate/conferences</t>
  </si>
  <si>
    <t>Community events</t>
  </si>
  <si>
    <t>Broadcast viewing</t>
  </si>
  <si>
    <t>Farmers Market</t>
  </si>
  <si>
    <t>Markets &amp; fairs</t>
  </si>
  <si>
    <t>Base Event Days (Annual)</t>
  </si>
  <si>
    <t>FY28 baseline</t>
  </si>
  <si>
    <t>Event Days at Maturity</t>
  </si>
  <si>
    <t>FY32+ target</t>
  </si>
  <si>
    <t>6. REVENUE ASSUMPTIONS</t>
  </si>
  <si>
    <t>Ticketing Revenue</t>
  </si>
  <si>
    <t>VHA GBO Fee (% of GBO)</t>
  </si>
  <si>
    <t>13% venue hire fee on GBO</t>
  </si>
  <si>
    <t>VHA Cap (% of GBO)</t>
  </si>
  <si>
    <t>20% maximum cap (if applicable)</t>
  </si>
  <si>
    <t>Avg Ticket Price — Music GA (Large)</t>
  </si>
  <si>
    <t>Base year FY28</t>
  </si>
  <si>
    <t>Avg Ticket Price — Music GA (Med)</t>
  </si>
  <si>
    <t>Avg Ticket Price — Music GA (Small)</t>
  </si>
  <si>
    <t>Avg Ticket Price — EDM</t>
  </si>
  <si>
    <t>Avg Ticket Price — Seated Events</t>
  </si>
  <si>
    <t>Music/Comedy/Sports</t>
  </si>
  <si>
    <t>Ticket Price Escalation</t>
  </si>
  <si>
    <t>3% annual increase</t>
  </si>
  <si>
    <t>MICE EDM SPORTS COMEDY MUSIC (seated) (Flat Fee / Event)</t>
  </si>
  <si>
    <t>Non-ticketed corporate events</t>
  </si>
  <si>
    <t>VHA Flat Fee (Ticketed Events) MUSIC GA LARGE</t>
  </si>
  <si>
    <t>Minimum flat fee for ticketed events</t>
  </si>
  <si>
    <t>VHA Flat Fee (Ticketed Events) MUSIC GA MEDIUM</t>
  </si>
  <si>
    <t>VHA Flat Fee (Ticketed Events) MUSIC GA SMALL</t>
  </si>
  <si>
    <t>Community Flat Fee / Event</t>
  </si>
  <si>
    <t>Live Site Flat Fee / Event</t>
  </si>
  <si>
    <t>Farmers Market Fee / Event</t>
  </si>
  <si>
    <t>GST Rate</t>
  </si>
  <si>
    <t>GST Tax rate</t>
  </si>
  <si>
    <t>Food &amp; Beverage Revenue</t>
  </si>
  <si>
    <t>GA F&amp;B Spend / Head — Music</t>
  </si>
  <si>
    <t>Average per patron</t>
  </si>
  <si>
    <t>GA F&amp;B Spend / Head — EDM</t>
  </si>
  <si>
    <t>Higher for dance events</t>
  </si>
  <si>
    <t>GA F&amp;B Spend / Head — MICE</t>
  </si>
  <si>
    <t>Corporate catering</t>
  </si>
  <si>
    <t>GA F&amp;B Spend / Head — Live Site</t>
  </si>
  <si>
    <t>Extended viewing</t>
  </si>
  <si>
    <t>GA F&amp;B Spend / Head — Sports</t>
  </si>
  <si>
    <t>GA F&amp;B Spend / Head — Music (Seated) &amp; Comedy (Seated)</t>
  </si>
  <si>
    <t>GA F&amp;B Spend / Head — Farmer's Market &amp; Community</t>
  </si>
  <si>
    <t>Light spend</t>
  </si>
  <si>
    <t>F&amp;B Price Escalation</t>
  </si>
  <si>
    <t>Premium Seats per Event</t>
  </si>
  <si>
    <t>seats</t>
  </si>
  <si>
    <t>VIP allocation</t>
  </si>
  <si>
    <t>VIP Premium Markup</t>
  </si>
  <si>
    <t>Premium price multiplier</t>
  </si>
  <si>
    <t>Partnership &amp; Sponsorship Revenue</t>
  </si>
  <si>
    <t>Naming Rights (Year 1)</t>
  </si>
  <si>
    <t>5-year contract</t>
  </si>
  <si>
    <t>Ticketing Partnership</t>
  </si>
  <si>
    <t>Ride Share Partner</t>
  </si>
  <si>
    <t>Tech Partners</t>
  </si>
  <si>
    <t>Electronics, utilities</t>
  </si>
  <si>
    <t>Supply Rights — Food</t>
  </si>
  <si>
    <t>Grab &amp; Go</t>
  </si>
  <si>
    <t>Supply Rights — Alcohol</t>
  </si>
  <si>
    <t>Beer, wine, spirits</t>
  </si>
  <si>
    <t>Supply Rights — Non-Alc</t>
  </si>
  <si>
    <t>Soft drinks</t>
  </si>
  <si>
    <t>Supply Rights — Energy</t>
  </si>
  <si>
    <t>Energy drinks</t>
  </si>
  <si>
    <t>Super Sign LED</t>
  </si>
  <si>
    <t>External signage</t>
  </si>
  <si>
    <t>Internal Advertising</t>
  </si>
  <si>
    <t>In-venue ads</t>
  </si>
  <si>
    <t>Sponsorship Escalation</t>
  </si>
  <si>
    <t>2.5% annual</t>
  </si>
  <si>
    <t>Sales commission</t>
  </si>
  <si>
    <t>Activation costs</t>
  </si>
  <si>
    <t>Additional Revenue Inputs</t>
  </si>
  <si>
    <t>Equipment Hire Fee - LED (per event)</t>
  </si>
  <si>
    <t>LED screen hire per event day</t>
  </si>
  <si>
    <t>Equipment Hire Fee - Sound (per event)</t>
  </si>
  <si>
    <t>Sound system hire per event day</t>
  </si>
  <si>
    <t>Merchandise Revenue per Attendee</t>
  </si>
  <si>
    <t>Average merchandise spend per patron</t>
  </si>
  <si>
    <t>Facilities Fee per Event</t>
  </si>
  <si>
    <t>Facilities fee charged per event</t>
  </si>
  <si>
    <t>Could be a typo?</t>
  </si>
  <si>
    <t>Facilities Fee Escalation</t>
  </si>
  <si>
    <t>Annual facilities fee increase</t>
  </si>
  <si>
    <t>7. OPERATING EXPENSES</t>
  </si>
  <si>
    <t>Role</t>
  </si>
  <si>
    <t>FTE</t>
  </si>
  <si>
    <t>Salary (AUD)</t>
  </si>
  <si>
    <t>On-Costs %</t>
  </si>
  <si>
    <t>General Manager</t>
  </si>
  <si>
    <t>Senior leadership</t>
  </si>
  <si>
    <t>Venue EA</t>
  </si>
  <si>
    <t>Venue Manager</t>
  </si>
  <si>
    <t>Events Manager</t>
  </si>
  <si>
    <t>Booking Manager</t>
  </si>
  <si>
    <t>Operations Manager</t>
  </si>
  <si>
    <t>Operations Staff</t>
  </si>
  <si>
    <t>4 FTE @ $65k each</t>
  </si>
  <si>
    <t>Marketing &amp; Digital Manager</t>
  </si>
  <si>
    <t>F&amp;B Manager</t>
  </si>
  <si>
    <t>Finance Manager</t>
  </si>
  <si>
    <t>Finance Administrator</t>
  </si>
  <si>
    <t>Ticketing Manager</t>
  </si>
  <si>
    <t>Salary Escalation</t>
  </si>
  <si>
    <t>3.1% annual increase</t>
  </si>
  <si>
    <t>PreOperating Expenses - Other than Salary</t>
  </si>
  <si>
    <t>Legal (from WC block above)</t>
  </si>
  <si>
    <t>Marketing/PR (from WC block above)</t>
  </si>
  <si>
    <t>Casual Labour (Event Days)</t>
  </si>
  <si>
    <t>Casual Staff per Event</t>
  </si>
  <si>
    <t>staff</t>
  </si>
  <si>
    <t>Average per event</t>
  </si>
  <si>
    <t>Weighted Avg Hourly Rate</t>
  </si>
  <si>
    <t>AUD/hr</t>
  </si>
  <si>
    <t>Blended rate</t>
  </si>
  <si>
    <t>Shift Length</t>
  </si>
  <si>
    <t>hours</t>
  </si>
  <si>
    <t>Standard shift</t>
  </si>
  <si>
    <t>Fixed Operating Costs (Annual)</t>
  </si>
  <si>
    <t>All equipment types</t>
  </si>
  <si>
    <t>R&amp;M</t>
  </si>
  <si>
    <t>EMP and F&amp;B R&amp;M</t>
  </si>
  <si>
    <t>Power, water, gas</t>
  </si>
  <si>
    <t>Brand &amp; promotion</t>
  </si>
  <si>
    <t>All coverage</t>
  </si>
  <si>
    <t>Administrative / Legal</t>
  </si>
  <si>
    <t>Professional fees</t>
  </si>
  <si>
    <t>Travel &amp; entertainment</t>
  </si>
  <si>
    <t>Licenses &amp; Permits</t>
  </si>
  <si>
    <t>Operating licenses</t>
  </si>
  <si>
    <t>External audit</t>
  </si>
  <si>
    <t>OH&amp;S compliance</t>
  </si>
  <si>
    <t>Pest Control</t>
  </si>
  <si>
    <t>All security services</t>
  </si>
  <si>
    <t>Cleaning &amp; Waste</t>
  </si>
  <si>
    <t>Non-event cleaning</t>
  </si>
  <si>
    <t>Subscriptions</t>
  </si>
  <si>
    <t>Software &amp; services</t>
  </si>
  <si>
    <t>Repairs and Maintenance Breakup</t>
  </si>
  <si>
    <t>Sound System</t>
  </si>
  <si>
    <t xml:space="preserve">Basic Production Ligthing </t>
  </si>
  <si>
    <t>Rigging</t>
  </si>
  <si>
    <t>Sound LED Wall</t>
  </si>
  <si>
    <t>Venue Pro</t>
  </si>
  <si>
    <t>CSM</t>
  </si>
  <si>
    <t>Photocopier (x2)</t>
  </si>
  <si>
    <t>BMS</t>
  </si>
  <si>
    <t>Induction system</t>
  </si>
  <si>
    <t>CRM</t>
  </si>
  <si>
    <t>POS</t>
  </si>
  <si>
    <t xml:space="preserve">Man Guarding </t>
  </si>
  <si>
    <t xml:space="preserve">Core Cleaning and Waste </t>
  </si>
  <si>
    <t xml:space="preserve">Electricty </t>
  </si>
  <si>
    <t>Water</t>
  </si>
  <si>
    <t>Sewer</t>
  </si>
  <si>
    <t>BroadBand</t>
  </si>
  <si>
    <t>Legal</t>
  </si>
  <si>
    <t xml:space="preserve">General Consultants </t>
  </si>
  <si>
    <t xml:space="preserve">Marketing </t>
  </si>
  <si>
    <t>Car Park (x20)</t>
  </si>
  <si>
    <t>Health &amp; Safety (Casual Staff)</t>
  </si>
  <si>
    <t xml:space="preserve">Payroll Processing </t>
  </si>
  <si>
    <t>Audit Fees</t>
  </si>
  <si>
    <t xml:space="preserve">Licenses &amp; Permits </t>
  </si>
  <si>
    <t xml:space="preserve">Uniforms </t>
  </si>
  <si>
    <t>Subs</t>
  </si>
  <si>
    <t xml:space="preserve">Insurance </t>
  </si>
  <si>
    <t xml:space="preserve">Electrical </t>
  </si>
  <si>
    <t>Plumbing</t>
  </si>
  <si>
    <t>Mechanical</t>
  </si>
  <si>
    <t>Landscape</t>
  </si>
  <si>
    <t>Admin</t>
  </si>
  <si>
    <t>F&amp;B RM</t>
  </si>
  <si>
    <t>Washroom consumables</t>
  </si>
  <si>
    <t>Variable / Percentage-Based Costs</t>
  </si>
  <si>
    <t>% of revenue</t>
  </si>
  <si>
    <t>0.5% provision</t>
  </si>
  <si>
    <t>% of payroll</t>
  </si>
  <si>
    <t>1% of wages</t>
  </si>
  <si>
    <t>Growth Capex</t>
  </si>
  <si>
    <t>2% maintenance capex</t>
  </si>
  <si>
    <t>Cost of Goods Sold (COGS)</t>
  </si>
  <si>
    <t>License Fee % on Revenue</t>
  </si>
  <si>
    <t>1% of Total Revenue</t>
  </si>
  <si>
    <t>F&amp;B COGS %</t>
  </si>
  <si>
    <t>Industry standard 28-35%</t>
  </si>
  <si>
    <t>License Fee % on EBITDA</t>
  </si>
  <si>
    <t>3% of EBITDA</t>
  </si>
  <si>
    <t>Consumables %</t>
  </si>
  <si>
    <t>Napkins, cups, etc.</t>
  </si>
  <si>
    <t>Annual Cap</t>
  </si>
  <si>
    <t>$1,000,000</t>
  </si>
  <si>
    <t>Maximum fee per annum</t>
  </si>
  <si>
    <t>Merchandise COGS %</t>
  </si>
  <si>
    <t>T-shirts, memorabilia</t>
  </si>
  <si>
    <t>Cumulative Cap</t>
  </si>
  <si>
    <t>$10,000,000</t>
  </si>
  <si>
    <t>Maximum total fee payable</t>
  </si>
  <si>
    <t>8. VALUATION INPUTS</t>
  </si>
  <si>
    <t>Valuation Parameters</t>
  </si>
  <si>
    <t>Weighted Average Cost of Capital</t>
  </si>
  <si>
    <t>Required return on equity</t>
  </si>
  <si>
    <t>Pre-tax cost of debt</t>
  </si>
  <si>
    <t>Australian company tax rate</t>
  </si>
  <si>
    <t>Comparable / market-based multiple</t>
  </si>
  <si>
    <t>Text</t>
  </si>
  <si>
    <t>EBITDA Multiple</t>
  </si>
  <si>
    <t>Valuation method: EBITDA Multiple, DCF, Cap Rate</t>
  </si>
  <si>
    <t>Mid-year Convention</t>
  </si>
  <si>
    <t>Yes/No</t>
  </si>
  <si>
    <t>No</t>
  </si>
  <si>
    <t>If Yes, discount by (t-0.5)</t>
  </si>
  <si>
    <t>Dividend Payout Ratio</t>
  </si>
  <si>
    <t>Target dividend distribution</t>
  </si>
  <si>
    <t>Terminal Growth Rate</t>
  </si>
  <si>
    <t>Long-term growth assumption</t>
  </si>
  <si>
    <t xml:space="preserve">Hard-coded: 6.5% historical equity premium </t>
  </si>
  <si>
    <t>Government 10Y bond proxy</t>
  </si>
  <si>
    <t>9. SCENARIO INPUTS</t>
  </si>
  <si>
    <t>Entertainment/Venue sector</t>
  </si>
  <si>
    <t>Select: Base, Optimistic, Pessimistic, etc.</t>
  </si>
  <si>
    <t>Scenario Multipliers</t>
  </si>
  <si>
    <t>Revenue Multiplier</t>
  </si>
  <si>
    <t>Base case = 1.0</t>
  </si>
  <si>
    <t>Cost Multiplier</t>
  </si>
  <si>
    <t>Capex Multiplier</t>
  </si>
  <si>
    <t>Inflation Multiplier</t>
  </si>
  <si>
    <t>Event Days Multiplier</t>
  </si>
  <si>
    <t>Opening Delay</t>
  </si>
  <si>
    <t>months</t>
  </si>
  <si>
    <t>Delay to operations start</t>
  </si>
  <si>
    <t>Interest Rate Delta</t>
  </si>
  <si>
    <t>bps</t>
  </si>
  <si>
    <t>Basis point change to rates</t>
  </si>
  <si>
    <t>Sensitivity Overrides</t>
  </si>
  <si>
    <t>Event Days Override</t>
  </si>
  <si>
    <t>Fine-tune event days</t>
  </si>
  <si>
    <t>Avg Rev/Event Override</t>
  </si>
  <si>
    <t>Fine-tune revenue per event</t>
  </si>
  <si>
    <t>Non-event Rev Override</t>
  </si>
  <si>
    <t>Fine-tune sponsorship/advertising</t>
  </si>
  <si>
    <t>Lease Cost Override</t>
  </si>
  <si>
    <t>Fine-tune lease costs</t>
  </si>
  <si>
    <t>WACC Override</t>
  </si>
  <si>
    <t>Fine-tune discount rate</t>
  </si>
  <si>
    <t>Exit Multiple Override</t>
  </si>
  <si>
    <t>Fine-tune exit multiple</t>
  </si>
  <si>
    <t>Construction &amp; Depreciation Inputs</t>
  </si>
  <si>
    <t>LINKED TO E116 (Primary)</t>
  </si>
  <si>
    <t>IDC Rate (annual)</t>
  </si>
  <si>
    <t>Interest During Construction rate</t>
  </si>
  <si>
    <t>Useful Life (years)</t>
  </si>
  <si>
    <t>years</t>
  </si>
  <si>
    <t>Depreciation period for fixed assets</t>
  </si>
  <si>
    <t>LINKED TO E460 (Primary)</t>
  </si>
  <si>
    <t>10. WORKING CAPITAL &amp; TIMING</t>
  </si>
  <si>
    <t>Accounts Receivable Days</t>
  </si>
  <si>
    <t>Collection period</t>
  </si>
  <si>
    <t>Accounts Payable Days</t>
  </si>
  <si>
    <t>Payment period</t>
  </si>
  <si>
    <t>Inventory Days</t>
  </si>
  <si>
    <t>Service business - minimal inventory</t>
  </si>
  <si>
    <t>Minimum Cash Balance</t>
  </si>
  <si>
    <t>Minimum operating cash</t>
  </si>
  <si>
    <t>Interest Only Period</t>
  </si>
  <si>
    <t>CPI Inflation Rate</t>
  </si>
  <si>
    <t>General price escalation</t>
  </si>
  <si>
    <t>LINKED TO E385 (Primary)</t>
  </si>
  <si>
    <t>Utilities Escalation</t>
  </si>
  <si>
    <t>Insurance Escalation</t>
  </si>
  <si>
    <t>Insurance cost increase</t>
  </si>
  <si>
    <t>LINKED TO E35 (Primary) - Lease rent escalation</t>
  </si>
  <si>
    <t>LINKED TO E315 (Primary)</t>
  </si>
  <si>
    <t>Food &amp; beverage price increase</t>
  </si>
  <si>
    <t>LINKED TO E144 (Primary)</t>
  </si>
  <si>
    <t>14. PERMITS &amp; REGULATORY</t>
  </si>
  <si>
    <t>Liquor License Annual</t>
  </si>
  <si>
    <t>Annual liquor license fee</t>
  </si>
  <si>
    <t>Council Permits</t>
  </si>
  <si>
    <t>Annual council fees</t>
  </si>
  <si>
    <t>Fire Safety Compliance</t>
  </si>
  <si>
    <t>Annual fire safety audit</t>
  </si>
  <si>
    <t>Music License (APRA/PPCA)</t>
  </si>
  <si>
    <t>Music performance rights</t>
  </si>
  <si>
    <t>Health &amp; Safety Audit</t>
  </si>
  <si>
    <t>Annual OH&amp;S compliance</t>
  </si>
  <si>
    <t>15. LEASE DEPOSIT</t>
  </si>
  <si>
    <t>Deposit Return Date</t>
  </si>
  <si>
    <t>date</t>
  </si>
  <si>
    <t>End of Lease</t>
  </si>
  <si>
    <t>When deposit is returned</t>
  </si>
  <si>
    <t>18. DEBT COVENANTS</t>
  </si>
  <si>
    <t>Minimum DSCR Covenant</t>
  </si>
  <si>
    <t>Debt Service Coverage Ratio requirement</t>
  </si>
  <si>
    <t>Minimum ICR Covenant</t>
  </si>
  <si>
    <t>Interest Coverage Ratio requirement</t>
  </si>
  <si>
    <t>Maximum Net Debt/EBITDA allowed</t>
  </si>
  <si>
    <t>19. CALENDAR ASSUMPTIONS - EVENT DAYS</t>
  </si>
  <si>
    <t>Base Days (Ramp-Up)</t>
  </si>
  <si>
    <t>Steady State Days</t>
  </si>
  <si>
    <t>Large concerts</t>
  </si>
  <si>
    <t>Medium concerts</t>
  </si>
  <si>
    <t>Small/intimate shows</t>
  </si>
  <si>
    <t>Electronic/dance events</t>
  </si>
  <si>
    <t>Seated music events</t>
  </si>
  <si>
    <t>Meetings/conferences</t>
  </si>
  <si>
    <t>Live site activations</t>
  </si>
  <si>
    <t>Farmers market days</t>
  </si>
  <si>
    <t>Tech Partners (Electronics, Utilities, Solar)</t>
  </si>
  <si>
    <t>Partnership revenue - Tech Partners</t>
  </si>
  <si>
    <t>Total Event days</t>
  </si>
  <si>
    <t>20. CALENDAR ASSUMPTIONS - VENUE CAPACITIES</t>
  </si>
  <si>
    <t>Persons</t>
  </si>
  <si>
    <t>Maximum venue capacity for large GA events</t>
  </si>
  <si>
    <t>Medium capacity configuration</t>
  </si>
  <si>
    <t>Small/intimate event configuration</t>
  </si>
  <si>
    <t>Electronic dance music events</t>
  </si>
  <si>
    <t>Seated concert configuration</t>
  </si>
  <si>
    <t>Comedy show configuration</t>
  </si>
  <si>
    <t>Sporting events</t>
  </si>
  <si>
    <t>Meetings, Incentives, Conferences, Exhibitions</t>
  </si>
  <si>
    <t>Live site broadcasts</t>
  </si>
  <si>
    <t>Weekly farmers market</t>
  </si>
  <si>
    <t>21. CALENDAR ASSUMPTIONS - AUX DAYS (BASE &amp; STEADY STATE)</t>
  </si>
  <si>
    <t>Base Aux Days</t>
  </si>
  <si>
    <t>SS Aux Days</t>
  </si>
  <si>
    <t>Aux days for large music events</t>
  </si>
  <si>
    <t>Aux days for medium music events</t>
  </si>
  <si>
    <t>Aux days for small music events</t>
  </si>
  <si>
    <t>Aux days for EDM events</t>
  </si>
  <si>
    <t>Aux days for seated music</t>
  </si>
  <si>
    <t>Aux days for comedy shows</t>
  </si>
  <si>
    <t>Aux days for sporting events</t>
  </si>
  <si>
    <t>Aux days for corporate events</t>
  </si>
  <si>
    <t>Aux days for community events</t>
  </si>
  <si>
    <t>Aux days for live site broadcasts</t>
  </si>
  <si>
    <t>Aux days for farmers market</t>
  </si>
  <si>
    <t>22. CALENDAR ASSUMPTIONS - GA TICKET OCCUPANCY RATES</t>
  </si>
  <si>
    <t>Avg Occupancy %</t>
  </si>
  <si>
    <t>80% average fill rate</t>
  </si>
  <si>
    <t>90% average fill rate</t>
  </si>
  <si>
    <t>70% average fill rate</t>
  </si>
  <si>
    <t>100% (free entry)</t>
  </si>
  <si>
    <t>23. CALENDAR ASSUMPTIONS - PREMIUM TICKETS CONFIG</t>
  </si>
  <si>
    <t>Premium Seats</t>
  </si>
  <si>
    <t>Avg Fill Rate %</t>
  </si>
  <si>
    <t>Premium/VIP seating</t>
  </si>
  <si>
    <t>No premium for corporate</t>
  </si>
  <si>
    <t>No premium for community</t>
  </si>
  <si>
    <t>No premium for live site</t>
  </si>
  <si>
    <t>No premium for market</t>
  </si>
  <si>
    <t>24. CALENDAR ASSUMPTIONS - EQUIPMENT HIRE (LED USAGE)</t>
  </si>
  <si>
    <t>LED Usage Rate %</t>
  </si>
  <si>
    <t>100% LED screen usage</t>
  </si>
  <si>
    <t>80% LED screen usage</t>
  </si>
  <si>
    <t>90% LED screen usage</t>
  </si>
  <si>
    <t>60% LED screen usage</t>
  </si>
  <si>
    <t>50% LED screen usage</t>
  </si>
  <si>
    <t>No LED usage</t>
  </si>
  <si>
    <t>25. CALENDAR ASSUMPTIONS - EQUIPMENT HIRE (PA USAGE)</t>
  </si>
  <si>
    <t>THE BEND Live House — Financial Model</t>
  </si>
  <si>
    <t>25. COMMUNITY / RAINY DAY FUND</t>
  </si>
  <si>
    <t>Reserve mechanism to set aside funds per ticket for emergencies</t>
  </si>
  <si>
    <t>$/ticket</t>
  </si>
  <si>
    <t>Assumption</t>
  </si>
  <si>
    <t>Per-ticket contribution to rainy day fund; accumulates on BS, never drawn</t>
  </si>
  <si>
    <t>26. PROMOTER LOYALTY REBATE ASSUMPTIONS</t>
  </si>
  <si>
    <t>Loyalty rebate programme to reward high-volume promoters</t>
  </si>
  <si>
    <t>Rebate Trigger Threshold</t>
  </si>
  <si>
    <t>Cumulative venue hire required to activate rebate (approx 4 shows)</t>
  </si>
  <si>
    <t>Retroactive Rebate Rate</t>
  </si>
  <si>
    <t>Refund applied to first threshold spend</t>
  </si>
  <si>
    <t>Ongoing Rebate Rate</t>
  </si>
  <si>
    <t>Rebate applied above threshold</t>
  </si>
  <si>
    <t>Estimated Promoters Triggering</t>
  </si>
  <si>
    <t>#</t>
  </si>
  <si>
    <t>Management</t>
  </si>
  <si>
    <t>Number of promoters expected to qualify (3-4)</t>
  </si>
  <si>
    <t>Average Shows per Triggering Promoter (first year)</t>
  </si>
  <si>
    <t>#/year</t>
  </si>
  <si>
    <t>Expected shows per year per triggering promoter</t>
  </si>
  <si>
    <t>Average number of events to trigger rebate</t>
  </si>
  <si>
    <t xml:space="preserve">Management </t>
  </si>
  <si>
    <t>Number of flate fee hires to reach rebate trigger</t>
  </si>
  <si>
    <t>Notes:</t>
  </si>
  <si>
    <t>• Rebate only activates once cumulative venue hire exceeds AUD 160,000</t>
  </si>
  <si>
    <t>• The annual expense represents the incremental rebate earned each year, not the cumulative liability</t>
  </si>
  <si>
    <t>27. PROMOTER LOYALTY REBATE CALCULATIONS</t>
  </si>
  <si>
    <t>VHA Revenue (from P&amp;L)</t>
  </si>
  <si>
    <t>Event Days (from Calendar)</t>
  </si>
  <si>
    <t>Avg VHA Fee per Event</t>
  </si>
  <si>
    <t xml:space="preserve">Shows per Triggering Promoter </t>
  </si>
  <si>
    <t>Cumulative Venue Hire per Promoter</t>
  </si>
  <si>
    <t>Retroactive Rebate per Promoter</t>
  </si>
  <si>
    <t>Ongoing Rebate per Promoter</t>
  </si>
  <si>
    <t>Total Rebate Liability per Promoter</t>
  </si>
  <si>
    <t>Number of Triggering Promoters</t>
  </si>
  <si>
    <t>Total Rebate Liability (Cumulative)</t>
  </si>
  <si>
    <t>Annual Incremental Rebate Expense</t>
  </si>
  <si>
    <t>Rebate logic: 20% on first $160k, 25% on amounts above $160k per qualifying promoter</t>
  </si>
  <si>
    <t>28. BUSINESS RAMP-UP SCHEDULE</t>
  </si>
  <si>
    <t>Controls the scaling of event days during the venue's ramp-up period (Year 1 to Steady State)</t>
  </si>
  <si>
    <t>Ramp-Up Scale</t>
  </si>
  <si>
    <t>Scales event days from Base to Steady State</t>
  </si>
  <si>
    <t>Calculated Event Days</t>
  </si>
  <si>
    <t>Reference: Total SS Days × Ramp-Up %</t>
  </si>
  <si>
    <t>Steady State Total Days</t>
  </si>
  <si>
    <t>From Section 19 (sum of all event types)</t>
  </si>
  <si>
    <t>Scenario Days Multiplier</t>
  </si>
  <si>
    <t>From Scenario Manager - applies on top of ramp-up</t>
  </si>
  <si>
    <t>29. CASH BURN ANALYSIS</t>
  </si>
  <si>
    <t>Pre-revenue cash burn analysis — tracks capital deployment and runway before operations begin</t>
  </si>
  <si>
    <t>Total Equity Raised</t>
  </si>
  <si>
    <t>PE equity</t>
  </si>
  <si>
    <t>Bank term loan</t>
  </si>
  <si>
    <t>Total Funding Available</t>
  </si>
  <si>
    <t>Total sources of funding</t>
  </si>
  <si>
    <t>From capex block</t>
  </si>
  <si>
    <t>Pre-Revenue Period</t>
  </si>
  <si>
    <t>FYs</t>
  </si>
  <si>
    <t>FY25–FY27</t>
  </si>
  <si>
    <t>Model start to first ops revenue</t>
  </si>
  <si>
    <t>Pre-Ops Capex Burn (FY26)</t>
  </si>
  <si>
    <t>Lease deposit / pre-construction capex</t>
  </si>
  <si>
    <t>Pre-Ops Capex Burn (FY27)</t>
  </si>
  <si>
    <t>Construction year capex</t>
  </si>
  <si>
    <t>Total Pre-Revenue Outflows</t>
  </si>
  <si>
    <t>Sum of all outflows FY25-FY27</t>
  </si>
  <si>
    <t>Construction Duration</t>
  </si>
  <si>
    <t>Approximate construction period</t>
  </si>
  <si>
    <t>Avg Monthly Burn (Construction)</t>
  </si>
  <si>
    <t>AUD/mth</t>
  </si>
  <si>
    <t>Average monthly cash deployment during construction</t>
  </si>
  <si>
    <t>Funding Surplus / (Shortfall) at Opening</t>
  </si>
  <si>
    <t>Excess funding available for working capital</t>
  </si>
  <si>
    <t>Cash at Construction Completion (FY27)</t>
  </si>
  <si>
    <t>Closing cash at end of construction year</t>
  </si>
  <si>
    <t>Cash at First Operating Year End (FY28)</t>
  </si>
  <si>
    <t>Closing cash at end of first operating year</t>
  </si>
  <si>
    <t>FY28 Monthly Avg Operating Burn</t>
  </si>
  <si>
    <t>Average monthly operating cost in Year 1</t>
  </si>
  <si>
    <t>Operating Cash Runway from FY28</t>
  </si>
  <si>
    <t>Months of operating expenses covered by closing cash</t>
  </si>
  <si>
    <t>Minimum Cash Balance Requirement</t>
  </si>
  <si>
    <t>First Year of Self-Sustaining Cash</t>
  </si>
  <si>
    <t>First FY where net cash flow is positive</t>
  </si>
  <si>
    <t>Cumulative Cash Position by Year</t>
  </si>
  <si>
    <t>Cumulative Net CF</t>
  </si>
  <si>
    <t>Cash Status</t>
  </si>
  <si>
    <t>REVENUE ASSUMPTIONS</t>
  </si>
  <si>
    <t>VHA is Venue Hire Agreement</t>
  </si>
  <si>
    <t xml:space="preserve">VHA Fee </t>
  </si>
  <si>
    <t xml:space="preserve">Max Capacity </t>
  </si>
  <si>
    <t>Ave Capacity</t>
  </si>
  <si>
    <t xml:space="preserve">EDM </t>
  </si>
  <si>
    <t xml:space="preserve">Live Site </t>
  </si>
  <si>
    <t xml:space="preserve">Farmers Market </t>
  </si>
  <si>
    <t>AVERAGE TICKET PRICE</t>
  </si>
  <si>
    <t xml:space="preserve">Capacity </t>
  </si>
  <si>
    <t xml:space="preserve">GBO PER EVENT </t>
  </si>
  <si>
    <t>Annual GBO VHA FEE</t>
  </si>
  <si>
    <t>FLAT FEE PER EVENT DAY</t>
  </si>
  <si>
    <t>ANNUAL FLAT FEE</t>
  </si>
  <si>
    <t>ANNUAL VHA FEE TOTAL (Higher of GBO or Flat Fee)</t>
  </si>
  <si>
    <t>PREMIUM SEATING</t>
  </si>
  <si>
    <t>GA F&amp;B  PA</t>
  </si>
  <si>
    <t>Spend Per head</t>
  </si>
  <si>
    <t>PREMIUM F&amp;B PA</t>
  </si>
  <si>
    <t>PARTNERSHIP REVENUE</t>
  </si>
  <si>
    <t>Naming Rights</t>
  </si>
  <si>
    <t>Ride Share</t>
  </si>
  <si>
    <t>Tech Partners (elctronics, untilities, solar, etc)</t>
  </si>
  <si>
    <t>Supply Rights (Grab and Go Food)</t>
  </si>
  <si>
    <t>Supply Rights (Beer, Wine, Spirits, etc)</t>
  </si>
  <si>
    <t>Supply Rights (Non Alcoholic)</t>
  </si>
  <si>
    <t>Supply Rights (Emergy Drinks)</t>
  </si>
  <si>
    <t xml:space="preserve">Super Sign LED </t>
  </si>
  <si>
    <t>Internal Advertising sales</t>
  </si>
  <si>
    <t>EQUIPMENT HIRE</t>
  </si>
  <si>
    <t>Sound</t>
  </si>
  <si>
    <t>LED</t>
  </si>
  <si>
    <t>Total Equipment Hire Fee</t>
  </si>
  <si>
    <t>Reconciliation</t>
  </si>
  <si>
    <t>Sponorship</t>
  </si>
  <si>
    <t>Total Revenue as per P&amp;L</t>
  </si>
  <si>
    <t>Balance</t>
  </si>
  <si>
    <t>ID</t>
  </si>
  <si>
    <t xml:space="preserve">Number </t>
  </si>
  <si>
    <t>Salary PA</t>
  </si>
  <si>
    <t xml:space="preserve">On Costs </t>
  </si>
  <si>
    <t xml:space="preserve">Mobilisation </t>
  </si>
  <si>
    <t>Pre Operational</t>
  </si>
  <si>
    <t xml:space="preserve">General Manager </t>
  </si>
  <si>
    <t xml:space="preserve">Events Manager </t>
  </si>
  <si>
    <t xml:space="preserve">Marketing &amp; Digital Manager </t>
  </si>
  <si>
    <t xml:space="preserve">Finance Manager </t>
  </si>
  <si>
    <t>FY39</t>
  </si>
  <si>
    <t>CY</t>
  </si>
  <si>
    <t xml:space="preserve">Salaries </t>
  </si>
  <si>
    <t xml:space="preserve">On Costs (Super, payroll tax, recruitment, long service accrual) </t>
  </si>
  <si>
    <t>Opex - Other than salary</t>
  </si>
  <si>
    <t>Only for FY2027</t>
  </si>
  <si>
    <t>Lease</t>
  </si>
  <si>
    <t xml:space="preserve">Lease </t>
  </si>
  <si>
    <t xml:space="preserve">Common area charges </t>
  </si>
  <si>
    <t xml:space="preserve">Lease deposit </t>
  </si>
  <si>
    <t xml:space="preserve">Leased Equipment </t>
  </si>
  <si>
    <t>Included Separately</t>
  </si>
  <si>
    <t xml:space="preserve">Total </t>
  </si>
  <si>
    <t xml:space="preserve">Leased ICT </t>
  </si>
  <si>
    <t>(part MAINTAINANCE R&amp;M)</t>
  </si>
  <si>
    <t xml:space="preserve">Security &amp; Cleaning </t>
  </si>
  <si>
    <t>SECURITY MONITORING</t>
  </si>
  <si>
    <t>UTILITIES</t>
  </si>
  <si>
    <t xml:space="preserve">Commercial </t>
  </si>
  <si>
    <t xml:space="preserve">System &amp; Structure </t>
  </si>
  <si>
    <t>Maintainance R&amp;M Costs</t>
  </si>
  <si>
    <t>CHECK FOR INTERNAL REFERENCE</t>
  </si>
  <si>
    <t>On Costs</t>
  </si>
  <si>
    <t>Other R&amp;M Costs</t>
  </si>
  <si>
    <t>Other Costs</t>
  </si>
  <si>
    <t>As per P&amp;L</t>
  </si>
  <si>
    <t>Promoters Loyalty</t>
  </si>
  <si>
    <t>Trainings</t>
  </si>
  <si>
    <t>Bad Debt</t>
  </si>
  <si>
    <t>Actual Difference</t>
  </si>
  <si>
    <t>Initial CAPEX - SUMMARY</t>
  </si>
  <si>
    <t xml:space="preserve">Capex </t>
  </si>
  <si>
    <t xml:space="preserve">Consultants </t>
  </si>
  <si>
    <t xml:space="preserve">Security </t>
  </si>
  <si>
    <t>Finance</t>
  </si>
  <si>
    <t>Custom Taxes</t>
  </si>
  <si>
    <t>Miscellaneous</t>
  </si>
  <si>
    <t>Total initial CAPEX</t>
  </si>
  <si>
    <t xml:space="preserve">Total initial CAPEX </t>
  </si>
  <si>
    <t>WORKINGS BELOW:</t>
  </si>
  <si>
    <t>For a 5,000 cap venue with swing flexibility</t>
  </si>
  <si>
    <t>Pre-lease works</t>
  </si>
  <si>
    <t>7–8 toilet containers total, typically:</t>
  </si>
  <si>
    <t xml:space="preserve"> Design Development </t>
  </si>
  <si>
    <t xml:space="preserve">Permit Summission and Design Period </t>
  </si>
  <si>
    <t>Fabrication and Shipping</t>
  </si>
  <si>
    <t xml:space="preserve">Construction, Commissioning and Mobilsation </t>
  </si>
  <si>
    <t>5–6 × 40’ WC blocks</t>
  </si>
  <si>
    <t>P1 (Feb-26)</t>
  </si>
  <si>
    <t>P2 (Mar-26)</t>
  </si>
  <si>
    <t>P3 (Apr-26)</t>
  </si>
  <si>
    <t>P4 (May-26)</t>
  </si>
  <si>
    <t>P5 (Jun-26)</t>
  </si>
  <si>
    <t>P6 (Jul-26)</t>
  </si>
  <si>
    <t>P7 (Aug-26)</t>
  </si>
  <si>
    <t>P8 (Sep-26)</t>
  </si>
  <si>
    <t>P9 (Oct-26)</t>
  </si>
  <si>
    <t>P10 (Nov-26)</t>
  </si>
  <si>
    <t>P11 (Dec-26)</t>
  </si>
  <si>
    <t>P12 (Jan-27)</t>
  </si>
  <si>
    <t>P13 (Feb-27)</t>
  </si>
  <si>
    <t>P14 (Mar-27)</t>
  </si>
  <si>
    <t>P15 (Apr-27)</t>
  </si>
  <si>
    <t>P16 (May-27)</t>
  </si>
  <si>
    <t>P17 (Jun-27)</t>
  </si>
  <si>
    <t>Totals</t>
  </si>
  <si>
    <t>$50,000</t>
  </si>
  <si>
    <t>0–1 × 20’ WC block</t>
  </si>
  <si>
    <t>$150,000</t>
  </si>
  <si>
    <t>2–3 × 40’ urinal blocks</t>
  </si>
  <si>
    <t>Design for ~55 WC cubicles total, ~40–60 urinals, 4–6 accessible distributed.</t>
  </si>
  <si>
    <t xml:space="preserve">Licenscing </t>
  </si>
  <si>
    <t>Portugal</t>
  </si>
  <si>
    <t>Aus/Malaysia</t>
  </si>
  <si>
    <t>Thailand</t>
  </si>
  <si>
    <t>Total initial capex for structure</t>
  </si>
  <si>
    <t xml:space="preserve">CIVIL </t>
  </si>
  <si>
    <t>Total initial capex for Civil</t>
  </si>
  <si>
    <t>Total initial capex for ICT</t>
  </si>
  <si>
    <t>Singage</t>
  </si>
  <si>
    <t>Total initial capex for fitout</t>
  </si>
  <si>
    <t>Total initial capex for Services</t>
  </si>
  <si>
    <t xml:space="preserve">Total Security </t>
  </si>
  <si>
    <t xml:space="preserve">Launch Services </t>
  </si>
  <si>
    <t>These should not be capitalized, and they are included below</t>
  </si>
  <si>
    <t>PR</t>
  </si>
  <si>
    <t>Contingency for CAPEX</t>
  </si>
  <si>
    <t>Total miscellaneous</t>
  </si>
  <si>
    <t>Customs Tax</t>
  </si>
  <si>
    <t>Import Tax Calculation</t>
  </si>
  <si>
    <t>Portugal: 5% custom duty + 10% on (value + Freight + Duty)</t>
  </si>
  <si>
    <t>Thailand: 0% custom duty + 10% on (value + Freight)</t>
  </si>
  <si>
    <t>Malaysia: 0% custom duty + 10% on (value + Freight)</t>
  </si>
  <si>
    <t>Total Capex (check)</t>
  </si>
  <si>
    <r>
      <rPr>
        <b/>
        <i/>
        <u/>
        <sz val="9"/>
        <color rgb="FF000000"/>
        <rFont val="Calibri"/>
        <family val="2"/>
      </rPr>
      <t>NOTE ON IMPORT TAXES:</t>
    </r>
    <r>
      <rPr>
        <b/>
        <i/>
        <sz val="9"/>
        <color rgb="FF000000"/>
        <rFont val="Calibri"/>
        <family val="2"/>
      </rPr>
      <t xml:space="preserve">
(1) Portugal (EU) : 5% duty applies today. 
(2) Thailand: Free (0% duty). Australia has three FTAs covering Thailand. The ABF tariff schedule footnote states that unless otherwise indicated, rates for originating goods under a free trade agreement are Free. A valid Certificate of Origin from Thailand is required.
(3) Malaysia: Free (0% duty). Same logic: Australia has MAFTA (bilateral) with Malaysia. Preferential rate is 0%.  Certificate of Origin required.
(</t>
    </r>
    <r>
      <rPr>
        <b/>
        <i/>
        <u/>
        <sz val="9"/>
        <color rgb="FF1155CC"/>
        <rFont val="Calibri"/>
        <family val="2"/>
      </rPr>
      <t>SOURCE</t>
    </r>
    <r>
      <rPr>
        <b/>
        <i/>
        <sz val="9"/>
        <color rgb="FF000000"/>
        <rFont val="Calibri"/>
        <family val="2"/>
      </rPr>
      <t>)
 10% GST applies to everything: calculated on customs value + duty + freight. (</t>
    </r>
    <r>
      <rPr>
        <b/>
        <i/>
        <u/>
        <sz val="9"/>
        <color rgb="FF1155CC"/>
        <rFont val="Calibri"/>
        <family val="2"/>
      </rPr>
      <t>SOURCE</t>
    </r>
    <r>
      <rPr>
        <b/>
        <i/>
        <sz val="9"/>
        <color rgb="FF000000"/>
        <rFont val="Calibri"/>
        <family val="2"/>
      </rPr>
      <t>)</t>
    </r>
  </si>
  <si>
    <t xml:space="preserve"> Fabrication and Shipping </t>
  </si>
  <si>
    <t xml:space="preserve"> Handover, Construction, Mobisation and Commissioning Period </t>
  </si>
  <si>
    <t xml:space="preserve">Working Capital </t>
  </si>
  <si>
    <t xml:space="preserve">PR/Marketing </t>
  </si>
  <si>
    <t>ELIGIBLE PRE-OP WORKING CAPITAL (WC Facility Uses)</t>
  </si>
  <si>
    <t>Pre-Op Staff Wages (from Expense Assumptions)</t>
  </si>
  <si>
    <t>Oncost</t>
  </si>
  <si>
    <t>[Spare]</t>
  </si>
  <si>
    <t>TOTAL ELIGIBLE PRE-OP WC USE</t>
  </si>
  <si>
    <t>ANNUAL ROLL-UP BY FISCAL YEAR</t>
  </si>
  <si>
    <t>FY26 Eligible WC Use</t>
  </si>
  <si>
    <t>FY27 Eligible WC Use</t>
  </si>
  <si>
    <t>CAPEX CORKSCREW &amp; WIP SCHEDULE (Inputs-Driven)</t>
  </si>
  <si>
    <t>KEY INPUTS (All linked from Inputs tab)</t>
  </si>
  <si>
    <t>Construction Start Date</t>
  </si>
  <si>
    <t>Construction End Date</t>
  </si>
  <si>
    <t>Operations Start Date</t>
  </si>
  <si>
    <t>Lease Deposit Amount</t>
  </si>
  <si>
    <t>ANNUAL CAPEX CORKSCREW</t>
  </si>
  <si>
    <t>Line Item</t>
  </si>
  <si>
    <t>Period Start</t>
  </si>
  <si>
    <t>Period End</t>
  </si>
  <si>
    <t>Operations Flag</t>
  </si>
  <si>
    <t>WIP CORKSCREW</t>
  </si>
  <si>
    <t>Opening WIP</t>
  </si>
  <si>
    <t>Capex Spend</t>
  </si>
  <si>
    <t>Capitalized IDC</t>
  </si>
  <si>
    <t>Transfer to Operations</t>
  </si>
  <si>
    <t>Closing WIP</t>
  </si>
  <si>
    <t>LEASE DEPOSIT</t>
  </si>
  <si>
    <t>Lease Deposit Paid</t>
  </si>
  <si>
    <t>Lease Deposit on BS</t>
  </si>
  <si>
    <t>TOTAL CAPEX OUTFLOW + LEASE DEPOSIT</t>
  </si>
  <si>
    <t>FIXED ASSETS SCHEDULE</t>
  </si>
  <si>
    <t>Opening Fixed Assets</t>
  </si>
  <si>
    <t>Transfer from WIP</t>
  </si>
  <si>
    <t>Closing Fixed Assets</t>
  </si>
  <si>
    <t>Opening Accum Depr</t>
  </si>
  <si>
    <t>Depreciation Expense</t>
  </si>
  <si>
    <t>Closing Accum Depr</t>
  </si>
  <si>
    <t>Net PPE</t>
  </si>
  <si>
    <t>AUDIT CHECKS</t>
  </si>
  <si>
    <t>Total IDC Capitalized</t>
  </si>
  <si>
    <t>IDC Rate:</t>
  </si>
  <si>
    <t>Total Capex (excl Lease)</t>
  </si>
  <si>
    <t>vs Inputs:</t>
  </si>
  <si>
    <t>Total Capex (incl Lease)</t>
  </si>
  <si>
    <t>WIP at Model End</t>
  </si>
  <si>
    <t>Status:</t>
  </si>
  <si>
    <t>Note: All Capex values driven from Inputs tab. IDC capitalized per SMBC/CBA requirements.</t>
  </si>
  <si>
    <t>SCENARIO MANAGER</t>
  </si>
  <si>
    <t>THE BEND Live House - Dynamic Scenario Analysis</t>
  </si>
  <si>
    <t>ACTIVE SCENARIO</t>
  </si>
  <si>
    <t>Base</t>
  </si>
  <si>
    <t>SCENARIO DEFINITIONS</t>
  </si>
  <si>
    <t>APPLIED MULTIPLIERS</t>
  </si>
  <si>
    <t>Rev Mult</t>
  </si>
  <si>
    <t>Cost Mult</t>
  </si>
  <si>
    <t>Delay (m)</t>
  </si>
  <si>
    <t>Int Δ (bps)</t>
  </si>
  <si>
    <t>Capex Mult</t>
  </si>
  <si>
    <t>Infl Mult</t>
  </si>
  <si>
    <t>Days Mult</t>
  </si>
  <si>
    <t>Event Days</t>
  </si>
  <si>
    <t>Optimistic</t>
  </si>
  <si>
    <t>Opening Delay (months)</t>
  </si>
  <si>
    <t>Pessimistic</t>
  </si>
  <si>
    <t>Interest Rate Delta (bps)</t>
  </si>
  <si>
    <t>Delayed Opening +3m</t>
  </si>
  <si>
    <t>Delayed Opening +6m</t>
  </si>
  <si>
    <t>Higher Capex +10%</t>
  </si>
  <si>
    <t>Higher Capex +20%</t>
  </si>
  <si>
    <t>Sponsorship Underperformance</t>
  </si>
  <si>
    <t>SCENARIO IMPACT PREVIEW</t>
  </si>
  <si>
    <t>QUICK SCENARIO COMPARISON</t>
  </si>
  <si>
    <t>Base Case</t>
  </si>
  <si>
    <t>Scenario Value</t>
  </si>
  <si>
    <t>Variance</t>
  </si>
  <si>
    <t>% Change</t>
  </si>
  <si>
    <t>Status</t>
  </si>
  <si>
    <t>Revenue Impact</t>
  </si>
  <si>
    <t>IRR Impact</t>
  </si>
  <si>
    <t>Total Revenue (Exit FY)</t>
  </si>
  <si>
    <t>Baseline</t>
  </si>
  <si>
    <t>●●○○○</t>
  </si>
  <si>
    <t>EBITDA (Exit FY)</t>
  </si>
  <si>
    <t>●○○○○</t>
  </si>
  <si>
    <t>●●●●○</t>
  </si>
  <si>
    <t>Delayed +3m</t>
  </si>
  <si>
    <t>●●●○○</t>
  </si>
  <si>
    <t>Delayed +6m</t>
  </si>
  <si>
    <t>Debt Service Coverage</t>
  </si>
  <si>
    <t>Capex +10%</t>
  </si>
  <si>
    <t>Capex +20%</t>
  </si>
  <si>
    <t>Sens Exit Multiple Multiplier</t>
  </si>
  <si>
    <t>Sponsorship Under</t>
  </si>
  <si>
    <t>SENSITIVITY OVERRIDES</t>
  </si>
  <si>
    <t>Override Parameter</t>
  </si>
  <si>
    <t>Capex Override</t>
  </si>
  <si>
    <t>INSTRUCTIONS</t>
  </si>
  <si>
    <t>1. Select a scenario from the dropdown in cell B4</t>
  </si>
  <si>
    <t>2. The model will automatically recalculate all P&amp;L, Balance Sheet, and Cash Flow projections</t>
  </si>
  <si>
    <t>3. Review the Scenario Impact Preview (rows 17-23) to see key metric changes</t>
  </si>
  <si>
    <t>4. Use Sensitivity Overrides (rows 27-33) for fine-tuning individual parameters</t>
  </si>
  <si>
    <t>5. The Dashboard and Valuations tabs will reflect the selected scenario</t>
  </si>
  <si>
    <t>P&amp;L and Balance Sheet Summary</t>
  </si>
  <si>
    <t>PROFIT &amp; LOSS SUMMARY ($)</t>
  </si>
  <si>
    <t>Operating Expenses</t>
  </si>
  <si>
    <t>BALANCE SHEET SUMMARY ($) — closing balances</t>
  </si>
  <si>
    <t>Total Current Liabilities</t>
  </si>
  <si>
    <t>Total Non-Current Liabilities</t>
  </si>
  <si>
    <t>Total Equity + Retained Earnings</t>
  </si>
  <si>
    <t>CASH FLOW STATEMENT</t>
  </si>
  <si>
    <t>Total Cash Inflow</t>
  </si>
  <si>
    <t>Total Cash Outflow</t>
  </si>
  <si>
    <t>Net Working Capital Adjustments</t>
  </si>
  <si>
    <t>Net Cash Inflow / (Outflow)</t>
  </si>
  <si>
    <t>Inputs (linked from Summary)</t>
  </si>
  <si>
    <t>Term Debt</t>
  </si>
  <si>
    <t>Draw year</t>
  </si>
  <si>
    <t>Start flag</t>
  </si>
  <si>
    <t>End flag</t>
  </si>
  <si>
    <t>Opening balance</t>
  </si>
  <si>
    <t>Repayment type</t>
  </si>
  <si>
    <t>Drawdown</t>
  </si>
  <si>
    <t>Principal repayment</t>
  </si>
  <si>
    <t>Interest paid</t>
  </si>
  <si>
    <t>Total debt service</t>
  </si>
  <si>
    <t>Closing balance</t>
  </si>
  <si>
    <t>Current portion (next 12 months)</t>
  </si>
  <si>
    <t>Non-current portion</t>
  </si>
  <si>
    <t xml:space="preserve">  </t>
  </si>
  <si>
    <t>Private Equity Debt — LEGACY INACTIVE (PE is now equity)</t>
  </si>
  <si>
    <t>Drawdown (PE)</t>
  </si>
  <si>
    <t>Principal repayment (PE) – output</t>
  </si>
  <si>
    <t>Private facility loan (PE) schedule</t>
  </si>
  <si>
    <t>Opening balance (PE)</t>
  </si>
  <si>
    <t>Total borrowings (closing balance)</t>
  </si>
  <si>
    <t>Current portion – PE (next 12 months)</t>
  </si>
  <si>
    <t>Drawdowns – total</t>
  </si>
  <si>
    <t>Principal repaid – total</t>
  </si>
  <si>
    <t>Interest paid – total</t>
  </si>
  <si>
    <t>Debt service (principal + interest) – total (cash)</t>
  </si>
  <si>
    <t>WORKING CAPITAL FACILITY — CURRENT FACILITY</t>
  </si>
  <si>
    <t>Pre-revenue operating cost facility (separate from term debt)</t>
  </si>
  <si>
    <t>Inputs (from Inputs tab)</t>
  </si>
  <si>
    <t>Facility Toggle</t>
  </si>
  <si>
    <t>Facility Limit</t>
  </si>
  <si>
    <t>Commitment Fee Rate</t>
  </si>
  <si>
    <t>Minimum Cash Buffer</t>
  </si>
  <si>
    <t>Cash Available for WC Repay</t>
  </si>
  <si>
    <t>Cash Shortfall (pre-WC draw)</t>
  </si>
  <si>
    <t>Facility Schedule</t>
  </si>
  <si>
    <t>Opening Balance</t>
  </si>
  <si>
    <t>Principal Repayment</t>
  </si>
  <si>
    <t>Closing Balance</t>
  </si>
  <si>
    <t>Interest Expense</t>
  </si>
  <si>
    <t>Commitment Fee</t>
  </si>
  <si>
    <t>Total Finance Cost (WC Facility)</t>
  </si>
  <si>
    <t>Current Portion (WC Facility)</t>
  </si>
  <si>
    <t>Non-Current Portion (WC Facility)</t>
  </si>
  <si>
    <t>Undrawn Availability</t>
  </si>
  <si>
    <t>CHECK: Opening + Draw - Repay = Closing</t>
  </si>
  <si>
    <t>Paste this into a VBA Module (Alt+F11 &gt; Insert &gt; Module)</t>
  </si>
  <si>
    <t>Sub RecalcAndCheck()</t>
  </si>
  <si>
    <t xml:space="preserve">    Application.CalculateFull</t>
  </si>
  <si>
    <t xml:space="preserve">    If Sheets("Model Checks").Range("B2").Value &gt; 1 Then MsgBox "Balance Sheet Error!"</t>
  </si>
  <si>
    <t>End Sub</t>
  </si>
  <si>
    <t>GST @ 10%</t>
  </si>
  <si>
    <t>Costs</t>
  </si>
  <si>
    <t>Pre-Operating Expenses</t>
  </si>
  <si>
    <t>Operating Expenses (Other than Salary)</t>
  </si>
  <si>
    <t>Total Costs</t>
  </si>
  <si>
    <t>Net GST Payable</t>
  </si>
  <si>
    <t>GST Payable</t>
  </si>
  <si>
    <t>Total Input Credit Available</t>
  </si>
  <si>
    <t>Credits utilized</t>
  </si>
  <si>
    <t>Balance Credits</t>
  </si>
  <si>
    <t>Balance Payable</t>
  </si>
  <si>
    <t>Payable Summary</t>
  </si>
  <si>
    <t>GST Payable - End of each year</t>
  </si>
  <si>
    <t>EVENT DAYS PER YEAR</t>
  </si>
  <si>
    <t>SS %</t>
  </si>
  <si>
    <t>Financial Year</t>
  </si>
  <si>
    <t>AUX DAYS PER YEAR</t>
  </si>
  <si>
    <t>Calendar Year</t>
  </si>
  <si>
    <t>28/29</t>
  </si>
  <si>
    <t>29/30</t>
  </si>
  <si>
    <t>30/31</t>
  </si>
  <si>
    <t>31/32</t>
  </si>
  <si>
    <t>32/33</t>
  </si>
  <si>
    <t>33/34</t>
  </si>
  <si>
    <t>34/35</t>
  </si>
  <si>
    <t>35/36</t>
  </si>
  <si>
    <t>36/37</t>
  </si>
  <si>
    <t>37/38</t>
  </si>
  <si>
    <t>38/39</t>
  </si>
  <si>
    <t>Annual Aux Days</t>
  </si>
  <si>
    <t>Days PA &lt; 365</t>
  </si>
  <si>
    <t>GA TICKET SALES PA</t>
  </si>
  <si>
    <t xml:space="preserve">Ave </t>
  </si>
  <si>
    <t xml:space="preserve">Annual Attendance </t>
  </si>
  <si>
    <t xml:space="preserve">Annual GA Sales </t>
  </si>
  <si>
    <t xml:space="preserve">Merch Audience </t>
  </si>
  <si>
    <t xml:space="preserve">PREMIUM TICKETS </t>
  </si>
  <si>
    <t>Premium</t>
  </si>
  <si>
    <t xml:space="preserve">4 BOXES OF 20 SEATS </t>
  </si>
  <si>
    <t>1 BOX GIVEN TO PROMOTER - NO TICKET SALES REVENUE</t>
  </si>
  <si>
    <t xml:space="preserve">1 BOX FOR HOUSE - NO TICKET SALES REVENUE </t>
  </si>
  <si>
    <t xml:space="preserve">2 BOXES - ATTRACT TIXKET SALES REVENUE </t>
  </si>
  <si>
    <t>Asset</t>
  </si>
  <si>
    <t>Potential VIK Components</t>
  </si>
  <si>
    <t>Annual Value Range</t>
  </si>
  <si>
    <t>VIK</t>
  </si>
  <si>
    <t>Total Potential</t>
  </si>
  <si>
    <t>Tier 1 – Naming Rights</t>
  </si>
  <si>
    <t>Venue Naming</t>
  </si>
  <si>
    <t>Media support for launch campaign</t>
  </si>
  <si>
    <t>$500k–$1.5m</t>
  </si>
  <si>
    <t>High</t>
  </si>
  <si>
    <t>$500k–$1.5m+</t>
  </si>
  <si>
    <t>External Signage</t>
  </si>
  <si>
    <t>Fabrication contribution</t>
  </si>
  <si>
    <t>Founding Partners</t>
  </si>
  <si>
    <t>$450k–$1.5m</t>
  </si>
  <si>
    <t>Moderate</t>
  </si>
  <si>
    <t>Motorway LED Priority</t>
  </si>
  <si>
    <t>Co-funded media buy amplification</t>
  </si>
  <si>
    <t>Alcoholic</t>
  </si>
  <si>
    <t>$250k–$500k</t>
  </si>
  <si>
    <t>$150k–$350k</t>
  </si>
  <si>
    <t>$400k–$850k</t>
  </si>
  <si>
    <t>VIP Suite Access</t>
  </si>
  <si>
    <t>Corporate hosting support</t>
  </si>
  <si>
    <t>Non-Alcoholic</t>
  </si>
  <si>
    <t>$150k–$300k</t>
  </si>
  <si>
    <t>$150k–$400k</t>
  </si>
  <si>
    <t>$300k–$600k</t>
  </si>
  <si>
    <t>2 Free Event Days</t>
  </si>
  <si>
    <t>Event production support</t>
  </si>
  <si>
    <t>Energy</t>
  </si>
  <si>
    <t>Patron Data Reporting</t>
  </si>
  <si>
    <t>Data analytics tools / dashboard integration</t>
  </si>
  <si>
    <t>$100k–$250k</t>
  </si>
  <si>
    <t>Case Studies</t>
  </si>
  <si>
    <t>Tech / Payments</t>
  </si>
  <si>
    <t>Telco</t>
  </si>
  <si>
    <t>$200k–$500k</t>
  </si>
  <si>
    <t>ESG</t>
  </si>
  <si>
    <t>$75k–$200k</t>
  </si>
  <si>
    <t>Tier 2 – Founding Partners</t>
  </si>
  <si>
    <t>Category Exclusivity</t>
  </si>
  <si>
    <t>Cross-promotional campaigns</t>
  </si>
  <si>
    <t>LED Rotational Exposure</t>
  </si>
  <si>
    <t>Media inventory swap</t>
  </si>
  <si>
    <t>Customer engagement programs</t>
  </si>
  <si>
    <t>2 Free Hire Days</t>
  </si>
  <si>
    <t>Product launch infrastructure</t>
  </si>
  <si>
    <t>Premium Space (DR 2)</t>
  </si>
  <si>
    <t>Patron Data Insights</t>
  </si>
  <si>
    <t>Co-branded reporting tools</t>
  </si>
  <si>
    <t>Length (m)</t>
  </si>
  <si>
    <t>Width (m)</t>
  </si>
  <si>
    <t>Height (m)</t>
  </si>
  <si>
    <t>Area m2</t>
  </si>
  <si>
    <t xml:space="preserve">40' container </t>
  </si>
  <si>
    <t xml:space="preserve">20' container </t>
  </si>
  <si>
    <t xml:space="preserve">No Risers </t>
  </si>
  <si>
    <t>Alcoholic Beverage Partner</t>
  </si>
  <si>
    <t>Pouring Rights</t>
  </si>
  <si>
    <t>Bar counters &amp; tap systems</t>
  </si>
  <si>
    <t>Premium Box</t>
  </si>
  <si>
    <t xml:space="preserve">Patrons </t>
  </si>
  <si>
    <t xml:space="preserve">Run </t>
  </si>
  <si>
    <t>Bar Branding</t>
  </si>
  <si>
    <t>Event-night activation staff</t>
  </si>
  <si>
    <t xml:space="preserve">Seating Row </t>
  </si>
  <si>
    <t>DR</t>
  </si>
  <si>
    <t>LED Exposure</t>
  </si>
  <si>
    <t>POS hardware</t>
  </si>
  <si>
    <t xml:space="preserve">Total Premium </t>
  </si>
  <si>
    <t xml:space="preserve">Area required </t>
  </si>
  <si>
    <t>Activation Rights</t>
  </si>
  <si>
    <t>Distributor launch support</t>
  </si>
  <si>
    <t xml:space="preserve">Fridges </t>
  </si>
  <si>
    <t>Staff training programs</t>
  </si>
  <si>
    <t>Non-Alcoholic Beverage Partner</t>
  </si>
  <si>
    <t>Post-mix system installation</t>
  </si>
  <si>
    <t>Refrigeration</t>
  </si>
  <si>
    <t>Fridge fleet</t>
  </si>
  <si>
    <t>Sampling teams</t>
  </si>
  <si>
    <t>Sustainability</t>
  </si>
  <si>
    <t>Recycling infrastructure</t>
  </si>
  <si>
    <t>Activation</t>
  </si>
  <si>
    <t>Event sampling support</t>
  </si>
  <si>
    <t>Refrigeration units</t>
  </si>
  <si>
    <t>Branded POS materials</t>
  </si>
  <si>
    <t>Syrup supply credits</t>
  </si>
  <si>
    <t>Energy Drink (Optional Carve-Out)</t>
  </si>
  <si>
    <t>On-site activation teams</t>
  </si>
  <si>
    <t>Event-night build-outs</t>
  </si>
  <si>
    <t>Sampling Rights</t>
  </si>
  <si>
    <t>Social content production</t>
  </si>
  <si>
    <t>POS Branding</t>
  </si>
  <si>
    <t>Payment terminals</t>
  </si>
  <si>
    <t>Tech / Payments Partner</t>
  </si>
  <si>
    <t>Infrastructure</t>
  </si>
  <si>
    <t>POS system supply</t>
  </si>
  <si>
    <t>Data Collaboration</t>
  </si>
  <si>
    <t>Reporting platform</t>
  </si>
  <si>
    <t>Innovation showcase support</t>
  </si>
  <si>
    <t>Wi-Fi upgrades</t>
  </si>
  <si>
    <t>Wi-Fi Naming Rights</t>
  </si>
  <si>
    <t>Wi-Fi infrastructure build</t>
  </si>
  <si>
    <t>Telco / Connectivity Partner</t>
  </si>
  <si>
    <t>DAS / 5G Integration</t>
  </si>
  <si>
    <t>Hardware installation</t>
  </si>
  <si>
    <t>Network upgrade support</t>
  </si>
  <si>
    <t>Data Insights</t>
  </si>
  <si>
    <t>Connectivity analytics tools</t>
  </si>
  <si>
    <t>Style legend</t>
  </si>
  <si>
    <t>Style</t>
  </si>
  <si>
    <t>Design</t>
  </si>
  <si>
    <t>Comment</t>
  </si>
  <si>
    <t>Header1</t>
  </si>
  <si>
    <t>Header2</t>
  </si>
  <si>
    <t>Header3</t>
  </si>
  <si>
    <t>A user driven input</t>
  </si>
  <si>
    <t>Technical_Input</t>
  </si>
  <si>
    <t>A model input that should not be changed to protect the integrity of the model</t>
  </si>
  <si>
    <t>Empty_Cell</t>
  </si>
  <si>
    <t>A cell that is left intentionally blank to avoid the risk of error</t>
  </si>
  <si>
    <t>InSheet</t>
  </si>
  <si>
    <t>A link within the worksheet or an interim calculation step</t>
  </si>
  <si>
    <t xml:space="preserve">OffSheet </t>
  </si>
  <si>
    <t>A link to another worksheet to minimise the number of inter-worksheet references</t>
  </si>
  <si>
    <t>Line_SubTotal</t>
  </si>
  <si>
    <t>The sum of elements in the table immediately above</t>
  </si>
  <si>
    <t>Line_Total</t>
  </si>
  <si>
    <t xml:space="preserve">The sum of elements above, including sub-totals </t>
  </si>
  <si>
    <t>Unit / Info</t>
  </si>
  <si>
    <t>USD millions</t>
  </si>
  <si>
    <t>Explanatory text showing helpful information and the units/dimensions of the calculations</t>
  </si>
  <si>
    <t>Line_Summary</t>
  </si>
  <si>
    <t>The SUM() of everything to the right</t>
  </si>
  <si>
    <t>Table_Header</t>
  </si>
  <si>
    <t>Qtr</t>
  </si>
  <si>
    <t xml:space="preserve">Header of a table or of an off-sheet reference </t>
  </si>
  <si>
    <t>Flag</t>
  </si>
  <si>
    <t>Binary flag - set up as a 'Style' and updated with conditional formatting</t>
  </si>
  <si>
    <t>Line_ClosingBal</t>
  </si>
  <si>
    <t>The closing balance of a control account</t>
  </si>
  <si>
    <t>Monthly Timeline (drives phasing)</t>
  </si>
  <si>
    <t>Month Start</t>
  </si>
  <si>
    <t>Month End</t>
  </si>
  <si>
    <t>FY End Year</t>
  </si>
  <si>
    <t>Lease Signed Flag</t>
  </si>
  <si>
    <t>Major Capex Paid Flag (Q2 2026)</t>
  </si>
  <si>
    <t>Possession Flag</t>
  </si>
  <si>
    <t>Assembly Flag (Mar–Jun 2027)</t>
  </si>
  <si>
    <t>Commissioning Flag (May–Jun 2027)</t>
  </si>
  <si>
    <t>Remaining Capex Paid Flag (Apr–May 2027)</t>
  </si>
  <si>
    <t>Seasonality Factor</t>
  </si>
  <si>
    <t>Rent-free Flag (lease)</t>
  </si>
  <si>
    <t>Lease Rent Multiplier</t>
  </si>
  <si>
    <t>Lease Cash Rent</t>
  </si>
  <si>
    <t>Lease Cash Outgoings</t>
  </si>
  <si>
    <t>Total Lease Cash</t>
  </si>
  <si>
    <t>P&amp;L (AUD)</t>
  </si>
  <si>
    <t> </t>
  </si>
  <si>
    <t>Handover, Construction, Mobisation and Commissioning  Period</t>
  </si>
  <si>
    <t>Pre Operational Funding</t>
  </si>
  <si>
    <t>P1</t>
  </si>
  <si>
    <t>P2</t>
  </si>
  <si>
    <t>P3</t>
  </si>
  <si>
    <t>P4</t>
  </si>
  <si>
    <t>P5</t>
  </si>
  <si>
    <t>P6</t>
  </si>
  <si>
    <t>P7</t>
  </si>
  <si>
    <t>P8</t>
  </si>
  <si>
    <t>P9</t>
  </si>
  <si>
    <t>P10</t>
  </si>
  <si>
    <t>P11</t>
  </si>
  <si>
    <t>P12</t>
  </si>
  <si>
    <t>P13</t>
  </si>
  <si>
    <t>Funds held in escrow</t>
  </si>
  <si>
    <t>Founder</t>
  </si>
  <si>
    <t>$ -</t>
  </si>
  <si>
    <t>Industry Partners</t>
  </si>
  <si>
    <t>PE Investment</t>
  </si>
  <si>
    <t>Equity Total</t>
  </si>
  <si>
    <t>Bank</t>
  </si>
  <si>
    <t>Debt Total</t>
  </si>
  <si>
    <t>Pre Operational Revenue</t>
  </si>
  <si>
    <t>Partnership Deposits</t>
  </si>
  <si>
    <t>Partnership Q3 fees</t>
  </si>
  <si>
    <t>Event Deposits</t>
  </si>
  <si>
    <t>Digital Advertising</t>
  </si>
  <si>
    <t>Pre-Operational Totals</t>
  </si>
  <si>
    <t>Funding Balance</t>
  </si>
  <si>
    <t>EXPENSES</t>
  </si>
  <si>
    <t>Deposit</t>
  </si>
  <si>
    <t>LL Outgoing</t>
  </si>
  <si>
    <t>Monthly Fee</t>
  </si>
  <si>
    <t>Rent Free Period (no rent due in this period)</t>
  </si>
  <si>
    <t>Debt Serving</t>
  </si>
  <si>
    <t>Operations</t>
  </si>
  <si>
    <t>FTE's</t>
  </si>
  <si>
    <t>F&amp;B CoG</t>
  </si>
  <si>
    <t>Total Pre Operational Expenses</t>
  </si>
  <si>
    <t>DISCLAIMER &amp; IMPORTANT NOTICES</t>
  </si>
  <si>
    <t>THE BEND Live House - Financial Model</t>
  </si>
  <si>
    <t>Version: V35 | Date: 04/03/2026</t>
  </si>
  <si>
    <t>1. PURPOSE OF THIS MODEL</t>
  </si>
  <si>
    <t>This financial model (the "Model") has been prepared solely for the purpose of providing indicative financial analysis and projections for THE BEND House project. The Model is intended to assist in preliminary investment evaluation, strategic planning, and discussions with potential investors, lenders, and stakeholders. It is not intended to serve as the sole basis for any investment decision.</t>
  </si>
  <si>
    <t>2. CONFIDENTIALITY</t>
  </si>
  <si>
    <t>This Model and all information contained herein is strictly confidential and proprietary. It is provided to the recipient on the express understanding that it will be used only for the purpose for which it has been provided. The recipient agrees not to copy, reproduce, distribute, or disclose this Model or any of its contents to any third party without the prior written consent of the authors. Unauthorised use or disclosure may result in legal action.</t>
  </si>
  <si>
    <t>3. NO WARRANTY OR REPRESENTATION</t>
  </si>
  <si>
    <t>While every effort has been made to ensure the accuracy and completeness of the information contained in this Model, no warranty, express or implied, is given as to its accuracy, completeness, or fitness for any particular purpose. The authors, their affiliates, directors, officers, employees, and agents make no representation or warranty, and accept no responsibility or liability, for the accuracy or completeness of the information contained herein. All projections, estimates, and forward-looking statements are based on assumptions that may or may not prove to be correct.</t>
  </si>
  <si>
    <t>4. FORWARD-LOOKING STATEMENTS</t>
  </si>
  <si>
    <t>This Model contains forward-looking statements including, but not limited to, projections of revenue, expenses, capital expenditure, cash flows, and returns. These statements are based on current expectations, estimates, and assumptions about future events and conditions. Actual results may differ materially from those projected due to various factors including, but not limited to: changes in market conditions, regulatory changes, construction delays, cost overruns, changes in interest rates, economic downturns, competitive pressures, and other risks and uncertainties inherent in the entertainment and real estate industries.</t>
  </si>
  <si>
    <t>5. KEY ASSUMPTIONS &amp; LIMITATIONS</t>
  </si>
  <si>
    <t>The projections in this Model are based on numerous assumptions including, but not limited to:
• Event frequency and attendance rates achieving projected levels
• Ticket prices, F&amp;B revenue, and sponsorship income meeting expectations
• Construction costs remaining within budget and timeline
• Debt financing being secured on assumed terms
• Operating costs escalating at assumed inflation rates
• No material adverse changes in the regulatory environment
• Continued demand for live entertainment in the Melbourne market
Recipients should conduct their own independent due diligence and analysis before making any investment decision.</t>
  </si>
  <si>
    <t>6. NOT FINANCIAL, LEGAL, OR TAX ADVICE</t>
  </si>
  <si>
    <t>This Model does not constitute financial, legal, tax, or investment advice. The information provided is general in nature and does not take into account the specific investment objectives, financial situation, or particular needs of any recipient. Recipients should seek independent professional advice from qualified financial advisors, legal counsel, and tax specialists before making any investment decision. Past performance is not indicative of future results.</t>
  </si>
  <si>
    <t>7. MODEL INTEGRITY &amp; AUDIT STATUS</t>
  </si>
  <si>
    <t>This Model has been constructed following best practice financial modelling standards. The three-statement model (P&amp;L, Balance Sheet, Cash Flow) is fully integrated with automatic balance checks. However, this Model has NOT been independently audited or verified by a third party. Users should satisfy themselves as to the accuracy of all calculations and the appropriateness of all assumptions before relying on any outputs.</t>
  </si>
  <si>
    <t>8. LIMITATION OF LIABILITY</t>
  </si>
  <si>
    <t>To the maximum extent permitted by law, the authors and their affiliates exclude all liability for any loss, damage, cost, or expense (whether direct, indirect, consequential, or otherwise) arising from or in connection with the use of, or reliance on, this Model or any information contained herein. This limitation applies regardless of whether such loss or damage arises in contract, tort (including negligence), equity, or otherwise.</t>
  </si>
  <si>
    <t>9. INTELLECTUAL PROPERTY</t>
  </si>
  <si>
    <t>All intellectual property rights in this Model, including but not limited to copyright, design rights, and proprietary methodologies, remain the exclusive property of the authors. No license or right is granted to the recipient to use, modify, or create derivative works from this Model except as expressly authorised in writing.</t>
  </si>
  <si>
    <t>10. GOVERNING LAW</t>
  </si>
  <si>
    <t>This disclaimer and any dispute arising out of or in connection with this Model shall be governed by and construed in accordance with the laws of the State of Victoria, Australia. The parties submit to the exclusive jurisdiction of the courts of Victoria.</t>
  </si>
  <si>
    <t>ACKNOWLEDGEMENT</t>
  </si>
  <si>
    <t>By accessing, using, or relying on this Model, the recipient acknowledges that they have read, understood, and agreed to be bound by the terms of this disclaimer.</t>
  </si>
  <si>
    <t>─────────────────────────────────────────────────────────────────────────────────────</t>
  </si>
  <si>
    <t>For queries regarding this Model, please contact the Project Finance team.</t>
  </si>
  <si>
    <t xml:space="preserve">ALL CELLS IN THIS TAB ARE LINKED FROM ELSEWHERE, DO NOT MAKE ANY CHANGES HERE, THIS IS AN INPUT TAB FOR 'DYNAMIC DASHBOARDS' </t>
  </si>
  <si>
    <t>Dashboard Inputs &amp; Control Panel</t>
  </si>
  <si>
    <t>Single source of truth for the Dynamic Dashboard. All values below are linked to the underlying model sheets.</t>
  </si>
  <si>
    <t>1. SCENARIO &amp; VALUATION CONTROLS</t>
  </si>
  <si>
    <t>Linked Source</t>
  </si>
  <si>
    <t>Scenarios!B4</t>
  </si>
  <si>
    <t>WACC (Applied Discount Rate)</t>
  </si>
  <si>
    <t>Valuations!C9</t>
  </si>
  <si>
    <t>Valuations!C10</t>
  </si>
  <si>
    <t>Valuations!C15</t>
  </si>
  <si>
    <t>Valuations!C12</t>
  </si>
  <si>
    <t>Valuations!C13</t>
  </si>
  <si>
    <t>2. KEY RETURN METRICS</t>
  </si>
  <si>
    <t>Valuations!C20</t>
  </si>
  <si>
    <t>Valuations!C21</t>
  </si>
  <si>
    <t>Valuations!C22</t>
  </si>
  <si>
    <t>Valuations!C23</t>
  </si>
  <si>
    <t>Valuations!C24</t>
  </si>
  <si>
    <t>Valuations!C25</t>
  </si>
  <si>
    <t>Valuations!C26</t>
  </si>
  <si>
    <t>3. CAPITAL STRUCTURE &amp; FUNDING</t>
  </si>
  <si>
    <t>Total Project Capex</t>
  </si>
  <si>
    <t>SUM(Cashflow!D26:O26)</t>
  </si>
  <si>
    <t>SUM(Cashflow!D16:O16)</t>
  </si>
  <si>
    <t>Initial Inflow</t>
  </si>
  <si>
    <t xml:space="preserve">  PE Equity</t>
  </si>
  <si>
    <t>Total Bank Debt Drawn</t>
  </si>
  <si>
    <t>SUM(Debt!H20:S20)</t>
  </si>
  <si>
    <t>Debt / Total Capital</t>
  </si>
  <si>
    <t>Equity / Total Capital</t>
  </si>
  <si>
    <t>Interest Rate (Bank Debt)</t>
  </si>
  <si>
    <t>Debt!C7</t>
  </si>
  <si>
    <t>Debt Tenor (Years)</t>
  </si>
  <si>
    <t>Debt!C6</t>
  </si>
  <si>
    <t>4. P&amp;L SUMMARY (Annual, AUD)</t>
  </si>
  <si>
    <t>NPAT Margin</t>
  </si>
  <si>
    <t>Community Fund</t>
  </si>
  <si>
    <t>5. CASHFLOW &amp; DEBT SUMMARY (Annual, AUD)</t>
  </si>
  <si>
    <t>Unlevered Free Cash Flow</t>
  </si>
  <si>
    <t>Equity Cash Flow</t>
  </si>
  <si>
    <t>Debt Closing Balance</t>
  </si>
  <si>
    <t>Debt Service (Principal + Interest)</t>
  </si>
  <si>
    <t>Interest Paid</t>
  </si>
  <si>
    <t>Principal Repaid</t>
  </si>
  <si>
    <t>Total Equity (Book Value)</t>
  </si>
  <si>
    <t>6. REVENUE MIX BY STREAM (Annual, AUD)</t>
  </si>
  <si>
    <t>VHA (Venue Hire)</t>
  </si>
  <si>
    <t>7. SENSITIVITY - ENTERPRISE VALUE (WACC vs Exit Multiple)</t>
  </si>
  <si>
    <t>WACC ↓ / Multiple →</t>
  </si>
  <si>
    <t>8. SENSITIVITY - EQUITY IRR (EBITDA Δ vs Exit Multiple)</t>
  </si>
  <si>
    <t>EBITDA Δ ↓ / Multiple →</t>
  </si>
  <si>
    <t>9. CHART DATA (Feeds Dynamic Dashboard Charts)</t>
  </si>
  <si>
    <t>Linked formulas pulling from sections above — do not edit directly.</t>
  </si>
  <si>
    <t>1. Revenue / EBITDA / NPAT</t>
  </si>
  <si>
    <t>2. Revenue Mix FY30 (Stabilised)</t>
  </si>
  <si>
    <t>2. Revenue Mix FY38 (Exit)</t>
  </si>
  <si>
    <t>3. Debt vs Cash</t>
  </si>
  <si>
    <t>Cash Balance</t>
  </si>
  <si>
    <t>4. DSCR vs Covenant</t>
  </si>
  <si>
    <t>Minimum Covenant (1.20x)</t>
  </si>
  <si>
    <t>5. Cash Flow Profile</t>
  </si>
  <si>
    <t>6. Dividends &amp; Community Fund</t>
  </si>
  <si>
    <t>7. Capital Structure</t>
  </si>
  <si>
    <t>Amount</t>
  </si>
  <si>
    <t>Initial Cash Inflow</t>
  </si>
  <si>
    <t>Working Capital</t>
  </si>
  <si>
    <t>Bank Term Debt</t>
  </si>
  <si>
    <t>8. Equity &amp; Asset Growth</t>
  </si>
  <si>
    <t>10. OPERATIONAL KPI</t>
  </si>
  <si>
    <t>Revenue per Event Day ($)</t>
  </si>
  <si>
    <t>Revenue Growth %</t>
  </si>
  <si>
    <t>11. CAPEX BREAKDOWN</t>
  </si>
  <si>
    <t>Total Capex ($)</t>
  </si>
  <si>
    <t>12. SCENARIO COMPARISON</t>
  </si>
  <si>
    <t>IRR Impact (pp)</t>
  </si>
  <si>
    <t>13. EXIT WATERFALL (FY38)</t>
  </si>
  <si>
    <t>PV of Operating FCF (FY25-FY38)</t>
  </si>
  <si>
    <t>Less: Net Debt at Valuation</t>
  </si>
  <si>
    <t>14. SCENARIO CHART HELPER INPUT</t>
  </si>
  <si>
    <t>IRR Delta (pp)</t>
  </si>
  <si>
    <t>15. EV WATERFALL CHART INPUT</t>
  </si>
  <si>
    <t>Positive</t>
  </si>
  <si>
    <t>Negative</t>
  </si>
  <si>
    <t>PV FCF</t>
  </si>
  <si>
    <t>PV TV</t>
  </si>
  <si>
    <t>EV</t>
  </si>
  <si>
    <t>Less Debt</t>
  </si>
  <si>
    <t>Add Cash</t>
  </si>
  <si>
    <t>16. DRAWDOWN SCHEDULE (Equity &amp; Debt drawn against milestones, AUD)</t>
  </si>
  <si>
    <t>Yearly view of capital deployed across construction. Funding rule: Equity-first (founder seed FY26 → PE equity FY27 → bank debt + IDC FY27).</t>
  </si>
  <si>
    <t>A. USES</t>
  </si>
  <si>
    <t>Construction capex</t>
  </si>
  <si>
    <t>IDC (capitalised interest)</t>
  </si>
  <si>
    <t>B. SOURCES (Drawdowns)</t>
  </si>
  <si>
    <t>PE equity drawn</t>
  </si>
  <si>
    <t>Total equity drawn</t>
  </si>
  <si>
    <t>Senior bank debt drawn</t>
  </si>
  <si>
    <t>WC Facility drawn</t>
  </si>
  <si>
    <t>Lease deposit drawn</t>
  </si>
  <si>
    <t>Total sources drawn</t>
  </si>
  <si>
    <t>$0</t>
  </si>
  <si>
    <t>C. CUMULATIVE &amp; FUNDING GAP</t>
  </si>
  <si>
    <t>Cumulative equity drawn</t>
  </si>
  <si>
    <t>Cumulative debt drawn</t>
  </si>
  <si>
    <t>Cumulative total funding</t>
  </si>
  <si>
    <t>Cumulative funding need</t>
  </si>
  <si>
    <t>Funding gap (Cumul. funding − Cumul. need)</t>
  </si>
  <si>
    <t>D. CAPITAL STRUCTURE (at completion)</t>
  </si>
  <si>
    <t>Equity % of total funding</t>
  </si>
  <si>
    <t>Debt % of total funding</t>
  </si>
  <si>
    <t>E. MILESTONE MAP</t>
  </si>
  <si>
    <t>Equity drawn (FY)</t>
  </si>
  <si>
    <t>Debt drawn (FY)</t>
  </si>
  <si>
    <t>Bank conditions precedent (typical)</t>
  </si>
  <si>
    <t>Financial close &amp; site secured (lease deposit, founder equity)</t>
  </si>
  <si>
    <t>Loan term sheet executed; lease bond paid; insurances bound; founder equity injected; auditor sign-off on opening balances</t>
  </si>
  <si>
    <t>Construction &amp; commissioning (PE equity + debt drawdown)</t>
  </si>
  <si>
    <t>100% IFC drawings &amp; permits; supplier performance bonds active; independent engineer certificates; debt drawdown stops; debt converts to term loan at practical completion</t>
  </si>
  <si>
    <t>Operations commence (no further draws)</t>
  </si>
  <si>
    <t>Practical completion certificate; operations licence; full operating insurance bound; debt amortisation begins</t>
  </si>
  <si>
    <t>F. VALIDATION CHECKS</t>
  </si>
  <si>
    <t>Expected</t>
  </si>
  <si>
    <t>Actual</t>
  </si>
  <si>
    <t>Total funding sources = Total funding need</t>
  </si>
  <si>
    <t>Should match. Existing model is balanced.</t>
  </si>
  <si>
    <t>Total equity = Inputs!E72</t>
  </si>
  <si>
    <t>Total equity drawn equals planned equity from Inputs sheet.</t>
  </si>
  <si>
    <t>Total debt = Inputs!E51</t>
  </si>
  <si>
    <t>Total debt drawn equals senior loan principal.</t>
  </si>
  <si>
    <t>Final cumulative gap (FY35) = 0</t>
  </si>
  <si>
    <t>Cumulative funding equals cumulative need at end of model.</t>
  </si>
  <si>
    <t>Metrics in Millions</t>
  </si>
  <si>
    <t>For Internal use</t>
  </si>
  <si>
    <t>Value in Million</t>
  </si>
  <si>
    <t xml:space="preserve">  Founder / Seed Equity</t>
  </si>
  <si>
    <t>Debt &amp; Leverage</t>
  </si>
  <si>
    <t>Key Investment Metrics</t>
  </si>
  <si>
    <t>Payback Years</t>
  </si>
  <si>
    <t>&lt; 3 years</t>
  </si>
  <si>
    <t>Venue Capacity</t>
  </si>
  <si>
    <t>VENUE CONFIGURATION AND MAXIMUM CAPACITY</t>
  </si>
  <si>
    <t>Venue Configuration</t>
  </si>
  <si>
    <t>Maximum Venue Capacity</t>
  </si>
  <si>
    <t>Community Events</t>
  </si>
  <si>
    <t>Profitability Metrics</t>
  </si>
  <si>
    <t>PROFITABILITY METRICS (STABLIZED FY)</t>
  </si>
  <si>
    <t>Event Day Mix (Exit FY)</t>
  </si>
  <si>
    <t>Image doesn't look good with all data labels</t>
  </si>
  <si>
    <t xml:space="preserve">All data lable not showing with this size </t>
  </si>
  <si>
    <t>All data only visible with this size</t>
  </si>
  <si>
    <t>All data only visible in this size</t>
  </si>
  <si>
    <t>Capex by Category ($)</t>
  </si>
  <si>
    <t>$22M</t>
  </si>
  <si>
    <t>Average Revenue per event day</t>
  </si>
  <si>
    <t>Events</t>
  </si>
  <si>
    <t>For Teaser Deck</t>
  </si>
  <si>
    <t>For Teaser Deck Debt</t>
  </si>
  <si>
    <t>Total Project Cost</t>
  </si>
  <si>
    <t>Target Equity IRR</t>
  </si>
  <si>
    <t>Project Start Date</t>
  </si>
  <si>
    <t>FY 27</t>
  </si>
  <si>
    <t>Stabilised EBITDA margin</t>
  </si>
  <si>
    <t>PayBack Period ( in years)</t>
  </si>
  <si>
    <t>Stabilised EBITDA Margin</t>
  </si>
  <si>
    <t>Build Time</t>
  </si>
  <si>
    <t>&lt;12 months</t>
  </si>
  <si>
    <t>Stabilised DSCR</t>
  </si>
  <si>
    <t>[X.Xx]</t>
  </si>
  <si>
    <t>Stressed DSCR (+200bps, −15% revenue)</t>
  </si>
  <si>
    <t>[Y.Yx]</t>
  </si>
  <si>
    <t>LTC at Drawdown</t>
  </si>
  <si>
    <t>LTV at Stabilisation</t>
  </si>
  <si>
    <t>[Z]%</t>
  </si>
  <si>
    <t>Debt Service Reserve</t>
  </si>
  <si>
    <t>6-12 months pre-funded</t>
  </si>
  <si>
    <t>Construction Contingency</t>
  </si>
  <si>
    <t>10-15% of build cost</t>
  </si>
  <si>
    <t>Payback (Senior Debt)</t>
  </si>
  <si>
    <t>[X] years</t>
  </si>
  <si>
    <t>Task</t>
  </si>
  <si>
    <t>Start</t>
  </si>
  <si>
    <t>End</t>
  </si>
  <si>
    <t>Phase</t>
  </si>
  <si>
    <t>Feb'25</t>
  </si>
  <si>
    <t>Mar</t>
  </si>
  <si>
    <t>Apr</t>
  </si>
  <si>
    <t>May</t>
  </si>
  <si>
    <t>Jun</t>
  </si>
  <si>
    <t>Jul</t>
  </si>
  <si>
    <t>Aug</t>
  </si>
  <si>
    <t>Sep</t>
  </si>
  <si>
    <t>Oct</t>
  </si>
  <si>
    <t>Nov</t>
  </si>
  <si>
    <t>Dec</t>
  </si>
  <si>
    <t>Jan'26</t>
  </si>
  <si>
    <t>Feb</t>
  </si>
  <si>
    <t>Jan'27</t>
  </si>
  <si>
    <t>Planning</t>
  </si>
  <si>
    <t>█</t>
  </si>
  <si>
    <t>Design Development</t>
  </si>
  <si>
    <t>Pre-Lease</t>
  </si>
  <si>
    <t>Fabrication</t>
  </si>
  <si>
    <t>Construction</t>
  </si>
  <si>
    <t>Possession/Handover</t>
  </si>
  <si>
    <t>Commissioning</t>
  </si>
  <si>
    <t>▼ Today</t>
  </si>
  <si>
    <t>▼</t>
  </si>
  <si>
    <t>LEGEND</t>
  </si>
  <si>
    <t>● Planning</t>
  </si>
  <si>
    <t>● Pre-Lease</t>
  </si>
  <si>
    <t>● Construction</t>
  </si>
  <si>
    <t>● Commissioning</t>
  </si>
  <si>
    <t>● Operations</t>
  </si>
  <si>
    <t>KEY DATES</t>
  </si>
  <si>
    <t>Days to Lease:</t>
  </si>
  <si>
    <t>Days to Ops:</t>
  </si>
  <si>
    <t>Corporate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</si>
</sst>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164" formatCode="0.0%"/>
    <numFmt numFmtId="165" formatCode="0.0\x"/>
    <numFmt numFmtId="166" formatCode="\$#,##0,,\M"/>
    <numFmt numFmtId="167" formatCode="0.0"/>
    <numFmt numFmtId="168" formatCode="\$#,##0"/>
    <numFmt numFmtId="169" formatCode="\+0.0%;\-0.0%;&quot;Baseline&quot;"/>
    <numFmt numFmtId="170" formatCode="\+0.00&quot; pp&quot;;\-0.00&quot; pp&quot;"/>
    <numFmt numFmtId="171" formatCode="\+0%;\-0%;\-"/>
    <numFmt numFmtId="172" formatCode="\+0.00&quot; pp&quot;;\-0.00&quot; pp&quot;;\-"/>
    <numFmt numFmtId="173" formatCode="&quot;($&quot;#,##0,,&quot;M)&quot;;&quot;($&quot;#,##0,,&quot;M)&quot;"/>
    <numFmt numFmtId="174" formatCode="\$#,##0;&quot;($&quot;#,##0\);\-"/>
    <numFmt numFmtId="175" formatCode="0.00\x"/>
    <numFmt numFmtId="176" formatCode="dd\-mmm\-yyyy"/>
    <numFmt numFmtId="177" formatCode="dd\-mmm\-yy"/>
    <numFmt numFmtId="178" formatCode="#,##0;[Red]\(#,##0\);0"/>
    <numFmt numFmtId="179" formatCode="dd/mm/yyyy"/>
    <numFmt numFmtId="180" formatCode="_-* #,##0_-;\-* #,##0_-;_-* \-??_-;_-@"/>
    <numFmt numFmtId="181" formatCode="d/m/yyyy"/>
    <numFmt numFmtId="182" formatCode="\$#,##0.00;&quot;($&quot;#,##0.00\);\-"/>
    <numFmt numFmtId="183" formatCode="_-* #,##0_-;\-* #,##0_-;_-* &quot;-&quot;??_-;_-@"/>
    <numFmt numFmtId="184" formatCode="0.00\x;\(0.00&quot;x)&quot;;\-"/>
    <numFmt numFmtId="185" formatCode="_-\$* #,##0_-;&quot;-$&quot;* #,##0_-;_-\$* \-??_-;_-@"/>
    <numFmt numFmtId="186" formatCode="#,##0;\(#,##0\);\-"/>
    <numFmt numFmtId="187" formatCode="0.0000"/>
    <numFmt numFmtId="188" formatCode="_(\$* #,##0_);_(\$* \(#,##0\);_(\$* \-??_);_(@_)"/>
    <numFmt numFmtId="189" formatCode="_(\$* #,##0.00_);_(\$* \(#,##0.00\);_(\$* \-??_);_(@_)"/>
    <numFmt numFmtId="190" formatCode="&quot;$&quot;#,##0"/>
    <numFmt numFmtId="191" formatCode="_(&quot;$&quot;* #,##0_);_(&quot;$&quot;* \(#,##0\);_(&quot;$&quot;* &quot;-&quot;??_);_(@_)"/>
    <numFmt numFmtId="192" formatCode="_(&quot;$&quot;* #,##0.00_);_(&quot;$&quot;* \(#,##0.00\);_(&quot;$&quot;* &quot;-&quot;??_);_(@_)"/>
    <numFmt numFmtId="193" formatCode="_-&quot;$&quot;* #,##0_-;\-&quot;$&quot;* #,##0_-;_-&quot;$&quot;* &quot;-&quot;??_-;_-@"/>
    <numFmt numFmtId="194" formatCode="_(* #,##0.00_);_(* \(#,##0.00\);_(* &quot;-&quot;??_);_(@_)"/>
    <numFmt numFmtId="195" formatCode="_(* #,##0_);_(* \(#,##0\);_(* &quot;-&quot;??_);_(@_)"/>
    <numFmt numFmtId="196" formatCode="_(* #,##0_);_(* \(#,##0\);_(* \-??_);_(@_)"/>
    <numFmt numFmtId="197" formatCode="_-&quot;$&quot;* #,##0_-;\-&quot;$&quot;* #,##0_-;_-&quot;$&quot;* &quot;-&quot;?_-;_-@"/>
    <numFmt numFmtId="198" formatCode="_-* #,##0_-;* \(#,##0\)_-;_-* \-??_-;_-@"/>
    <numFmt numFmtId="201" formatCode="0.0%;\(0.0%\);\-"/>
    <numFmt numFmtId="202" formatCode="\$#,##0;\-;\-"/>
    <numFmt numFmtId="203" formatCode="\ \ \ \ \$0,,&quot;M&quot;"/>
    <numFmt numFmtId="204" formatCode="\$0,&quot;K&quot;"/>
    <numFmt numFmtId="205" formatCode="\ \ \ \ \$0.0,,&quot;M&quot;"/>
    <numFmt numFmtId="206" formatCode="\+0.00;\-0.00;\-"/>
    <numFmt numFmtId="207" formatCode="&quot;$&quot;#,##0;&quot;($&quot;#,##0\);\-"/>
    <numFmt numFmtId="208" formatCode="#,##0.0"/>
    <numFmt numFmtId="209" formatCode="0.0,&quot;K&quot;"/>
    <numFmt numFmtId="210" formatCode="d\-mmmm\-yy"/>
    <numFmt numFmtId="211" formatCode="0;\-0;&quot;–&quot;"/>
    <numFmt numFmtId="212" formatCode="#,##0;\(#,##0\);&quot;–&quot;"/>
    <numFmt numFmtId="213" formatCode="&quot;$&quot;#,##0;\(&quot;$&quot;#,##0\);&quot;–&quot;"/>
    <numFmt numFmtId="214" formatCode="0.00&quot;x&quot;;;&quot;–&quot;"/>
  </numFmts>
  <fonts count="239">
    <font>
      <sz val="11"/>
      <color rgb="FF000000"/>
      <name val="Aptos Narrow"/>
      <scheme val="minor"/>
    </font>
    <font>
      <b/>
      <sz val="14"/>
      <color rgb="FFFFFFFF"/>
      <name val="Arial"/>
      <family val="2"/>
    </font>
    <font>
      <sz val="11"/>
      <name val="Aptos Narrow"/>
      <family val="2"/>
    </font>
    <font>
      <sz val="11"/>
      <color rgb="FF000000"/>
      <name val="&quot;Aptos Narrow&quot;"/>
    </font>
    <font>
      <i/>
      <sz val="11"/>
      <color rgb="FF6B7280"/>
      <name val="Arial"/>
      <family val="2"/>
    </font>
    <font>
      <b/>
      <sz val="11"/>
      <color rgb="FFFFFFFF"/>
      <name val="Arial"/>
      <family val="2"/>
    </font>
    <font>
      <b/>
      <sz val="11"/>
      <color rgb="FF000000"/>
      <name val="Arial"/>
      <family val="2"/>
    </font>
    <font>
      <sz val="11"/>
      <color rgb="FF000000"/>
      <name val="Arial"/>
      <family val="2"/>
    </font>
    <font>
      <sz val="11"/>
      <color theme="1"/>
      <name val="Aptos Narrow"/>
      <family val="2"/>
    </font>
    <font>
      <b/>
      <sz val="14"/>
      <color rgb="FF000000"/>
      <name val="Calibri"/>
      <family val="2"/>
    </font>
    <font>
      <sz val="11"/>
      <color rgb="FF000000"/>
      <name val="Calibri"/>
      <family val="2"/>
    </font>
    <font>
      <sz val="12"/>
      <color rgb="FF000000"/>
      <name val="Calibri"/>
      <family val="2"/>
    </font>
    <font>
      <sz val="12"/>
      <color theme="1"/>
      <name val="Calibri"/>
      <family val="2"/>
    </font>
    <font>
      <b/>
      <sz val="20"/>
      <color rgb="FFFFFFFF"/>
      <name val="Calibri"/>
      <family val="2"/>
    </font>
    <font>
      <sz val="11"/>
      <color rgb="FF1F3864"/>
      <name val="Calibri"/>
      <family val="2"/>
    </font>
    <font>
      <i/>
      <sz val="11"/>
      <color rgb="FFFFFFFF"/>
      <name val="Calibri"/>
      <family val="2"/>
    </font>
    <font>
      <i/>
      <sz val="10"/>
      <color rgb="FFFFFFFF"/>
      <name val="Calibri"/>
      <family val="2"/>
    </font>
    <font>
      <b/>
      <i/>
      <sz val="11"/>
      <color rgb="FFFFD700"/>
      <name val="Calibri"/>
      <family val="2"/>
    </font>
    <font>
      <b/>
      <sz val="11"/>
      <color rgb="FFFFD700"/>
      <name val="Calibri"/>
      <family val="2"/>
    </font>
    <font>
      <b/>
      <sz val="12"/>
      <color rgb="FF1F3864"/>
      <name val="Calibri"/>
      <family val="2"/>
    </font>
    <font>
      <b/>
      <sz val="9"/>
      <color rgb="FF2E7D32"/>
      <name val="Calibri"/>
      <family val="2"/>
    </font>
    <font>
      <b/>
      <sz val="9"/>
      <color rgb="FF1565C0"/>
      <name val="Calibri"/>
      <family val="2"/>
    </font>
    <font>
      <b/>
      <sz val="9"/>
      <color rgb="FF6A1B9A"/>
      <name val="Calibri"/>
      <family val="2"/>
    </font>
    <font>
      <b/>
      <sz val="9"/>
      <color rgb="FFEF6C00"/>
      <name val="Calibri"/>
      <family val="2"/>
    </font>
    <font>
      <b/>
      <sz val="9"/>
      <color rgb="FFC62828"/>
      <name val="Calibri"/>
      <family val="2"/>
    </font>
    <font>
      <b/>
      <sz val="9"/>
      <color rgb="FF455A64"/>
      <name val="Calibri"/>
      <family val="2"/>
    </font>
    <font>
      <b/>
      <sz val="20"/>
      <color rgb="FF2E7D32"/>
      <name val="Calibri"/>
      <family val="2"/>
    </font>
    <font>
      <b/>
      <sz val="20"/>
      <color rgb="FF1565C0"/>
      <name val="Calibri"/>
      <family val="2"/>
    </font>
    <font>
      <b/>
      <sz val="20"/>
      <color rgb="FF6A1B9A"/>
      <name val="Calibri"/>
      <family val="2"/>
    </font>
    <font>
      <b/>
      <sz val="20"/>
      <color rgb="FFEF6C00"/>
      <name val="Calibri"/>
      <family val="2"/>
    </font>
    <font>
      <b/>
      <sz val="20"/>
      <color rgb="FFC62828"/>
      <name val="Calibri"/>
      <family val="2"/>
    </font>
    <font>
      <b/>
      <sz val="20"/>
      <color rgb="FF455A64"/>
      <name val="Calibri"/>
      <family val="2"/>
    </font>
    <font>
      <i/>
      <sz val="8"/>
      <color rgb="FF595959"/>
      <name val="Calibri"/>
      <family val="2"/>
    </font>
    <font>
      <b/>
      <sz val="8"/>
      <color rgb="FF595959"/>
      <name val="Calibri"/>
      <family val="2"/>
    </font>
    <font>
      <b/>
      <sz val="14"/>
      <color rgb="FF5D4E6D"/>
      <name val="Calibri"/>
      <family val="2"/>
    </font>
    <font>
      <b/>
      <sz val="14"/>
      <color rgb="FF00695C"/>
      <name val="Calibri"/>
      <family val="2"/>
    </font>
    <font>
      <b/>
      <sz val="14"/>
      <color rgb="FF37474F"/>
      <name val="Calibri"/>
      <family val="2"/>
    </font>
    <font>
      <b/>
      <sz val="14"/>
      <color rgb="FF5D4037"/>
      <name val="Calibri"/>
      <family val="2"/>
    </font>
    <font>
      <b/>
      <sz val="14"/>
      <color rgb="FF4E342E"/>
      <name val="Calibri"/>
      <family val="2"/>
    </font>
    <font>
      <i/>
      <sz val="9"/>
      <color rgb="FF7F7F7F"/>
      <name val="Calibri"/>
      <family val="2"/>
    </font>
    <font>
      <b/>
      <sz val="11"/>
      <color theme="1"/>
      <name val="Calibri"/>
      <family val="2"/>
    </font>
    <font>
      <b/>
      <sz val="9"/>
      <color rgb="FF000000"/>
      <name val="Calibri"/>
      <family val="2"/>
    </font>
    <font>
      <sz val="9"/>
      <color rgb="FF000000"/>
      <name val="Calibri"/>
      <family val="2"/>
    </font>
    <font>
      <b/>
      <sz val="16"/>
      <color rgb="FFEF6C00"/>
      <name val="Calibri"/>
      <family val="2"/>
    </font>
    <font>
      <b/>
      <sz val="16"/>
      <color rgb="FF1565C0"/>
      <name val="Calibri"/>
      <family val="2"/>
    </font>
    <font>
      <b/>
      <sz val="16"/>
      <color rgb="FF2E7D32"/>
      <name val="Calibri"/>
      <family val="2"/>
    </font>
    <font>
      <b/>
      <sz val="16"/>
      <color rgb="FF6A1B9A"/>
      <name val="Calibri"/>
      <family val="2"/>
    </font>
    <font>
      <b/>
      <sz val="10"/>
      <color rgb="FFFFFFFF"/>
      <name val="Calibri"/>
      <family val="2"/>
    </font>
    <font>
      <b/>
      <sz val="10"/>
      <color rgb="FF000000"/>
      <name val="Calibri"/>
      <family val="2"/>
    </font>
    <font>
      <b/>
      <sz val="10"/>
      <color rgb="FFC62828"/>
      <name val="Calibri"/>
      <family val="2"/>
    </font>
    <font>
      <sz val="10"/>
      <color rgb="FF000000"/>
      <name val="Calibri"/>
      <family val="2"/>
    </font>
    <font>
      <sz val="10"/>
      <color rgb="FFC62828"/>
      <name val="Calibri"/>
      <family val="2"/>
    </font>
    <font>
      <b/>
      <sz val="11"/>
      <color rgb="FFFFFFFF"/>
      <name val="Calibri"/>
      <family val="2"/>
    </font>
    <font>
      <b/>
      <sz val="10"/>
      <color rgb="FF1F3864"/>
      <name val="Calibri"/>
      <family val="2"/>
    </font>
    <font>
      <sz val="10"/>
      <color rgb="FF0070C0"/>
      <name val="Calibri"/>
      <family val="2"/>
    </font>
    <font>
      <sz val="10"/>
      <color rgb="FF7F7F7F"/>
      <name val="Calibri"/>
      <family val="2"/>
    </font>
    <font>
      <sz val="10"/>
      <color rgb="FF2E7D32"/>
      <name val="Calibri"/>
      <family val="2"/>
    </font>
    <font>
      <b/>
      <sz val="10"/>
      <color rgb="FF0070C0"/>
      <name val="Calibri"/>
      <family val="2"/>
    </font>
    <font>
      <i/>
      <sz val="10"/>
      <color rgb="FF000000"/>
      <name val="Calibri"/>
      <family val="2"/>
    </font>
    <font>
      <b/>
      <i/>
      <sz val="10"/>
      <color rgb="FFEF6C00"/>
      <name val="Calibri"/>
      <family val="2"/>
    </font>
    <font>
      <b/>
      <sz val="12"/>
      <color rgb="FFFFFFFF"/>
      <name val="Calibri"/>
      <family val="2"/>
    </font>
    <font>
      <sz val="10"/>
      <color rgb="FF1F3864"/>
      <name val="Calibri"/>
      <family val="2"/>
    </font>
    <font>
      <i/>
      <sz val="10"/>
      <color rgb="FF1F3864"/>
      <name val="Calibri"/>
      <family val="2"/>
    </font>
    <font>
      <i/>
      <sz val="11"/>
      <color rgb="FF404040"/>
      <name val="Calibri"/>
      <family val="2"/>
    </font>
    <font>
      <b/>
      <sz val="9"/>
      <color rgb="FF1F3864"/>
      <name val="Calibri"/>
      <family val="2"/>
    </font>
    <font>
      <b/>
      <sz val="14"/>
      <color rgb="FF1F3864"/>
      <name val="Calibri"/>
      <family val="2"/>
    </font>
    <font>
      <i/>
      <sz val="8"/>
      <color rgb="FF404040"/>
      <name val="Calibri"/>
      <family val="2"/>
    </font>
    <font>
      <b/>
      <sz val="11"/>
      <color rgb="FF000000"/>
      <name val="Calibri"/>
      <family val="2"/>
    </font>
    <font>
      <sz val="11"/>
      <color rgb="FF008000"/>
      <name val="Calibri"/>
      <family val="2"/>
    </font>
    <font>
      <b/>
      <sz val="11"/>
      <color rgb="FF008000"/>
      <name val="Calibri"/>
      <family val="2"/>
    </font>
    <font>
      <i/>
      <sz val="9"/>
      <color rgb="FF0563C1"/>
      <name val="Calibri"/>
      <family val="2"/>
    </font>
    <font>
      <b/>
      <sz val="11"/>
      <color rgb="FF548235"/>
      <name val="Calibri"/>
      <family val="2"/>
    </font>
    <font>
      <b/>
      <sz val="11"/>
      <color rgb="FFC00000"/>
      <name val="Calibri"/>
      <family val="2"/>
    </font>
    <font>
      <b/>
      <sz val="14"/>
      <color rgb="FFFFFFFF"/>
      <name val="Calibri"/>
      <family val="2"/>
    </font>
    <font>
      <b/>
      <i/>
      <sz val="11"/>
      <color rgb="FF666666"/>
      <name val="Calibri"/>
      <family val="2"/>
    </font>
    <font>
      <b/>
      <sz val="11"/>
      <color rgb="FFEE1C24"/>
      <name val="Calibri"/>
      <family val="2"/>
    </font>
    <font>
      <b/>
      <sz val="11"/>
      <color theme="0"/>
      <name val="Calibri"/>
      <family val="2"/>
    </font>
    <font>
      <sz val="14"/>
      <color rgb="FFFFFFFF"/>
      <name val="Calibri"/>
      <family val="2"/>
    </font>
    <font>
      <i/>
      <sz val="11"/>
      <color rgb="FF000000"/>
      <name val="Calibri"/>
      <family val="2"/>
    </font>
    <font>
      <sz val="11"/>
      <color rgb="FF000000"/>
      <name val="Aptos Narrow"/>
      <family val="2"/>
    </font>
    <font>
      <i/>
      <sz val="11"/>
      <color rgb="FF000000"/>
      <name val="Aptos Narrow"/>
      <family val="2"/>
    </font>
    <font>
      <i/>
      <sz val="8"/>
      <color rgb="FF000000"/>
      <name val="Calibri"/>
      <family val="2"/>
    </font>
    <font>
      <b/>
      <sz val="11"/>
      <color rgb="FF4D94D8"/>
      <name val="Calibri"/>
      <family val="2"/>
    </font>
    <font>
      <sz val="11"/>
      <color theme="1"/>
      <name val="Aptos Narrow"/>
      <family val="2"/>
      <scheme val="minor"/>
    </font>
    <font>
      <sz val="8"/>
      <color rgb="FF0000FF"/>
      <name val="Calibri"/>
      <family val="2"/>
    </font>
    <font>
      <sz val="8"/>
      <color rgb="FF0000FF"/>
      <name val="Aptos Narrow"/>
      <family val="2"/>
    </font>
    <font>
      <b/>
      <sz val="11"/>
      <color rgb="FF000000"/>
      <name val="Aptos Narrow"/>
      <family val="2"/>
    </font>
    <font>
      <sz val="7"/>
      <color rgb="FF0000FF"/>
      <name val="Calibri"/>
      <family val="2"/>
    </font>
    <font>
      <sz val="7"/>
      <color rgb="FF0000FF"/>
      <name val="Aptos Narrow"/>
      <family val="2"/>
    </font>
    <font>
      <b/>
      <sz val="11"/>
      <color theme="1"/>
      <name val="Aptos Narrow"/>
      <family val="2"/>
      <scheme val="minor"/>
    </font>
    <font>
      <sz val="11"/>
      <color rgb="FF4D94D8"/>
      <name val="Calibri"/>
      <family val="2"/>
    </font>
    <font>
      <b/>
      <i/>
      <sz val="11"/>
      <color rgb="FF000000"/>
      <name val="Calibri"/>
      <family val="2"/>
    </font>
    <font>
      <sz val="11"/>
      <color rgb="FFFFFFFF"/>
      <name val="Calibri"/>
      <family val="2"/>
    </font>
    <font>
      <b/>
      <i/>
      <sz val="8"/>
      <color rgb="FFA6A6A6"/>
      <name val="Calibri"/>
      <family val="2"/>
    </font>
    <font>
      <i/>
      <sz val="8"/>
      <color theme="1"/>
      <name val="Aptos Narrow"/>
      <family val="2"/>
      <scheme val="minor"/>
    </font>
    <font>
      <b/>
      <i/>
      <sz val="8"/>
      <color rgb="FF808080"/>
      <name val="Calibri"/>
      <family val="2"/>
    </font>
    <font>
      <i/>
      <sz val="8"/>
      <color rgb="FFA6A6A6"/>
      <name val="Calibri"/>
      <family val="2"/>
    </font>
    <font>
      <i/>
      <sz val="8"/>
      <color rgb="FFFFFFFF"/>
      <name val="Calibri"/>
      <family val="2"/>
    </font>
    <font>
      <i/>
      <sz val="8"/>
      <color rgb="FFA5A5A5"/>
      <name val="Calibri"/>
      <family val="2"/>
    </font>
    <font>
      <i/>
      <sz val="8"/>
      <color theme="1"/>
      <name val="Arial"/>
      <family val="2"/>
    </font>
    <font>
      <sz val="11"/>
      <color theme="4"/>
      <name val="Calibri"/>
      <family val="2"/>
    </font>
    <font>
      <b/>
      <sz val="11"/>
      <color theme="4"/>
      <name val="Calibri"/>
      <family val="2"/>
    </font>
    <font>
      <i/>
      <sz val="7"/>
      <color rgb="FF000000"/>
      <name val="Calibri"/>
      <family val="2"/>
    </font>
    <font>
      <i/>
      <sz val="7"/>
      <color theme="1"/>
      <name val="Aptos Narrow"/>
      <family val="2"/>
      <scheme val="minor"/>
    </font>
    <font>
      <b/>
      <i/>
      <sz val="7"/>
      <color rgb="FF000000"/>
      <name val="Calibri"/>
      <family val="2"/>
    </font>
    <font>
      <sz val="11"/>
      <color theme="1"/>
      <name val="Calibri"/>
      <family val="2"/>
    </font>
    <font>
      <b/>
      <sz val="11"/>
      <color theme="1"/>
      <name val="Arial"/>
      <family val="2"/>
    </font>
    <font>
      <sz val="11"/>
      <color theme="1"/>
      <name val="Arial"/>
      <family val="2"/>
    </font>
    <font>
      <b/>
      <sz val="11"/>
      <color rgb="FFFFFFFF"/>
      <name val="Arial"/>
      <family val="2"/>
    </font>
    <font>
      <b/>
      <sz val="9"/>
      <color rgb="FF1B3A6B"/>
      <name val="Arial"/>
      <family val="2"/>
    </font>
    <font>
      <sz val="9"/>
      <color rgb="FF000000"/>
      <name val="Arial"/>
      <family val="2"/>
    </font>
    <font>
      <b/>
      <sz val="11"/>
      <color rgb="FF0000FF"/>
      <name val="Arial"/>
      <family val="2"/>
    </font>
    <font>
      <u/>
      <sz val="9"/>
      <color rgb="FF467886"/>
      <name val="Arial"/>
      <family val="2"/>
    </font>
    <font>
      <sz val="9"/>
      <color rgb="FF1B3A6B"/>
      <name val="Arial"/>
      <family val="2"/>
    </font>
    <font>
      <b/>
      <sz val="11"/>
      <color rgb="FF1B3A6B"/>
      <name val="Arial"/>
      <family val="2"/>
    </font>
    <font>
      <sz val="9"/>
      <color theme="1"/>
      <name val="Arial"/>
      <family val="2"/>
    </font>
    <font>
      <u/>
      <sz val="9"/>
      <color rgb="FF0000FF"/>
      <name val="Arial"/>
      <family val="2"/>
    </font>
    <font>
      <i/>
      <sz val="11"/>
      <color rgb="FF808080"/>
      <name val="Calibri"/>
      <family val="2"/>
    </font>
    <font>
      <sz val="11"/>
      <color rgb="FF333333"/>
      <name val="Calibri"/>
      <family val="2"/>
    </font>
    <font>
      <sz val="11"/>
      <color rgb="FF808080"/>
      <name val="Calibri"/>
      <family val="2"/>
    </font>
    <font>
      <sz val="10"/>
      <color rgb="FF0E2841"/>
      <name val="Calibri"/>
      <family val="2"/>
    </font>
    <font>
      <i/>
      <sz val="9"/>
      <color rgb="FF808080"/>
      <name val="Calibri"/>
      <family val="2"/>
    </font>
    <font>
      <b/>
      <sz val="10"/>
      <color theme="1"/>
      <name val="Calibri"/>
      <family val="2"/>
    </font>
    <font>
      <sz val="9"/>
      <color rgb="FF808080"/>
      <name val="Calibri"/>
      <family val="2"/>
    </font>
    <font>
      <sz val="10"/>
      <color theme="1"/>
      <name val="Calibri"/>
      <family val="2"/>
    </font>
    <font>
      <b/>
      <i/>
      <sz val="11"/>
      <color theme="1"/>
      <name val="Calibri"/>
      <family val="2"/>
    </font>
    <font>
      <i/>
      <sz val="10"/>
      <color theme="1"/>
      <name val="Calibri"/>
      <family val="2"/>
    </font>
    <font>
      <b/>
      <sz val="11"/>
      <color rgb="FF333333"/>
      <name val="Calibri"/>
      <family val="2"/>
    </font>
    <font>
      <sz val="10"/>
      <color rgb="FF333333"/>
      <name val="Calibri"/>
      <family val="2"/>
    </font>
    <font>
      <b/>
      <i/>
      <sz val="10"/>
      <color rgb="FF808080"/>
      <name val="Calibri"/>
      <family val="2"/>
    </font>
    <font>
      <b/>
      <sz val="10"/>
      <color rgb="FF0E2841"/>
      <name val="Calibri"/>
      <family val="2"/>
    </font>
    <font>
      <sz val="11"/>
      <color rgb="FFFF0000"/>
      <name val="Calibri"/>
      <family val="2"/>
    </font>
    <font>
      <b/>
      <i/>
      <sz val="11"/>
      <color rgb="FF808080"/>
      <name val="Calibri"/>
      <family val="2"/>
    </font>
    <font>
      <b/>
      <sz val="11"/>
      <color rgb="FF808080"/>
      <name val="Calibri"/>
      <family val="2"/>
    </font>
    <font>
      <b/>
      <sz val="10"/>
      <color rgb="FF333333"/>
      <name val="Calibri"/>
      <family val="2"/>
    </font>
    <font>
      <i/>
      <sz val="10"/>
      <color rgb="FF808080"/>
      <name val="Calibri"/>
      <family val="2"/>
    </font>
    <font>
      <b/>
      <i/>
      <sz val="11"/>
      <color rgb="FF333333"/>
      <name val="Calibri"/>
      <family val="2"/>
    </font>
    <font>
      <i/>
      <sz val="11"/>
      <color rgb="FF0E2841"/>
      <name val="Calibri"/>
      <family val="2"/>
    </font>
    <font>
      <sz val="11"/>
      <color rgb="FF0E2841"/>
      <name val="Calibri"/>
      <family val="2"/>
    </font>
    <font>
      <b/>
      <sz val="11"/>
      <color rgb="FF1F4E79"/>
      <name val="Calibri"/>
      <family val="2"/>
    </font>
    <font>
      <b/>
      <i/>
      <sz val="11"/>
      <color rgb="FF1F4E79"/>
      <name val="Calibri"/>
      <family val="2"/>
    </font>
    <font>
      <b/>
      <sz val="10"/>
      <color rgb="FF1F4E79"/>
      <name val="Calibri"/>
      <family val="2"/>
    </font>
    <font>
      <b/>
      <sz val="11"/>
      <color theme="1"/>
      <name val="Aptos Narrow"/>
      <family val="2"/>
    </font>
    <font>
      <i/>
      <sz val="11"/>
      <color theme="1"/>
      <name val="Calibri"/>
      <family val="2"/>
    </font>
    <font>
      <i/>
      <sz val="11"/>
      <color rgb="FF666666"/>
      <name val="Calibri"/>
      <family val="2"/>
    </font>
    <font>
      <b/>
      <sz val="10"/>
      <color rgb="FF666666"/>
      <name val="Calibri"/>
      <family val="2"/>
    </font>
    <font>
      <sz val="10"/>
      <color rgb="FF666666"/>
      <name val="Calibri"/>
      <family val="2"/>
    </font>
    <font>
      <b/>
      <sz val="10"/>
      <color rgb="FF000000"/>
      <name val="Arial"/>
      <family val="2"/>
    </font>
    <font>
      <sz val="10"/>
      <color theme="1"/>
      <name val="Arial"/>
      <family val="2"/>
    </font>
    <font>
      <b/>
      <sz val="10"/>
      <color rgb="FFFF0000"/>
      <name val="Arial"/>
      <family val="2"/>
    </font>
    <font>
      <sz val="10"/>
      <color rgb="FF000000"/>
      <name val="Arial"/>
      <family val="2"/>
    </font>
    <font>
      <b/>
      <sz val="11"/>
      <color rgb="FFFF0000"/>
      <name val="Aptos Narrow"/>
      <family val="2"/>
    </font>
    <font>
      <sz val="11"/>
      <color rgb="FFFFFFFF"/>
      <name val="Aptos Narrow"/>
      <family val="2"/>
      <scheme val="minor"/>
    </font>
    <font>
      <b/>
      <i/>
      <sz val="11"/>
      <color rgb="FF000000"/>
      <name val="Aptos Narrow"/>
      <family val="2"/>
    </font>
    <font>
      <i/>
      <sz val="11"/>
      <color theme="1"/>
      <name val="Aptos Narrow"/>
      <family val="2"/>
      <scheme val="minor"/>
    </font>
    <font>
      <b/>
      <i/>
      <sz val="11"/>
      <color rgb="FF000000"/>
      <name val="Arial"/>
      <family val="2"/>
    </font>
    <font>
      <b/>
      <sz val="11"/>
      <color rgb="FF1F3864"/>
      <name val="Calibri"/>
      <family val="2"/>
    </font>
    <font>
      <i/>
      <sz val="10"/>
      <color rgb="FFFF0000"/>
      <name val="Arial"/>
      <family val="2"/>
    </font>
    <font>
      <b/>
      <sz val="10"/>
      <color theme="1"/>
      <name val="Arial"/>
      <family val="2"/>
    </font>
    <font>
      <b/>
      <sz val="11"/>
      <color rgb="FFFFFFFF"/>
      <name val="Aptos Narrow"/>
      <family val="2"/>
      <scheme val="minor"/>
    </font>
    <font>
      <i/>
      <sz val="9"/>
      <color theme="1"/>
      <name val="Aptos Narrow"/>
      <family val="2"/>
      <scheme val="minor"/>
    </font>
    <font>
      <i/>
      <sz val="9"/>
      <color rgb="FF000000"/>
      <name val="Calibri"/>
      <family val="2"/>
    </font>
    <font>
      <b/>
      <i/>
      <sz val="9"/>
      <color rgb="FF000000"/>
      <name val="Aptos Narrow"/>
      <family val="2"/>
    </font>
    <font>
      <i/>
      <sz val="9"/>
      <color rgb="FF000000"/>
      <name val="Aptos Narrow"/>
      <family val="2"/>
    </font>
    <font>
      <b/>
      <i/>
      <sz val="9"/>
      <color rgb="FF000000"/>
      <name val="Arial"/>
      <family val="2"/>
    </font>
    <font>
      <b/>
      <sz val="12"/>
      <color rgb="FF000000"/>
      <name val="Arial"/>
      <family val="2"/>
    </font>
    <font>
      <sz val="9"/>
      <color rgb="FF000000"/>
      <name val="Aptos Narrow"/>
      <family val="2"/>
    </font>
    <font>
      <b/>
      <sz val="11"/>
      <color rgb="FF000000"/>
      <name val="&quot;Aptos Narrow&quot;"/>
    </font>
    <font>
      <sz val="11"/>
      <color theme="1"/>
      <name val="Arial"/>
      <family val="2"/>
    </font>
    <font>
      <u/>
      <sz val="11"/>
      <color rgb="FF000000"/>
      <name val="Calibri"/>
      <family val="2"/>
    </font>
    <font>
      <b/>
      <i/>
      <u/>
      <sz val="9"/>
      <color rgb="FF000000"/>
      <name val="Calibri"/>
      <family val="2"/>
    </font>
    <font>
      <b/>
      <sz val="11"/>
      <color theme="1"/>
      <name val="Arial"/>
      <family val="2"/>
    </font>
    <font>
      <b/>
      <u/>
      <sz val="11"/>
      <color rgb="FFFFFFFF"/>
      <name val="Calibri"/>
      <family val="2"/>
    </font>
    <font>
      <b/>
      <sz val="10"/>
      <color rgb="FFEE1C24"/>
      <name val="Calibri"/>
      <family val="2"/>
    </font>
    <font>
      <b/>
      <sz val="10"/>
      <color rgb="FF4D94D8"/>
      <name val="Calibri"/>
      <family val="2"/>
    </font>
    <font>
      <i/>
      <sz val="10"/>
      <color rgb="FF7F7F7F"/>
      <name val="Calibri"/>
      <family val="2"/>
    </font>
    <font>
      <sz val="11"/>
      <color rgb="FF000000"/>
      <name val="Aptos Narrow"/>
      <family val="2"/>
      <scheme val="minor"/>
    </font>
    <font>
      <b/>
      <sz val="14"/>
      <color rgb="FF000000"/>
      <name val="Aptos Narrow"/>
      <family val="2"/>
    </font>
    <font>
      <b/>
      <sz val="18"/>
      <color rgb="FFED1C24"/>
      <name val="Calibri"/>
      <family val="2"/>
    </font>
    <font>
      <b/>
      <sz val="14"/>
      <color rgb="FFED1C24"/>
      <name val="Calibri"/>
      <family val="2"/>
    </font>
    <font>
      <u/>
      <sz val="11"/>
      <color theme="1"/>
      <name val="Calibri"/>
      <family val="2"/>
    </font>
    <font>
      <i/>
      <sz val="11"/>
      <color rgb="FF586577"/>
      <name val="Calibri"/>
      <family val="2"/>
    </font>
    <font>
      <sz val="11"/>
      <color rgb="FF586577"/>
      <name val="Calibri"/>
      <family val="2"/>
    </font>
    <font>
      <sz val="10"/>
      <color rgb="FF275317"/>
      <name val="Calibri"/>
      <family val="2"/>
    </font>
    <font>
      <sz val="10"/>
      <color theme="0"/>
      <name val="Calibri"/>
      <family val="2"/>
    </font>
    <font>
      <sz val="10"/>
      <color rgb="FFA5A5A5"/>
      <name val="Calibri"/>
      <family val="2"/>
    </font>
    <font>
      <sz val="11"/>
      <color rgb="FFA5A5A5"/>
      <name val="Calibri"/>
      <family val="2"/>
    </font>
    <font>
      <b/>
      <sz val="18"/>
      <color rgb="FF1F4E79"/>
      <name val="Calibri"/>
      <family val="2"/>
    </font>
    <font>
      <b/>
      <sz val="12"/>
      <color rgb="FF1F4E79"/>
      <name val="Calibri"/>
      <family val="2"/>
    </font>
    <font>
      <b/>
      <sz val="12"/>
      <color rgb="FFC00000"/>
      <name val="Calibri"/>
      <family val="2"/>
    </font>
    <font>
      <sz val="11"/>
      <color rgb="FF1F4E79"/>
      <name val="Calibri"/>
      <family val="2"/>
    </font>
    <font>
      <b/>
      <sz val="16"/>
      <color rgb="FFFFFFFF"/>
      <name val="Calibri"/>
      <family val="2"/>
    </font>
    <font>
      <i/>
      <sz val="11"/>
      <color rgb="FF595959"/>
      <name val="Calibri"/>
      <family val="2"/>
    </font>
    <font>
      <b/>
      <sz val="11"/>
      <color rgb="FF0070C0"/>
      <name val="Calibri"/>
      <family val="2"/>
    </font>
    <font>
      <sz val="9"/>
      <color rgb="FF7F7F7F"/>
      <name val="Calibri"/>
      <family val="2"/>
    </font>
    <font>
      <sz val="11"/>
      <color rgb="FF0070C0"/>
      <name val="Calibri"/>
      <family val="2"/>
    </font>
    <font>
      <b/>
      <i/>
      <sz val="11"/>
      <color rgb="FF1F3864"/>
      <name val="Calibri"/>
      <family val="2"/>
    </font>
    <font>
      <sz val="12"/>
      <color theme="1"/>
      <name val="Arial"/>
      <family val="2"/>
    </font>
    <font>
      <b/>
      <sz val="12"/>
      <color theme="1"/>
      <name val="Arial"/>
      <family val="2"/>
    </font>
    <font>
      <b/>
      <sz val="12"/>
      <color rgb="FF999999"/>
      <name val="Arial"/>
      <family val="2"/>
    </font>
    <font>
      <sz val="12"/>
      <color rgb="FF000000"/>
      <name val="Arial"/>
      <family val="2"/>
    </font>
    <font>
      <b/>
      <sz val="12"/>
      <color rgb="FFFFFFFF"/>
      <name val="Arial"/>
      <family val="2"/>
    </font>
    <font>
      <b/>
      <sz val="12"/>
      <color rgb="FFC62828"/>
      <name val="Arial"/>
      <family val="2"/>
    </font>
    <font>
      <sz val="12"/>
      <color rgb="FFC62828"/>
      <name val="Arial"/>
      <family val="2"/>
    </font>
    <font>
      <i/>
      <sz val="12"/>
      <color rgb="FF000000"/>
      <name val="Arial"/>
      <family val="2"/>
    </font>
    <font>
      <b/>
      <sz val="9"/>
      <color rgb="FF274E13"/>
      <name val="Calibri"/>
      <family val="2"/>
    </font>
    <font>
      <b/>
      <sz val="20"/>
      <color rgb="FFB6D7A8"/>
      <name val="Calibri"/>
      <family val="2"/>
    </font>
    <font>
      <sz val="10"/>
      <color theme="1"/>
      <name val="Aptos Narrow"/>
      <family val="2"/>
      <scheme val="minor"/>
    </font>
    <font>
      <b/>
      <sz val="10"/>
      <color theme="1"/>
      <name val="Arial Black"/>
      <family val="2"/>
    </font>
    <font>
      <b/>
      <sz val="18"/>
      <color rgb="FF1F2937"/>
      <name val="&quot;Aptos Narrow&quot;"/>
    </font>
    <font>
      <b/>
      <sz val="9"/>
      <color rgb="FF374151"/>
      <name val="&quot;Aptos Narrow&quot;"/>
    </font>
    <font>
      <sz val="7"/>
      <color rgb="FF6B7280"/>
      <name val="&quot;Aptos Narrow&quot;"/>
    </font>
    <font>
      <sz val="11"/>
      <color rgb="FF1F2937"/>
      <name val="&quot;Aptos Narrow&quot;"/>
    </font>
    <font>
      <sz val="9"/>
      <color rgb="FF4B5563"/>
      <name val="&quot;Aptos Narrow&quot;"/>
    </font>
    <font>
      <sz val="9"/>
      <color rgb="FF6B7280"/>
      <name val="&quot;Aptos Narrow&quot;"/>
    </font>
    <font>
      <i/>
      <sz val="8"/>
      <color rgb="FF6B7280"/>
      <name val="&quot;Aptos Narrow&quot;"/>
    </font>
    <font>
      <sz val="11"/>
      <color rgb="FF3B82F6"/>
      <name val="&quot;Aptos Narrow&quot;"/>
    </font>
    <font>
      <sz val="11"/>
      <color rgb="FF14B8A6"/>
      <name val="&quot;Aptos Narrow&quot;"/>
    </font>
    <font>
      <sz val="11"/>
      <color rgb="FFF59E0B"/>
      <name val="&quot;Aptos Narrow&quot;"/>
    </font>
    <font>
      <sz val="11"/>
      <color rgb="FF8B5CF6"/>
      <name val="&quot;Aptos Narrow&quot;"/>
    </font>
    <font>
      <sz val="11"/>
      <color rgb="FF10B981"/>
      <name val="&quot;Aptos Narrow&quot;"/>
    </font>
    <font>
      <b/>
      <sz val="8"/>
      <color rgb="FFDC2626"/>
      <name val="&quot;Aptos Narrow&quot;"/>
    </font>
    <font>
      <sz val="11"/>
      <color rgb="FFDC2626"/>
      <name val="&quot;Aptos Narrow&quot;"/>
    </font>
    <font>
      <b/>
      <sz val="8"/>
      <color rgb="FF6B7280"/>
      <name val="&quot;Aptos Narrow&quot;"/>
    </font>
    <font>
      <sz val="8"/>
      <color rgb="FF3B82F6"/>
      <name val="&quot;Aptos Narrow&quot;"/>
    </font>
    <font>
      <sz val="8"/>
      <color rgb="FF14B8A6"/>
      <name val="&quot;Aptos Narrow&quot;"/>
    </font>
    <font>
      <sz val="8"/>
      <color rgb="FFF59E0B"/>
      <name val="&quot;Aptos Narrow&quot;"/>
    </font>
    <font>
      <sz val="8"/>
      <color rgb="FF8B5CF6"/>
      <name val="&quot;Aptos Narrow&quot;"/>
    </font>
    <font>
      <sz val="8"/>
      <color rgb="FF10B981"/>
      <name val="&quot;Aptos Narrow&quot;"/>
    </font>
    <font>
      <b/>
      <sz val="9"/>
      <color rgb="FF1F2937"/>
      <name val="&quot;Aptos Narrow&quot;"/>
    </font>
    <font>
      <b/>
      <i/>
      <sz val="9"/>
      <color rgb="FF000000"/>
      <name val="Calibri"/>
      <family val="2"/>
    </font>
    <font>
      <b/>
      <i/>
      <u/>
      <sz val="9"/>
      <color rgb="FF1155CC"/>
      <name val="Calibri"/>
      <family val="2"/>
    </font>
    <font>
      <sz val="10"/>
      <color rgb="FFA6A6A6"/>
      <name val="Calibri"/>
      <family val="2"/>
    </font>
    <font>
      <sz val="10"/>
      <color rgb="FF808080"/>
      <name val="Calibri"/>
      <family val="2"/>
    </font>
    <font>
      <i/>
      <sz val="10"/>
      <color rgb="FFA6A6A6"/>
      <name val="Calibri"/>
      <family val="2"/>
    </font>
    <font>
      <b/>
      <i/>
      <sz val="10"/>
      <color rgb="FF404040"/>
      <name val="Calibri"/>
      <family val="2"/>
    </font>
    <font>
      <b/>
      <sz val="10"/>
      <color rgb="FFA6A6A6"/>
      <name val="Calibri"/>
      <family val="2"/>
    </font>
    <font>
      <sz val="10"/>
      <color rgb="FFBFBFBF"/>
      <name val="Calibri"/>
      <family val="2"/>
    </font>
    <font>
      <i/>
      <sz val="10"/>
      <color rgb="FFBFBFBF"/>
      <name val="Calibri"/>
      <family val="2"/>
    </font>
  </fonts>
  <fills count="72">
    <fill>
      <patternFill patternType="none"/>
    </fill>
    <fill>
      <patternFill patternType="gray125"/>
    </fill>
    <fill>
      <patternFill patternType="solid">
        <fgColor rgb="FF1F2937"/>
        <bgColor rgb="FF1F2937"/>
      </patternFill>
    </fill>
    <fill>
      <patternFill patternType="solid">
        <fgColor rgb="FF374151"/>
        <bgColor rgb="FF374151"/>
      </patternFill>
    </fill>
    <fill>
      <patternFill patternType="solid">
        <fgColor rgb="FFF3F4F6"/>
        <bgColor rgb="FFF3F4F6"/>
      </patternFill>
    </fill>
    <fill>
      <patternFill patternType="solid">
        <fgColor rgb="FFFFFFFF"/>
        <bgColor rgb="FFFFFFFF"/>
      </patternFill>
    </fill>
    <fill>
      <patternFill patternType="solid">
        <fgColor rgb="FF193B67"/>
        <bgColor rgb="FF193B67"/>
      </patternFill>
    </fill>
    <fill>
      <patternFill patternType="solid">
        <fgColor rgb="FF4472C4"/>
        <bgColor rgb="FF4472C4"/>
      </patternFill>
    </fill>
    <fill>
      <patternFill patternType="solid">
        <fgColor rgb="FFF5F5F5"/>
        <bgColor rgb="FFF5F5F5"/>
      </patternFill>
    </fill>
    <fill>
      <patternFill patternType="solid">
        <fgColor rgb="FFD9E1F2"/>
        <bgColor rgb="FFD9E1F2"/>
      </patternFill>
    </fill>
    <fill>
      <patternFill patternType="solid">
        <fgColor rgb="FFFFF2CC"/>
        <bgColor rgb="FFFFF2CC"/>
      </patternFill>
    </fill>
    <fill>
      <patternFill patternType="solid">
        <fgColor rgb="FFE1D5E7"/>
        <bgColor rgb="FFE1D5E7"/>
      </patternFill>
    </fill>
    <fill>
      <patternFill patternType="solid">
        <fgColor rgb="FFF2F2F2"/>
        <bgColor rgb="FFF2F2F2"/>
      </patternFill>
    </fill>
    <fill>
      <patternFill patternType="solid">
        <fgColor rgb="FFF8F9FC"/>
        <bgColor rgb="FFF8F9FC"/>
      </patternFill>
    </fill>
    <fill>
      <patternFill patternType="solid">
        <fgColor rgb="FF357F22"/>
        <bgColor rgb="FF357F22"/>
      </patternFill>
    </fill>
    <fill>
      <patternFill patternType="solid">
        <fgColor rgb="FF2E5597"/>
        <bgColor rgb="FF2E5597"/>
      </patternFill>
    </fill>
    <fill>
      <patternFill patternType="solid">
        <fgColor rgb="FFE61F25"/>
        <bgColor rgb="FFE61F25"/>
      </patternFill>
    </fill>
    <fill>
      <patternFill patternType="solid">
        <fgColor rgb="FFE7E9EA"/>
        <bgColor rgb="FFE7E9EA"/>
      </patternFill>
    </fill>
    <fill>
      <patternFill patternType="solid">
        <fgColor rgb="FF111111"/>
        <bgColor rgb="FF111111"/>
      </patternFill>
    </fill>
    <fill>
      <patternFill patternType="solid">
        <fgColor rgb="FF1F4E79"/>
        <bgColor rgb="FF1F4E79"/>
      </patternFill>
    </fill>
    <fill>
      <patternFill patternType="solid">
        <fgColor rgb="FFE2EFDA"/>
        <bgColor rgb="FFE2EFDA"/>
      </patternFill>
    </fill>
    <fill>
      <patternFill patternType="solid">
        <fgColor rgb="FFD9E2F3"/>
        <bgColor rgb="FFD9E2F3"/>
      </patternFill>
    </fill>
    <fill>
      <patternFill patternType="solid">
        <fgColor rgb="FFD6DCE5"/>
        <bgColor rgb="FFD6DCE5"/>
      </patternFill>
    </fill>
    <fill>
      <patternFill patternType="solid">
        <fgColor rgb="FFBBD7F1"/>
        <bgColor rgb="FFBBD7F1"/>
      </patternFill>
    </fill>
    <fill>
      <patternFill patternType="solid">
        <fgColor rgb="FF14325C"/>
        <bgColor rgb="FF14325C"/>
      </patternFill>
    </fill>
    <fill>
      <patternFill patternType="solid">
        <fgColor rgb="FF097C0D"/>
        <bgColor rgb="FF097C0D"/>
      </patternFill>
    </fill>
    <fill>
      <patternFill patternType="solid">
        <fgColor rgb="FFCFE2F3"/>
        <bgColor rgb="FFCFE2F3"/>
      </patternFill>
    </fill>
    <fill>
      <patternFill patternType="solid">
        <fgColor rgb="FF00FF00"/>
        <bgColor rgb="FF00FF00"/>
      </patternFill>
    </fill>
    <fill>
      <patternFill patternType="solid">
        <fgColor rgb="FF000000"/>
        <bgColor rgb="FF000000"/>
      </patternFill>
    </fill>
    <fill>
      <patternFill patternType="solid">
        <fgColor rgb="FF2B4A1B"/>
        <bgColor rgb="FF2B4A1B"/>
      </patternFill>
    </fill>
    <fill>
      <patternFill patternType="solid">
        <fgColor rgb="FFC6EFCE"/>
        <bgColor rgb="FFC6EFCE"/>
      </patternFill>
    </fill>
    <fill>
      <patternFill patternType="solid">
        <fgColor rgb="FFE0E0E0"/>
        <bgColor rgb="FFE0E0E0"/>
      </patternFill>
    </fill>
    <fill>
      <patternFill patternType="solid">
        <fgColor rgb="FFC9DAF8"/>
        <bgColor rgb="FFC9DAF8"/>
      </patternFill>
    </fill>
    <fill>
      <patternFill patternType="solid">
        <fgColor rgb="FF2E75B6"/>
        <bgColor rgb="FF2E75B6"/>
      </patternFill>
    </fill>
    <fill>
      <patternFill patternType="solid">
        <fgColor rgb="FFD6E4F0"/>
        <bgColor rgb="FFD6E4F0"/>
      </patternFill>
    </fill>
    <fill>
      <patternFill patternType="solid">
        <fgColor rgb="FF838383"/>
        <bgColor rgb="FF838383"/>
      </patternFill>
    </fill>
    <fill>
      <patternFill patternType="solid">
        <fgColor rgb="FFFFFFCB"/>
        <bgColor rgb="FFFFFFCB"/>
      </patternFill>
    </fill>
    <fill>
      <patternFill patternType="solid">
        <fgColor rgb="FFF8F8F8"/>
        <bgColor rgb="FFF8F8F8"/>
      </patternFill>
    </fill>
    <fill>
      <patternFill patternType="solid">
        <fgColor rgb="FFDCF2D3"/>
        <bgColor rgb="FFDCF2D3"/>
      </patternFill>
    </fill>
    <fill>
      <patternFill patternType="solid">
        <fgColor rgb="FFBEC0BD"/>
        <bgColor rgb="FFBEC0BD"/>
      </patternFill>
    </fill>
    <fill>
      <patternFill patternType="solid">
        <fgColor rgb="FFFFFFCC"/>
        <bgColor rgb="FFFFFFCC"/>
      </patternFill>
    </fill>
    <fill>
      <patternFill patternType="solid">
        <fgColor rgb="FFBDD7EE"/>
        <bgColor rgb="FFBDD7EE"/>
      </patternFill>
    </fill>
    <fill>
      <patternFill patternType="solid">
        <fgColor theme="0"/>
        <bgColor theme="0"/>
      </patternFill>
    </fill>
    <fill>
      <patternFill patternType="solid">
        <fgColor rgb="FF999999"/>
        <bgColor rgb="FF999999"/>
      </patternFill>
    </fill>
    <fill>
      <patternFill patternType="solid">
        <fgColor rgb="FFD9EEF6"/>
        <bgColor rgb="FFD9EEF6"/>
      </patternFill>
    </fill>
    <fill>
      <patternFill patternType="solid">
        <fgColor rgb="FFDDEBF7"/>
        <bgColor rgb="FFDDEBF7"/>
      </patternFill>
    </fill>
    <fill>
      <patternFill patternType="solid">
        <fgColor rgb="FFD9D9D9"/>
        <bgColor rgb="FFD9D9D9"/>
      </patternFill>
    </fill>
    <fill>
      <patternFill patternType="solid">
        <fgColor rgb="FFD8D8D8"/>
        <bgColor rgb="FFD8D8D8"/>
      </patternFill>
    </fill>
    <fill>
      <patternFill patternType="solid">
        <fgColor rgb="FF0000FF"/>
        <bgColor rgb="FF0000FF"/>
      </patternFill>
    </fill>
    <fill>
      <patternFill patternType="solid">
        <fgColor rgb="FFC0C0C0"/>
        <bgColor rgb="FFC0C0C0"/>
      </patternFill>
    </fill>
    <fill>
      <patternFill patternType="solid">
        <fgColor rgb="FFB7B7B7"/>
        <bgColor rgb="FFB7B7B7"/>
      </patternFill>
    </fill>
    <fill>
      <patternFill patternType="solid">
        <fgColor rgb="FFBFBFBF"/>
        <bgColor rgb="FFBFBFBF"/>
      </patternFill>
    </fill>
    <fill>
      <patternFill patternType="solid">
        <fgColor rgb="FFCAEDFB"/>
        <bgColor rgb="FFCAEDFB"/>
      </patternFill>
    </fill>
    <fill>
      <patternFill patternType="solid">
        <fgColor rgb="FFC1F0C8"/>
        <bgColor rgb="FFC1F0C8"/>
      </patternFill>
    </fill>
    <fill>
      <patternFill patternType="solid">
        <fgColor rgb="FFFAE2D5"/>
        <bgColor rgb="FFFAE2D5"/>
      </patternFill>
    </fill>
    <fill>
      <patternFill patternType="solid">
        <fgColor rgb="FFF1CEEE"/>
        <bgColor rgb="FFF1CEEE"/>
      </patternFill>
    </fill>
    <fill>
      <patternFill patternType="solid">
        <fgColor rgb="FFE5E5E5"/>
        <bgColor rgb="FFE5E5E5"/>
      </patternFill>
    </fill>
    <fill>
      <patternFill patternType="solid">
        <fgColor rgb="FFFFFF99"/>
        <bgColor rgb="FFFFFF99"/>
      </patternFill>
    </fill>
    <fill>
      <patternFill patternType="solid">
        <fgColor rgb="FFFFFF00"/>
        <bgColor rgb="FFFFFF00"/>
      </patternFill>
    </fill>
    <fill>
      <patternFill patternType="solid">
        <fgColor rgb="FF99CCFF"/>
        <bgColor rgb="FF99CCFF"/>
      </patternFill>
    </fill>
    <fill>
      <patternFill patternType="solid">
        <fgColor rgb="FFD6DCE4"/>
        <bgColor rgb="FFD6DCE4"/>
      </patternFill>
    </fill>
    <fill>
      <patternFill patternType="solid">
        <fgColor rgb="FF56863A"/>
        <bgColor rgb="FF56863A"/>
      </patternFill>
    </fill>
    <fill>
      <patternFill patternType="solid">
        <fgColor rgb="FFEB2710"/>
        <bgColor rgb="FFEB2710"/>
      </patternFill>
    </fill>
    <fill>
      <patternFill patternType="solid">
        <fgColor rgb="FFD0D0D0"/>
        <bgColor rgb="FFD0D0D0"/>
      </patternFill>
    </fill>
    <fill>
      <patternFill patternType="solid">
        <fgColor rgb="FFBFC0BF"/>
        <bgColor rgb="FFBFC0BF"/>
      </patternFill>
    </fill>
    <fill>
      <patternFill patternType="solid">
        <fgColor rgb="FFFF0000"/>
        <bgColor rgb="FFFF0000"/>
      </patternFill>
    </fill>
    <fill>
      <patternFill patternType="solid">
        <fgColor rgb="FFF9FAFB"/>
        <bgColor rgb="FFF9FAFB"/>
      </patternFill>
    </fill>
    <fill>
      <patternFill patternType="solid">
        <fgColor rgb="FFFAFAFA"/>
        <bgColor rgb="FFFAFAFA"/>
      </patternFill>
    </fill>
    <fill>
      <patternFill patternType="solid">
        <fgColor rgb="FFFFFFFF"/>
        <bgColor indexed="64"/>
      </patternFill>
    </fill>
    <fill>
      <patternFill patternType="solid">
        <fgColor rgb="FF1F3864"/>
        <bgColor indexed="64"/>
      </patternFill>
    </fill>
    <fill>
      <patternFill patternType="solid">
        <fgColor rgb="FFD9E1F2"/>
        <bgColor indexed="64"/>
      </patternFill>
    </fill>
    <fill>
      <patternFill patternType="solid">
        <fgColor rgb="FFBFBFBF"/>
        <bgColor indexed="64"/>
      </patternFill>
    </fill>
  </fills>
  <borders count="262">
    <border>
      <left/>
      <right/>
      <top/>
      <bottom/>
      <diagonal/>
    </border>
    <border>
      <left/>
      <right/>
      <top/>
      <bottom/>
      <diagonal/>
    </border>
    <border>
      <left/>
      <right/>
      <top/>
      <bottom/>
      <diagonal/>
    </border>
    <border>
      <left/>
      <right/>
      <top/>
      <bottom/>
      <diagonal/>
    </border>
    <border>
      <left style="thin">
        <color rgb="FF000000"/>
      </left>
      <right style="thin">
        <color rgb="FFD1D5DB"/>
      </right>
      <top style="thin">
        <color rgb="FF000000"/>
      </top>
      <bottom style="thin">
        <color rgb="FF374151"/>
      </bottom>
      <diagonal/>
    </border>
    <border>
      <left/>
      <right style="thin">
        <color rgb="FFD1D5DB"/>
      </right>
      <top style="thin">
        <color rgb="FF000000"/>
      </top>
      <bottom style="thin">
        <color rgb="FF374151"/>
      </bottom>
      <diagonal/>
    </border>
    <border>
      <left/>
      <right style="thin">
        <color rgb="FF000000"/>
      </right>
      <top style="thin">
        <color rgb="FF000000"/>
      </top>
      <bottom style="thin">
        <color rgb="FF374151"/>
      </bottom>
      <diagonal/>
    </border>
    <border>
      <left style="thin">
        <color rgb="FF000000"/>
      </left>
      <right style="thin">
        <color rgb="FFD1D5DB"/>
      </right>
      <top/>
      <bottom style="thin">
        <color rgb="FFD1D5DB"/>
      </bottom>
      <diagonal/>
    </border>
    <border>
      <left/>
      <right style="thin">
        <color rgb="FFD1D5DB"/>
      </right>
      <top/>
      <bottom style="thin">
        <color rgb="FFD1D5DB"/>
      </bottom>
      <diagonal/>
    </border>
    <border>
      <left/>
      <right style="thin">
        <color rgb="FF000000"/>
      </right>
      <top/>
      <bottom style="thin">
        <color rgb="FFD1D5DB"/>
      </bottom>
      <diagonal/>
    </border>
    <border>
      <left style="thin">
        <color rgb="FF000000"/>
      </left>
      <right style="thin">
        <color rgb="FFD1D5DB"/>
      </right>
      <top style="thin">
        <color rgb="FFD1D5DB"/>
      </top>
      <bottom style="thin">
        <color rgb="FFD1D5DB"/>
      </bottom>
      <diagonal/>
    </border>
    <border>
      <left style="thin">
        <color rgb="FFD1D5DB"/>
      </left>
      <right style="thin">
        <color rgb="FFD1D5DB"/>
      </right>
      <top style="thin">
        <color rgb="FFD1D5DB"/>
      </top>
      <bottom style="thin">
        <color rgb="FFD1D5DB"/>
      </bottom>
      <diagonal/>
    </border>
    <border>
      <left/>
      <right style="thin">
        <color rgb="FF000000"/>
      </right>
      <top/>
      <bottom style="thin">
        <color rgb="FFD1D5DB"/>
      </bottom>
      <diagonal/>
    </border>
    <border>
      <left style="thin">
        <color rgb="FF000000"/>
      </left>
      <right style="thin">
        <color rgb="FFD1D5DB"/>
      </right>
      <top/>
      <bottom/>
      <diagonal/>
    </border>
    <border>
      <left/>
      <right style="thin">
        <color rgb="FFD1D5DB"/>
      </right>
      <top/>
      <bottom/>
      <diagonal/>
    </border>
    <border>
      <left/>
      <right style="thin">
        <color rgb="FF000000"/>
      </right>
      <top/>
      <bottom/>
      <diagonal/>
    </border>
    <border>
      <left style="thin">
        <color rgb="FF000000"/>
      </left>
      <right style="thin">
        <color rgb="FFD1D5DB"/>
      </right>
      <top style="thin">
        <color rgb="FFD1D5DB"/>
      </top>
      <bottom style="thin">
        <color rgb="FF000000"/>
      </bottom>
      <diagonal/>
    </border>
    <border>
      <left/>
      <right style="thin">
        <color rgb="FFD1D5DB"/>
      </right>
      <top style="thin">
        <color rgb="FFD1D5DB"/>
      </top>
      <bottom style="thin">
        <color rgb="FF000000"/>
      </bottom>
      <diagonal/>
    </border>
    <border>
      <left/>
      <right style="thin">
        <color rgb="FF000000"/>
      </right>
      <top style="thin">
        <color rgb="FFD1D5DB"/>
      </top>
      <bottom style="thin">
        <color rgb="FF000000"/>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top/>
      <bottom/>
      <diagonal/>
    </border>
    <border>
      <left/>
      <right style="medium">
        <color rgb="FF000000"/>
      </right>
      <top/>
      <bottom/>
      <diagonal/>
    </border>
    <border>
      <left/>
      <right/>
      <top/>
      <bottom style="thin">
        <color rgb="FF14325C"/>
      </bottom>
      <diagonal/>
    </border>
    <border>
      <left/>
      <right style="medium">
        <color rgb="FF000000"/>
      </right>
      <top style="medium">
        <color rgb="FF000000"/>
      </top>
      <bottom/>
      <diagonal/>
    </border>
    <border>
      <left style="medium">
        <color rgb="FF000000"/>
      </left>
      <right/>
      <top style="thick">
        <color rgb="FF097C0D"/>
      </top>
      <bottom/>
      <diagonal/>
    </border>
    <border>
      <left/>
      <right style="thin">
        <color rgb="FFBEC0BD"/>
      </right>
      <top style="thick">
        <color rgb="FF097C0D"/>
      </top>
      <bottom/>
      <diagonal/>
    </border>
    <border>
      <left style="thin">
        <color rgb="FFBEC0BD"/>
      </left>
      <right/>
      <top style="thick">
        <color rgb="FF026CC0"/>
      </top>
      <bottom/>
      <diagonal/>
    </border>
    <border>
      <left/>
      <right style="thin">
        <color rgb="FFBEC0BD"/>
      </right>
      <top style="thick">
        <color rgb="FF026CC0"/>
      </top>
      <bottom/>
      <diagonal/>
    </border>
    <border>
      <left style="thin">
        <color rgb="FFBEC0BD"/>
      </left>
      <right/>
      <top style="thick">
        <color rgb="FF3E2B3B"/>
      </top>
      <bottom/>
      <diagonal/>
    </border>
    <border>
      <left/>
      <right style="thin">
        <color rgb="FFBEC0BD"/>
      </right>
      <top style="thick">
        <color rgb="FF3E2B3B"/>
      </top>
      <bottom/>
      <diagonal/>
    </border>
    <border>
      <left style="thin">
        <color rgb="FFBEC0BD"/>
      </left>
      <right/>
      <top style="thick">
        <color rgb="FFEF6D03"/>
      </top>
      <bottom/>
      <diagonal/>
    </border>
    <border>
      <left/>
      <right style="thin">
        <color rgb="FFBEC0BD"/>
      </right>
      <top style="thick">
        <color rgb="FFEF6D03"/>
      </top>
      <bottom/>
      <diagonal/>
    </border>
    <border>
      <left style="thin">
        <color rgb="FFBEC0BD"/>
      </left>
      <right/>
      <top style="thick">
        <color rgb="FFE61F25"/>
      </top>
      <bottom/>
      <diagonal/>
    </border>
    <border>
      <left/>
      <right style="thin">
        <color rgb="FFBEC0BD"/>
      </right>
      <top style="thick">
        <color rgb="FFE61F25"/>
      </top>
      <bottom/>
      <diagonal/>
    </border>
    <border>
      <left style="thin">
        <color rgb="FFBEC0BD"/>
      </left>
      <right/>
      <top style="thick">
        <color rgb="FF595D62"/>
      </top>
      <bottom/>
      <diagonal/>
    </border>
    <border>
      <left/>
      <right style="medium">
        <color rgb="FF000000"/>
      </right>
      <top style="thick">
        <color rgb="FF595D62"/>
      </top>
      <bottom/>
      <diagonal/>
    </border>
    <border>
      <left style="medium">
        <color rgb="FF000000"/>
      </left>
      <right/>
      <top/>
      <bottom/>
      <diagonal/>
    </border>
    <border>
      <left/>
      <right style="thin">
        <color rgb="FFBEC0BD"/>
      </right>
      <top/>
      <bottom/>
      <diagonal/>
    </border>
    <border>
      <left style="thin">
        <color rgb="FFBEC0BD"/>
      </left>
      <right/>
      <top/>
      <bottom/>
      <diagonal/>
    </border>
    <border>
      <left/>
      <right style="medium">
        <color rgb="FF000000"/>
      </right>
      <top/>
      <bottom/>
      <diagonal/>
    </border>
    <border>
      <left style="medium">
        <color rgb="FF000000"/>
      </left>
      <right/>
      <top/>
      <bottom/>
      <diagonal/>
    </border>
    <border>
      <left/>
      <right style="thin">
        <color rgb="FFBEC0BD"/>
      </right>
      <top/>
      <bottom/>
      <diagonal/>
    </border>
    <border>
      <left style="thin">
        <color rgb="FFBEC0BD"/>
      </left>
      <right/>
      <top/>
      <bottom/>
      <diagonal/>
    </border>
    <border>
      <left/>
      <right style="medium">
        <color rgb="FF000000"/>
      </right>
      <top/>
      <bottom/>
      <diagonal/>
    </border>
    <border>
      <left style="medium">
        <color rgb="FF000000"/>
      </left>
      <right/>
      <top/>
      <bottom style="thin">
        <color rgb="FFBEC0BD"/>
      </bottom>
      <diagonal/>
    </border>
    <border>
      <left/>
      <right style="thin">
        <color rgb="FFBEC0BD"/>
      </right>
      <top/>
      <bottom style="thin">
        <color rgb="FFBEC0BD"/>
      </bottom>
      <diagonal/>
    </border>
    <border>
      <left style="thin">
        <color rgb="FFBEC0BD"/>
      </left>
      <right/>
      <top/>
      <bottom style="thin">
        <color rgb="FFBEC0BD"/>
      </bottom>
      <diagonal/>
    </border>
    <border>
      <left/>
      <right style="medium">
        <color rgb="FF000000"/>
      </right>
      <top/>
      <bottom style="thin">
        <color rgb="FFBEC0BD"/>
      </bottom>
      <diagonal/>
    </border>
    <border>
      <left/>
      <right style="medium">
        <color rgb="FF000000"/>
      </right>
      <top/>
      <bottom/>
      <diagonal/>
    </border>
    <border>
      <left style="medium">
        <color rgb="FF000000"/>
      </left>
      <right/>
      <top style="thin">
        <color rgb="FFBEC0BD"/>
      </top>
      <bottom/>
      <diagonal/>
    </border>
    <border>
      <left/>
      <right style="thick">
        <color rgb="FF08637A"/>
      </right>
      <top style="thin">
        <color rgb="FFBEC0BD"/>
      </top>
      <bottom/>
      <diagonal/>
    </border>
    <border>
      <left style="thick">
        <color rgb="FF08637A"/>
      </left>
      <right/>
      <top style="thin">
        <color rgb="FFBEC0BD"/>
      </top>
      <bottom/>
      <diagonal/>
    </border>
    <border>
      <left/>
      <right style="thick">
        <color rgb="FF2B4A1B"/>
      </right>
      <top style="thin">
        <color rgb="FFBEC0BD"/>
      </top>
      <bottom/>
      <diagonal/>
    </border>
    <border>
      <left style="thick">
        <color rgb="FF2B4A1B"/>
      </left>
      <right/>
      <top style="thin">
        <color rgb="FFBEC0BD"/>
      </top>
      <bottom/>
      <diagonal/>
    </border>
    <border>
      <left/>
      <right style="medium">
        <color rgb="FF000000"/>
      </right>
      <top style="thin">
        <color rgb="FFBEC0BD"/>
      </top>
      <bottom/>
      <diagonal/>
    </border>
    <border>
      <left style="medium">
        <color rgb="FF000000"/>
      </left>
      <right/>
      <top/>
      <bottom style="medium">
        <color rgb="FF000000"/>
      </bottom>
      <diagonal/>
    </border>
    <border>
      <left/>
      <right style="thick">
        <color rgb="FF08637A"/>
      </right>
      <top/>
      <bottom style="medium">
        <color rgb="FF000000"/>
      </bottom>
      <diagonal/>
    </border>
    <border>
      <left style="thick">
        <color rgb="FF08637A"/>
      </left>
      <right/>
      <top/>
      <bottom style="medium">
        <color rgb="FF000000"/>
      </bottom>
      <diagonal/>
    </border>
    <border>
      <left/>
      <right style="thick">
        <color rgb="FF2B4A1B"/>
      </right>
      <top/>
      <bottom style="medium">
        <color rgb="FF000000"/>
      </bottom>
      <diagonal/>
    </border>
    <border>
      <left style="thick">
        <color rgb="FF2B4A1B"/>
      </left>
      <right/>
      <top/>
      <bottom style="medium">
        <color rgb="FF000000"/>
      </bottom>
      <diagonal/>
    </border>
    <border>
      <left/>
      <right style="medium">
        <color rgb="FF000000"/>
      </right>
      <top/>
      <bottom style="medium">
        <color rgb="FF000000"/>
      </bottom>
      <diagonal/>
    </border>
    <border>
      <left/>
      <right/>
      <top style="medium">
        <color rgb="FF000000"/>
      </top>
      <bottom style="thin">
        <color rgb="FF14325C"/>
      </bottom>
      <diagonal/>
    </border>
    <border>
      <left style="medium">
        <color rgb="FF000000"/>
      </left>
      <right/>
      <top/>
      <bottom style="medium">
        <color rgb="FF000000"/>
      </bottom>
      <diagonal/>
    </border>
    <border>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E7E9EA"/>
      </right>
      <top/>
      <bottom style="thin">
        <color rgb="FFE7E9EA"/>
      </bottom>
      <diagonal/>
    </border>
    <border>
      <left style="thin">
        <color rgb="FFE7E9EA"/>
      </left>
      <right style="thin">
        <color rgb="FFE7E9EA"/>
      </right>
      <top/>
      <bottom style="thin">
        <color rgb="FFE7E9EA"/>
      </bottom>
      <diagonal/>
    </border>
    <border>
      <left style="thin">
        <color rgb="FFE7E9EA"/>
      </left>
      <right style="medium">
        <color rgb="FF000000"/>
      </right>
      <top/>
      <bottom style="thin">
        <color rgb="FFE7E9EA"/>
      </bottom>
      <diagonal/>
    </border>
    <border>
      <left style="medium">
        <color rgb="FF000000"/>
      </left>
      <right style="thin">
        <color rgb="FFE7E9EA"/>
      </right>
      <top style="thin">
        <color rgb="FFE7E9EA"/>
      </top>
      <bottom style="thin">
        <color rgb="FFE7E9EA"/>
      </bottom>
      <diagonal/>
    </border>
    <border>
      <left style="thin">
        <color rgb="FFE7E9EA"/>
      </left>
      <right style="thin">
        <color rgb="FFE7E9EA"/>
      </right>
      <top style="thin">
        <color rgb="FFE7E9EA"/>
      </top>
      <bottom style="thin">
        <color rgb="FFE7E9EA"/>
      </bottom>
      <diagonal/>
    </border>
    <border>
      <left style="thin">
        <color rgb="FFE7E9EA"/>
      </left>
      <right style="medium">
        <color rgb="FF000000"/>
      </right>
      <top style="thin">
        <color rgb="FFE7E9EA"/>
      </top>
      <bottom style="thin">
        <color rgb="FFE7E9EA"/>
      </bottom>
      <diagonal/>
    </border>
    <border>
      <left style="medium">
        <color rgb="FF000000"/>
      </left>
      <right style="thin">
        <color rgb="FFE7E9EA"/>
      </right>
      <top style="thin">
        <color rgb="FFE7E9EA"/>
      </top>
      <bottom style="medium">
        <color rgb="FF000000"/>
      </bottom>
      <diagonal/>
    </border>
    <border>
      <left style="thin">
        <color rgb="FFE7E9EA"/>
      </left>
      <right style="thin">
        <color rgb="FFE7E9EA"/>
      </right>
      <top style="thin">
        <color rgb="FFE7E9EA"/>
      </top>
      <bottom style="medium">
        <color rgb="FF000000"/>
      </bottom>
      <diagonal/>
    </border>
    <border>
      <left style="thin">
        <color rgb="FFE7E9EA"/>
      </left>
      <right style="medium">
        <color rgb="FF000000"/>
      </right>
      <top style="thin">
        <color rgb="FFE7E9EA"/>
      </top>
      <bottom style="medium">
        <color rgb="FF000000"/>
      </bottom>
      <diagonal/>
    </border>
    <border>
      <left style="thick">
        <color rgb="FFEF6D03"/>
      </left>
      <right/>
      <top style="thin">
        <color rgb="FFBEC0BD"/>
      </top>
      <bottom/>
      <diagonal/>
    </border>
    <border>
      <left/>
      <right/>
      <top style="thin">
        <color rgb="FFBEC0BD"/>
      </top>
      <bottom/>
      <diagonal/>
    </border>
    <border>
      <left/>
      <right style="thick">
        <color rgb="FF026CC0"/>
      </right>
      <top style="thin">
        <color rgb="FFBEC0BD"/>
      </top>
      <bottom/>
      <diagonal/>
    </border>
    <border>
      <left style="thick">
        <color rgb="FF026CC0"/>
      </left>
      <right/>
      <top style="thin">
        <color rgb="FFBEC0BD"/>
      </top>
      <bottom/>
      <diagonal/>
    </border>
    <border>
      <left/>
      <right style="thick">
        <color rgb="FF097C0D"/>
      </right>
      <top style="thin">
        <color rgb="FFBEC0BD"/>
      </top>
      <bottom/>
      <diagonal/>
    </border>
    <border>
      <left style="thick">
        <color rgb="FF097C0D"/>
      </left>
      <right/>
      <top style="thin">
        <color rgb="FFBEC0BD"/>
      </top>
      <bottom/>
      <diagonal/>
    </border>
    <border>
      <left/>
      <right style="thick">
        <color rgb="FF3E2B3B"/>
      </right>
      <top style="thin">
        <color rgb="FFBEC0BD"/>
      </top>
      <bottom/>
      <diagonal/>
    </border>
    <border>
      <left style="thick">
        <color rgb="FF3E2B3B"/>
      </left>
      <right/>
      <top style="thin">
        <color rgb="FFBEC0BD"/>
      </top>
      <bottom/>
      <diagonal/>
    </border>
    <border>
      <left/>
      <right style="thin">
        <color rgb="FFBEC0BD"/>
      </right>
      <top style="thin">
        <color rgb="FFBEC0BD"/>
      </top>
      <bottom/>
      <diagonal/>
    </border>
    <border>
      <left style="thick">
        <color rgb="FFEF6D03"/>
      </left>
      <right/>
      <top/>
      <bottom style="thin">
        <color rgb="FFBEC0BD"/>
      </bottom>
      <diagonal/>
    </border>
    <border>
      <left/>
      <right/>
      <top/>
      <bottom style="thin">
        <color rgb="FFBEC0BD"/>
      </bottom>
      <diagonal/>
    </border>
    <border>
      <left/>
      <right style="thick">
        <color rgb="FF026CC0"/>
      </right>
      <top/>
      <bottom style="thin">
        <color rgb="FFBEC0BD"/>
      </bottom>
      <diagonal/>
    </border>
    <border>
      <left style="thick">
        <color rgb="FF026CC0"/>
      </left>
      <right/>
      <top/>
      <bottom style="thin">
        <color rgb="FFBEC0BD"/>
      </bottom>
      <diagonal/>
    </border>
    <border>
      <left/>
      <right style="thick">
        <color rgb="FF097C0D"/>
      </right>
      <top/>
      <bottom style="thin">
        <color rgb="FFBEC0BD"/>
      </bottom>
      <diagonal/>
    </border>
    <border>
      <left style="thick">
        <color rgb="FF097C0D"/>
      </left>
      <right/>
      <top/>
      <bottom style="thin">
        <color rgb="FFBEC0BD"/>
      </bottom>
      <diagonal/>
    </border>
    <border>
      <left/>
      <right style="thick">
        <color rgb="FF3E2B3B"/>
      </right>
      <top/>
      <bottom style="thin">
        <color rgb="FFBEC0BD"/>
      </bottom>
      <diagonal/>
    </border>
    <border>
      <left style="thick">
        <color rgb="FF3E2B3B"/>
      </left>
      <right/>
      <top/>
      <bottom style="thin">
        <color rgb="FFBEC0BD"/>
      </bottom>
      <diagonal/>
    </border>
    <border>
      <left style="medium">
        <color rgb="FF000000"/>
      </left>
      <right/>
      <top style="medium">
        <color rgb="FF000000"/>
      </top>
      <bottom/>
      <diagonal/>
    </border>
    <border>
      <left style="medium">
        <color rgb="FF000000"/>
      </left>
      <right/>
      <top style="thin">
        <color rgb="FFE7E9EA"/>
      </top>
      <bottom style="thin">
        <color rgb="FFD9D9D9"/>
      </bottom>
      <diagonal/>
    </border>
    <border>
      <left/>
      <right/>
      <top style="thin">
        <color rgb="FFE7E9EA"/>
      </top>
      <bottom style="thin">
        <color rgb="FFD9D9D9"/>
      </bottom>
      <diagonal/>
    </border>
    <border>
      <left/>
      <right style="medium">
        <color rgb="FF000000"/>
      </right>
      <top style="thin">
        <color rgb="FFE7E9EA"/>
      </top>
      <bottom style="thin">
        <color rgb="FFD9D9D9"/>
      </bottom>
      <diagonal/>
    </border>
    <border>
      <left style="medium">
        <color rgb="FF000000"/>
      </left>
      <right/>
      <top style="thin">
        <color rgb="FFD9D9D9"/>
      </top>
      <bottom style="thin">
        <color rgb="FFD9D9D9"/>
      </bottom>
      <diagonal/>
    </border>
    <border>
      <left/>
      <right/>
      <top style="thin">
        <color rgb="FFD9D9D9"/>
      </top>
      <bottom style="thin">
        <color rgb="FFD9D9D9"/>
      </bottom>
      <diagonal/>
    </border>
    <border>
      <left/>
      <right style="medium">
        <color rgb="FF000000"/>
      </right>
      <top style="thin">
        <color rgb="FFD9D9D9"/>
      </top>
      <bottom style="thin">
        <color rgb="FFD9D9D9"/>
      </bottom>
      <diagonal/>
    </border>
    <border>
      <left style="medium">
        <color rgb="FF000000"/>
      </left>
      <right/>
      <top style="thin">
        <color rgb="FFD9D9D9"/>
      </top>
      <bottom style="thin">
        <color rgb="FFD9D9D9"/>
      </bottom>
      <diagonal/>
    </border>
    <border>
      <left/>
      <right/>
      <top style="thin">
        <color rgb="FFD9D9D9"/>
      </top>
      <bottom style="thin">
        <color rgb="FFD9D9D9"/>
      </bottom>
      <diagonal/>
    </border>
    <border>
      <left/>
      <right style="medium">
        <color rgb="FF000000"/>
      </right>
      <top style="thin">
        <color rgb="FFD9D9D9"/>
      </top>
      <bottom style="thin">
        <color rgb="FFD9D9D9"/>
      </bottom>
      <diagonal/>
    </border>
    <border>
      <left style="medium">
        <color rgb="FF000000"/>
      </left>
      <right/>
      <top style="thin">
        <color rgb="FFD9D9D9"/>
      </top>
      <bottom style="medium">
        <color rgb="FF000000"/>
      </bottom>
      <diagonal/>
    </border>
    <border>
      <left/>
      <right/>
      <top style="thin">
        <color rgb="FFD9D9D9"/>
      </top>
      <bottom style="medium">
        <color rgb="FF000000"/>
      </bottom>
      <diagonal/>
    </border>
    <border>
      <left/>
      <right style="medium">
        <color rgb="FF000000"/>
      </right>
      <top style="thin">
        <color rgb="FFD9D9D9"/>
      </top>
      <bottom style="medium">
        <color rgb="FF000000"/>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BFBFBF"/>
      </left>
      <right style="thin">
        <color rgb="FFBFBFBF"/>
      </right>
      <top style="thin">
        <color rgb="FFBFBFBF"/>
      </top>
      <bottom style="thin">
        <color rgb="FFBFBFBF"/>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BEC0BD"/>
      </left>
      <right style="thin">
        <color rgb="FFBEC0BD"/>
      </right>
      <top style="thin">
        <color rgb="FFBEC0BD"/>
      </top>
      <bottom style="thin">
        <color rgb="FFBEC0BD"/>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double">
        <color rgb="FF000000"/>
      </bottom>
      <diagonal/>
    </border>
    <border>
      <left/>
      <right/>
      <top style="thin">
        <color rgb="FF000000"/>
      </top>
      <bottom style="medium">
        <color rgb="FF000000"/>
      </bottom>
      <diagonal/>
    </border>
    <border>
      <left style="thin">
        <color rgb="FFBEC0BD"/>
      </left>
      <right/>
      <top style="thin">
        <color rgb="FFBEC0BD"/>
      </top>
      <bottom style="thin">
        <color rgb="FFBEC0BD"/>
      </bottom>
      <diagonal/>
    </border>
    <border>
      <left/>
      <right/>
      <top style="thin">
        <color rgb="FFBEC0BD"/>
      </top>
      <bottom style="thin">
        <color rgb="FFBEC0BD"/>
      </bottom>
      <diagonal/>
    </border>
    <border>
      <left/>
      <right style="thin">
        <color rgb="FFBEC0BD"/>
      </right>
      <top style="thin">
        <color rgb="FFBEC0BD"/>
      </top>
      <bottom style="thin">
        <color rgb="FFBEC0BD"/>
      </bottom>
      <diagonal/>
    </border>
    <border>
      <left style="thin">
        <color rgb="FFD9D9D9"/>
      </left>
      <right style="thin">
        <color rgb="FFD9D9D9"/>
      </right>
      <top style="thin">
        <color rgb="FFD9D9D9"/>
      </top>
      <bottom style="thin">
        <color rgb="FFD9D9D9"/>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bottom style="medium">
        <color rgb="FF2B4A1B"/>
      </bottom>
      <diagonal/>
    </border>
    <border>
      <left/>
      <right style="medium">
        <color rgb="FF000000"/>
      </right>
      <top/>
      <bottom style="medium">
        <color rgb="FF2B4A1B"/>
      </bottom>
      <diagonal/>
    </border>
    <border>
      <left style="medium">
        <color rgb="FF000000"/>
      </left>
      <right/>
      <top style="thick">
        <color rgb="FF1F4E79"/>
      </top>
      <bottom/>
      <diagonal/>
    </border>
    <border>
      <left/>
      <right/>
      <top style="thick">
        <color rgb="FF1F4E79"/>
      </top>
      <bottom/>
      <diagonal/>
    </border>
    <border>
      <left/>
      <right style="medium">
        <color rgb="FF000000"/>
      </right>
      <top style="thick">
        <color rgb="FF1F4E79"/>
      </top>
      <bottom/>
      <diagonal/>
    </border>
    <border>
      <left style="thin">
        <color rgb="FF1F4E79"/>
      </left>
      <right/>
      <top style="thin">
        <color rgb="FF1F4E79"/>
      </top>
      <bottom/>
      <diagonal/>
    </border>
    <border>
      <left/>
      <right style="thin">
        <color rgb="FF1F4E79"/>
      </right>
      <top style="thin">
        <color rgb="FF1F4E79"/>
      </top>
      <bottom/>
      <diagonal/>
    </border>
    <border>
      <left style="medium">
        <color rgb="FF000000"/>
      </left>
      <right/>
      <top style="medium">
        <color rgb="FF026CC0"/>
      </top>
      <bottom/>
      <diagonal/>
    </border>
    <border>
      <left/>
      <right/>
      <top style="medium">
        <color rgb="FF026CC0"/>
      </top>
      <bottom/>
      <diagonal/>
    </border>
    <border>
      <left/>
      <right style="medium">
        <color rgb="FF000000"/>
      </right>
      <top style="medium">
        <color rgb="FF026CC0"/>
      </top>
      <bottom/>
      <diagonal/>
    </border>
    <border>
      <left style="thin">
        <color rgb="FF026CC0"/>
      </left>
      <right/>
      <top style="thin">
        <color rgb="FF026CC0"/>
      </top>
      <bottom/>
      <diagonal/>
    </border>
    <border>
      <left/>
      <right style="thin">
        <color rgb="FF026CC0"/>
      </right>
      <top style="thin">
        <color rgb="FF026CC0"/>
      </top>
      <bottom/>
      <diagonal/>
    </border>
    <border>
      <left/>
      <right/>
      <top/>
      <bottom style="thin">
        <color rgb="FFE0E0E0"/>
      </bottom>
      <diagonal/>
    </border>
    <border>
      <left/>
      <right/>
      <top/>
      <bottom style="thin">
        <color rgb="FFE0E0E0"/>
      </bottom>
      <diagonal/>
    </border>
    <border>
      <left style="thin">
        <color rgb="FF026CC0"/>
      </left>
      <right/>
      <top/>
      <bottom/>
      <diagonal/>
    </border>
    <border>
      <left/>
      <right style="thin">
        <color rgb="FF026CC0"/>
      </right>
      <top/>
      <bottom/>
      <diagonal/>
    </border>
    <border>
      <left/>
      <right/>
      <top style="thin">
        <color rgb="FFE0E0E0"/>
      </top>
      <bottom style="thin">
        <color rgb="FFE0E0E0"/>
      </bottom>
      <diagonal/>
    </border>
    <border>
      <left/>
      <right/>
      <top style="thin">
        <color rgb="FFE0E0E0"/>
      </top>
      <bottom style="thin">
        <color rgb="FFE0E0E0"/>
      </bottom>
      <diagonal/>
    </border>
    <border>
      <left style="thin">
        <color rgb="FF026CC0"/>
      </left>
      <right/>
      <top/>
      <bottom style="thin">
        <color rgb="FF1F4E79"/>
      </bottom>
      <diagonal/>
    </border>
    <border>
      <left/>
      <right style="thin">
        <color rgb="FF026CC0"/>
      </right>
      <top/>
      <bottom style="thin">
        <color rgb="FF1F4E79"/>
      </bottom>
      <diagonal/>
    </border>
    <border>
      <left/>
      <right style="thin">
        <color rgb="FF026CC0"/>
      </right>
      <top/>
      <bottom/>
      <diagonal/>
    </border>
    <border>
      <left style="thin">
        <color rgb="FF026CC0"/>
      </left>
      <right/>
      <top/>
      <bottom style="thin">
        <color rgb="FF026CC0"/>
      </bottom>
      <diagonal/>
    </border>
    <border>
      <left/>
      <right style="thin">
        <color rgb="FF026CC0"/>
      </right>
      <top/>
      <bottom style="thin">
        <color rgb="FF026CC0"/>
      </bottom>
      <diagonal/>
    </border>
    <border>
      <left/>
      <right/>
      <top style="thin">
        <color rgb="FFE0E0E0"/>
      </top>
      <bottom style="medium">
        <color rgb="FF000000"/>
      </bottom>
      <diagonal/>
    </border>
    <border>
      <left style="medium">
        <color rgb="FF000000"/>
      </left>
      <right/>
      <top style="medium">
        <color theme="4"/>
      </top>
      <bottom style="medium">
        <color theme="4"/>
      </bottom>
      <diagonal/>
    </border>
    <border>
      <left/>
      <right/>
      <top style="medium">
        <color theme="4"/>
      </top>
      <bottom style="medium">
        <color theme="4"/>
      </bottom>
      <diagonal/>
    </border>
    <border>
      <left/>
      <right style="medium">
        <color rgb="FF000000"/>
      </right>
      <top style="medium">
        <color theme="4"/>
      </top>
      <bottom style="medium">
        <color theme="4"/>
      </bottom>
      <diagonal/>
    </border>
    <border>
      <left style="medium">
        <color rgb="FF000000"/>
      </left>
      <right/>
      <top/>
      <bottom style="medium">
        <color rgb="FF1F4E79"/>
      </bottom>
      <diagonal/>
    </border>
    <border>
      <left/>
      <right style="medium">
        <color rgb="FF000000"/>
      </right>
      <top/>
      <bottom style="medium">
        <color rgb="FF1F4E79"/>
      </bottom>
      <diagonal/>
    </border>
    <border>
      <left/>
      <right/>
      <top style="dotted">
        <color rgb="FFA5A5A5"/>
      </top>
      <bottom/>
      <diagonal/>
    </border>
    <border>
      <left/>
      <right/>
      <top style="thin">
        <color rgb="FFE0E0E0"/>
      </top>
      <bottom/>
      <diagonal/>
    </border>
    <border>
      <left/>
      <right/>
      <top style="thin">
        <color rgb="FFE0E0E0"/>
      </top>
      <bottom/>
      <diagonal/>
    </border>
    <border>
      <left style="medium">
        <color rgb="FF000000"/>
      </left>
      <right/>
      <top/>
      <bottom style="medium">
        <color rgb="FF026CC0"/>
      </bottom>
      <diagonal/>
    </border>
    <border>
      <left/>
      <right/>
      <top style="thin">
        <color rgb="FFE0E0E0"/>
      </top>
      <bottom style="medium">
        <color rgb="FF026CC0"/>
      </bottom>
      <diagonal/>
    </border>
    <border>
      <left/>
      <right/>
      <top style="thin">
        <color rgb="FFE0E0E0"/>
      </top>
      <bottom style="medium">
        <color rgb="FF026CC0"/>
      </bottom>
      <diagonal/>
    </border>
    <border>
      <left/>
      <right style="medium">
        <color rgb="FF000000"/>
      </right>
      <top/>
      <bottom style="medium">
        <color rgb="FF026CC0"/>
      </bottom>
      <diagonal/>
    </border>
    <border>
      <left/>
      <right/>
      <top/>
      <bottom style="thin">
        <color rgb="FFE0E0E0"/>
      </bottom>
      <diagonal/>
    </border>
    <border>
      <left style="medium">
        <color rgb="FF000000"/>
      </left>
      <right/>
      <top/>
      <bottom style="thick">
        <color rgb="FF000000"/>
      </bottom>
      <diagonal/>
    </border>
    <border>
      <left/>
      <right/>
      <top style="thin">
        <color rgb="FFE0E0E0"/>
      </top>
      <bottom style="thick">
        <color rgb="FF000000"/>
      </bottom>
      <diagonal/>
    </border>
    <border>
      <left/>
      <right/>
      <top style="thin">
        <color rgb="FFE0E0E0"/>
      </top>
      <bottom style="thick">
        <color rgb="FF000000"/>
      </bottom>
      <diagonal/>
    </border>
    <border>
      <left/>
      <right style="medium">
        <color rgb="FF000000"/>
      </right>
      <top/>
      <bottom style="thick">
        <color rgb="FF000000"/>
      </bottom>
      <diagonal/>
    </border>
    <border>
      <left/>
      <right/>
      <top/>
      <bottom/>
      <diagonal/>
    </border>
    <border>
      <left/>
      <right/>
      <top style="medium">
        <color rgb="FF000000"/>
      </top>
      <bottom/>
      <diagonal/>
    </border>
    <border>
      <left/>
      <right/>
      <top/>
      <bottom/>
      <diagonal/>
    </border>
    <border>
      <left/>
      <right/>
      <top/>
      <bottom/>
      <diagonal/>
    </border>
    <border>
      <left/>
      <right/>
      <top/>
      <bottom style="thin">
        <color rgb="FFD9D9D9"/>
      </bottom>
      <diagonal/>
    </border>
    <border>
      <left/>
      <right/>
      <top/>
      <bottom style="thin">
        <color rgb="FFD9D9D9"/>
      </bottom>
      <diagonal/>
    </border>
    <border>
      <left/>
      <right style="medium">
        <color rgb="FF000000"/>
      </right>
      <top/>
      <bottom style="thin">
        <color rgb="FFD9D9D9"/>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double">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double">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595D62"/>
      </left>
      <right style="thin">
        <color rgb="FF595D62"/>
      </right>
      <top style="thin">
        <color rgb="FF595D62"/>
      </top>
      <bottom style="thin">
        <color rgb="FF595D62"/>
      </bottom>
      <diagonal/>
    </border>
    <border>
      <left style="medium">
        <color rgb="FF000000"/>
      </left>
      <right style="medium">
        <color rgb="FF000000"/>
      </right>
      <top style="thin">
        <color rgb="FF595D62"/>
      </top>
      <bottom style="thin">
        <color rgb="FF595D62"/>
      </bottom>
      <diagonal/>
    </border>
    <border>
      <left style="medium">
        <color rgb="FF000000"/>
      </left>
      <right style="medium">
        <color rgb="FF000000"/>
      </right>
      <top style="thin">
        <color rgb="FF595D62"/>
      </top>
      <bottom style="medium">
        <color rgb="FF000000"/>
      </bottom>
      <diagonal/>
    </border>
    <border>
      <left/>
      <right/>
      <top style="thin">
        <color rgb="FFBFBFBF"/>
      </top>
      <bottom style="thin">
        <color rgb="FFBFBFBF"/>
      </bottom>
      <diagonal/>
    </border>
    <border>
      <left style="thin">
        <color rgb="FFB7B7B7"/>
      </left>
      <right style="thin">
        <color rgb="FFB7B7B7"/>
      </right>
      <top style="thin">
        <color rgb="FFB7B7B7"/>
      </top>
      <bottom style="thin">
        <color rgb="FFB7B7B7"/>
      </bottom>
      <diagonal/>
    </border>
    <border>
      <left/>
      <right/>
      <top/>
      <bottom style="thin">
        <color rgb="FFBFBFBF"/>
      </bottom>
      <diagonal/>
    </border>
    <border>
      <left/>
      <right/>
      <top style="thin">
        <color rgb="FFBFBFBF"/>
      </top>
      <bottom style="thin">
        <color rgb="FFBFBFBF"/>
      </bottom>
      <diagonal/>
    </border>
    <border>
      <left style="thin">
        <color rgb="FF2B4A1B"/>
      </left>
      <right style="thin">
        <color rgb="FF2B4A1B"/>
      </right>
      <top style="thin">
        <color rgb="FF2B4A1B"/>
      </top>
      <bottom style="thin">
        <color rgb="FF2B4A1B"/>
      </bottom>
      <diagonal/>
    </border>
    <border>
      <left style="thin">
        <color rgb="FF595959"/>
      </left>
      <right style="thin">
        <color rgb="FF595959"/>
      </right>
      <top style="thin">
        <color rgb="FF595959"/>
      </top>
      <bottom style="thin">
        <color rgb="FF595959"/>
      </bottom>
      <diagonal/>
    </border>
    <border>
      <left style="thin">
        <color rgb="FF7B7B7B"/>
      </left>
      <right style="thin">
        <color rgb="FF7B7B7B"/>
      </right>
      <top style="thin">
        <color rgb="FF7B7B7B"/>
      </top>
      <bottom style="thin">
        <color rgb="FF7B7B7B"/>
      </bottom>
      <diagonal/>
    </border>
    <border>
      <left style="thin">
        <color rgb="FFA5A5A5"/>
      </left>
      <right style="thin">
        <color rgb="FFA5A5A5"/>
      </right>
      <top style="thin">
        <color rgb="FFA5A5A5"/>
      </top>
      <bottom style="thin">
        <color rgb="FFA5A5A5"/>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BEC0BD"/>
      </bottom>
      <diagonal/>
    </border>
    <border>
      <left/>
      <right/>
      <top style="thin">
        <color rgb="FFBEC0BD"/>
      </top>
      <bottom style="thin">
        <color rgb="FFBEC0BD"/>
      </bottom>
      <diagonal/>
    </border>
    <border>
      <left/>
      <right/>
      <top style="thin">
        <color rgb="FFBEC0BD"/>
      </top>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ck">
        <color rgb="FF08637A"/>
      </right>
      <top/>
      <bottom/>
      <diagonal/>
    </border>
    <border>
      <left style="thick">
        <color rgb="FF08637A"/>
      </left>
      <right/>
      <top/>
      <bottom/>
      <diagonal/>
    </border>
    <border>
      <left/>
      <right style="thick">
        <color rgb="FF2B4A1B"/>
      </right>
      <top/>
      <bottom/>
      <diagonal/>
    </border>
    <border>
      <left style="thick">
        <color rgb="FF2B4A1B"/>
      </left>
      <right/>
      <top/>
      <bottom/>
      <diagonal/>
    </border>
    <border>
      <left/>
      <right style="thick">
        <color rgb="FF08637A"/>
      </right>
      <top/>
      <bottom style="thin">
        <color rgb="FF000000"/>
      </bottom>
      <diagonal/>
    </border>
    <border>
      <left style="thick">
        <color rgb="FF08637A"/>
      </left>
      <right/>
      <top/>
      <bottom style="thin">
        <color rgb="FF000000"/>
      </bottom>
      <diagonal/>
    </border>
    <border>
      <left/>
      <right style="thick">
        <color rgb="FF2B4A1B"/>
      </right>
      <top/>
      <bottom style="thin">
        <color rgb="FF000000"/>
      </bottom>
      <diagonal/>
    </border>
    <border>
      <left style="thick">
        <color rgb="FF2B4A1B"/>
      </left>
      <right/>
      <top/>
      <bottom style="thin">
        <color rgb="FF000000"/>
      </bottom>
      <diagonal/>
    </border>
    <border>
      <left/>
      <right/>
      <top/>
      <bottom style="thin">
        <color rgb="FFD1D5DB"/>
      </bottom>
      <diagonal/>
    </border>
    <border>
      <left/>
      <right style="thin">
        <color rgb="FFF3F4F6"/>
      </right>
      <top/>
      <bottom/>
      <diagonal/>
    </border>
    <border>
      <left/>
      <right/>
      <top/>
      <bottom style="thin">
        <color rgb="FFF3F4F6"/>
      </bottom>
      <diagonal/>
    </border>
    <border>
      <left/>
      <right style="thin">
        <color rgb="FFF3F4F6"/>
      </right>
      <top/>
      <bottom style="thin">
        <color rgb="FFF3F4F6"/>
      </bottom>
      <diagonal/>
    </border>
    <border>
      <left/>
      <right style="thin">
        <color rgb="FFF3F4F6"/>
      </right>
      <top style="thin">
        <color rgb="FFF3F4F6"/>
      </top>
      <bottom style="thin">
        <color rgb="FFF3F4F6"/>
      </bottom>
      <diagonal/>
    </border>
    <border>
      <left style="thin">
        <color rgb="FFF3F4F6"/>
      </left>
      <right style="thin">
        <color rgb="FFF3F4F6"/>
      </right>
      <top style="thin">
        <color rgb="FFF3F4F6"/>
      </top>
      <bottom style="thin">
        <color rgb="FFF3F4F6"/>
      </bottom>
      <diagonal/>
    </border>
    <border>
      <left style="thin">
        <color rgb="FFF3F4F6"/>
      </left>
      <right style="thin">
        <color rgb="FFF3F4F6"/>
      </right>
      <top style="thin">
        <color rgb="FFF3F4F6"/>
      </top>
      <bottom/>
      <diagonal/>
    </border>
    <border>
      <left/>
      <right/>
      <top style="thin">
        <color rgb="FFF3F4F6"/>
      </top>
      <bottom style="thin">
        <color rgb="FFE5E7EB"/>
      </bottom>
      <diagonal/>
    </border>
    <border>
      <left/>
      <right style="thin">
        <color rgb="FFF3F4F6"/>
      </right>
      <top style="thin">
        <color rgb="FFF3F4F6"/>
      </top>
      <bottom style="thin">
        <color rgb="FFE5E7EB"/>
      </bottom>
      <diagonal/>
    </border>
    <border>
      <left style="thin">
        <color rgb="FFF3F4F6"/>
      </left>
      <right style="thin">
        <color rgb="FFF3F4F6"/>
      </right>
      <top style="thin">
        <color rgb="FFF3F4F6"/>
      </top>
      <bottom style="thin">
        <color rgb="FFE5E7EB"/>
      </bottom>
      <diagonal/>
    </border>
    <border>
      <left/>
      <right/>
      <top/>
      <bottom style="medium">
        <color rgb="FFC9A227"/>
      </bottom>
      <diagonal/>
    </border>
    <border>
      <left/>
      <right/>
      <top style="thin">
        <color rgb="FFBFBFBF"/>
      </top>
      <bottom/>
      <diagonal/>
    </border>
    <border>
      <left style="thin">
        <color rgb="FFBFBFBF"/>
      </left>
      <right/>
      <top style="thin">
        <color rgb="FFBFBFBF"/>
      </top>
      <bottom/>
      <diagonal/>
    </border>
    <border>
      <left style="thin">
        <color rgb="FFBFBFBF"/>
      </left>
      <right/>
      <top/>
      <bottom/>
      <diagonal/>
    </border>
    <border>
      <left style="thin">
        <color rgb="FFBFBFBF"/>
      </left>
      <right/>
      <top/>
      <bottom style="thin">
        <color rgb="FFBFBFBF"/>
      </bottom>
      <diagonal/>
    </border>
    <border>
      <left/>
      <right style="thin">
        <color rgb="FFBFBFBF"/>
      </right>
      <top style="thin">
        <color rgb="FFBFBFBF"/>
      </top>
      <bottom/>
      <diagonal/>
    </border>
    <border>
      <left/>
      <right style="thin">
        <color rgb="FFBFBFBF"/>
      </right>
      <top/>
      <bottom/>
      <diagonal/>
    </border>
    <border>
      <left/>
      <right style="thin">
        <color rgb="FFBFBFBF"/>
      </right>
      <top/>
      <bottom style="thin">
        <color rgb="FFBFBFBF"/>
      </bottom>
      <diagonal/>
    </border>
    <border>
      <left/>
      <right/>
      <top style="medium">
        <color rgb="FFC9A227"/>
      </top>
      <bottom/>
      <diagonal/>
    </border>
    <border>
      <left style="thin">
        <color rgb="FFB7B7B7"/>
      </left>
      <right style="thin">
        <color rgb="FFB7B7B7"/>
      </right>
      <top style="thin">
        <color rgb="FFB7B7B7"/>
      </top>
      <bottom/>
      <diagonal/>
    </border>
    <border>
      <left style="thin">
        <color rgb="FFB7B7B7"/>
      </left>
      <right style="thin">
        <color rgb="FFB7B7B7"/>
      </right>
      <top/>
      <bottom style="thin">
        <color rgb="FFB7B7B7"/>
      </bottom>
      <diagonal/>
    </border>
    <border>
      <left style="thin">
        <color rgb="FFB7B7B7"/>
      </left>
      <right style="thin">
        <color rgb="FFB7B7B7"/>
      </right>
      <top style="thin">
        <color rgb="FFBFBFBF"/>
      </top>
      <bottom style="thin">
        <color rgb="FFB7B7B7"/>
      </bottom>
      <diagonal/>
    </border>
    <border>
      <left style="thin">
        <color rgb="FFB7B7B7"/>
      </left>
      <right style="thin">
        <color rgb="FFB7B7B7"/>
      </right>
      <top/>
      <bottom/>
      <diagonal/>
    </border>
    <border>
      <left style="thin">
        <color rgb="FFB7B7B7"/>
      </left>
      <right style="thin">
        <color rgb="FFB7B7B7"/>
      </right>
      <top style="thin">
        <color rgb="FFBFBFBF"/>
      </top>
      <bottom style="thin">
        <color rgb="FF1F3864"/>
      </bottom>
      <diagonal/>
    </border>
  </borders>
  <cellStyleXfs count="1">
    <xf numFmtId="0" fontId="0" fillId="0" borderId="0"/>
  </cellStyleXfs>
  <cellXfs count="1596">
    <xf numFmtId="0" fontId="0" fillId="0" borderId="0" xfId="0"/>
    <xf numFmtId="0" fontId="1" fillId="2" borderId="1" xfId="0" applyFont="1" applyFill="1" applyBorder="1"/>
    <xf numFmtId="0" fontId="2" fillId="0" borderId="3" xfId="0" applyFont="1" applyBorder="1"/>
    <xf numFmtId="0" fontId="3" fillId="0" borderId="0" xfId="0" applyFont="1"/>
    <xf numFmtId="0" fontId="3" fillId="0" borderId="0" xfId="0" applyFont="1" applyAlignment="1">
      <alignment wrapText="1"/>
    </xf>
    <xf numFmtId="0" fontId="5" fillId="3" borderId="4" xfId="0" applyFont="1" applyFill="1" applyBorder="1" applyAlignment="1">
      <alignment horizontal="center"/>
    </xf>
    <xf numFmtId="0" fontId="5" fillId="3" borderId="5" xfId="0" applyFont="1" applyFill="1" applyBorder="1"/>
    <xf numFmtId="0" fontId="5" fillId="3" borderId="6" xfId="0" applyFont="1" applyFill="1" applyBorder="1" applyAlignment="1">
      <alignment wrapText="1"/>
    </xf>
    <xf numFmtId="0" fontId="6" fillId="4" borderId="7" xfId="0" applyFont="1" applyFill="1" applyBorder="1" applyAlignment="1">
      <alignment vertical="top"/>
    </xf>
    <xf numFmtId="0" fontId="6" fillId="4" borderId="8" xfId="0" applyFont="1" applyFill="1" applyBorder="1" applyAlignment="1">
      <alignment vertical="top"/>
    </xf>
    <xf numFmtId="0" fontId="7" fillId="4" borderId="9" xfId="0" applyFont="1" applyFill="1" applyBorder="1" applyAlignment="1">
      <alignment vertical="top" wrapText="1"/>
    </xf>
    <xf numFmtId="0" fontId="6" fillId="0" borderId="10" xfId="0" applyFont="1" applyBorder="1" applyAlignment="1">
      <alignment vertical="top"/>
    </xf>
    <xf numFmtId="0" fontId="6" fillId="0" borderId="11" xfId="0" applyFont="1" applyBorder="1" applyAlignment="1">
      <alignment vertical="top"/>
    </xf>
    <xf numFmtId="0" fontId="7" fillId="0" borderId="12" xfId="0" applyFont="1" applyBorder="1" applyAlignment="1">
      <alignment vertical="top" wrapText="1"/>
    </xf>
    <xf numFmtId="0" fontId="6" fillId="4" borderId="10" xfId="0" applyFont="1" applyFill="1" applyBorder="1" applyAlignment="1">
      <alignment vertical="top"/>
    </xf>
    <xf numFmtId="0" fontId="6" fillId="4" borderId="11" xfId="0" applyFont="1" applyFill="1" applyBorder="1" applyAlignment="1">
      <alignment vertical="top"/>
    </xf>
    <xf numFmtId="0" fontId="6" fillId="4" borderId="13" xfId="0" applyFont="1" applyFill="1" applyBorder="1" applyAlignment="1">
      <alignment vertical="top"/>
    </xf>
    <xf numFmtId="0" fontId="6" fillId="4" borderId="14" xfId="0" applyFont="1" applyFill="1" applyBorder="1" applyAlignment="1">
      <alignment vertical="top"/>
    </xf>
    <xf numFmtId="0" fontId="7" fillId="4" borderId="15" xfId="0" applyFont="1" applyFill="1" applyBorder="1" applyAlignment="1">
      <alignment vertical="top" wrapText="1"/>
    </xf>
    <xf numFmtId="0" fontId="6" fillId="0" borderId="16" xfId="0" applyFont="1" applyBorder="1" applyAlignment="1">
      <alignment vertical="top"/>
    </xf>
    <xf numFmtId="0" fontId="6" fillId="0" borderId="17" xfId="0" applyFont="1" applyBorder="1" applyAlignment="1">
      <alignment vertical="top"/>
    </xf>
    <xf numFmtId="0" fontId="7" fillId="0" borderId="18" xfId="0" applyFont="1" applyBorder="1" applyAlignment="1">
      <alignment vertical="top" wrapText="1"/>
    </xf>
    <xf numFmtId="0" fontId="8" fillId="0" borderId="0" xfId="0" applyFont="1" applyAlignment="1">
      <alignment wrapText="1"/>
    </xf>
    <xf numFmtId="0" fontId="9" fillId="0" borderId="0" xfId="0" applyFont="1" applyAlignment="1">
      <alignment horizontal="left" vertical="center" wrapText="1"/>
    </xf>
    <xf numFmtId="0" fontId="10" fillId="0" borderId="0" xfId="0" applyFont="1" applyAlignment="1">
      <alignment horizontal="left" vertical="center" wrapText="1"/>
    </xf>
    <xf numFmtId="0" fontId="11" fillId="0" borderId="0" xfId="0" applyFont="1" applyAlignment="1">
      <alignment horizontal="left" vertical="center" wrapText="1"/>
    </xf>
    <xf numFmtId="0" fontId="10" fillId="0" borderId="0" xfId="0" applyFont="1"/>
    <xf numFmtId="0" fontId="12" fillId="0" borderId="0" xfId="0" applyFont="1" applyAlignment="1">
      <alignment horizontal="left" vertical="center" wrapText="1"/>
    </xf>
    <xf numFmtId="0" fontId="10" fillId="0" borderId="19" xfId="0" applyFont="1" applyBorder="1"/>
    <xf numFmtId="0" fontId="10" fillId="0" borderId="20" xfId="0" applyFont="1" applyBorder="1"/>
    <xf numFmtId="0" fontId="10" fillId="5" borderId="21" xfId="0" applyFont="1" applyFill="1" applyBorder="1"/>
    <xf numFmtId="0" fontId="10" fillId="5" borderId="22" xfId="0" applyFont="1" applyFill="1" applyBorder="1"/>
    <xf numFmtId="0" fontId="10" fillId="5" borderId="1" xfId="0" applyFont="1" applyFill="1" applyBorder="1"/>
    <xf numFmtId="0" fontId="10" fillId="0" borderId="23" xfId="0" applyFont="1" applyBorder="1"/>
    <xf numFmtId="0" fontId="2" fillId="0" borderId="24" xfId="0" applyFont="1" applyBorder="1"/>
    <xf numFmtId="0" fontId="14" fillId="5" borderId="25" xfId="0" applyFont="1" applyFill="1" applyBorder="1"/>
    <xf numFmtId="0" fontId="16" fillId="7" borderId="1" xfId="0" applyFont="1" applyFill="1" applyBorder="1" applyAlignment="1">
      <alignment horizontal="right" vertical="center"/>
    </xf>
    <xf numFmtId="0" fontId="17" fillId="7" borderId="1" xfId="0" applyFont="1" applyFill="1" applyBorder="1" applyAlignment="1">
      <alignment horizontal="left" vertical="center"/>
    </xf>
    <xf numFmtId="0" fontId="18" fillId="5" borderId="1" xfId="0" applyFont="1" applyFill="1" applyBorder="1" applyAlignment="1">
      <alignment horizontal="left"/>
    </xf>
    <xf numFmtId="0" fontId="10" fillId="5" borderId="25" xfId="0" applyFont="1" applyFill="1" applyBorder="1"/>
    <xf numFmtId="0" fontId="19" fillId="0" borderId="0" xfId="0" applyFont="1"/>
    <xf numFmtId="0" fontId="10" fillId="0" borderId="26" xfId="0" applyFont="1" applyBorder="1"/>
    <xf numFmtId="0" fontId="10" fillId="0" borderId="27" xfId="0" applyFont="1" applyBorder="1"/>
    <xf numFmtId="0" fontId="10" fillId="0" borderId="52" xfId="0" applyFont="1" applyBorder="1"/>
    <xf numFmtId="0" fontId="19" fillId="0" borderId="65" xfId="0" applyFont="1" applyBorder="1"/>
    <xf numFmtId="0" fontId="10" fillId="0" borderId="65" xfId="0" applyFont="1" applyBorder="1"/>
    <xf numFmtId="0" fontId="39" fillId="0" borderId="0" xfId="0" applyFont="1"/>
    <xf numFmtId="0" fontId="10" fillId="0" borderId="66" xfId="0" applyFont="1" applyBorder="1"/>
    <xf numFmtId="0" fontId="10" fillId="0" borderId="67" xfId="0" applyFont="1" applyBorder="1"/>
    <xf numFmtId="0" fontId="10" fillId="5" borderId="68" xfId="0" applyFont="1" applyFill="1" applyBorder="1"/>
    <xf numFmtId="0" fontId="10" fillId="5" borderId="69" xfId="0" applyFont="1" applyFill="1" applyBorder="1"/>
    <xf numFmtId="0" fontId="41" fillId="9" borderId="73" xfId="0" applyFont="1" applyFill="1" applyBorder="1" applyAlignment="1">
      <alignment horizontal="center"/>
    </xf>
    <xf numFmtId="0" fontId="41" fillId="9" borderId="74" xfId="0" applyFont="1" applyFill="1" applyBorder="1" applyAlignment="1">
      <alignment horizontal="center"/>
    </xf>
    <xf numFmtId="0" fontId="41" fillId="10" borderId="74" xfId="0" applyFont="1" applyFill="1" applyBorder="1" applyAlignment="1">
      <alignment horizontal="center"/>
    </xf>
    <xf numFmtId="0" fontId="41" fillId="9" borderId="75" xfId="0" applyFont="1" applyFill="1" applyBorder="1" applyAlignment="1">
      <alignment horizontal="center"/>
    </xf>
    <xf numFmtId="0" fontId="41" fillId="11" borderId="73" xfId="0" applyFont="1" applyFill="1" applyBorder="1" applyAlignment="1">
      <alignment horizontal="center"/>
    </xf>
    <xf numFmtId="0" fontId="41" fillId="11" borderId="74" xfId="0" applyFont="1" applyFill="1" applyBorder="1" applyAlignment="1">
      <alignment horizontal="center"/>
    </xf>
    <xf numFmtId="0" fontId="41" fillId="11" borderId="75" xfId="0" applyFont="1" applyFill="1" applyBorder="1" applyAlignment="1">
      <alignment horizontal="center"/>
    </xf>
    <xf numFmtId="10" fontId="41" fillId="12" borderId="76" xfId="0" applyNumberFormat="1" applyFont="1" applyFill="1" applyBorder="1" applyAlignment="1">
      <alignment horizontal="center"/>
    </xf>
    <xf numFmtId="166" fontId="42" fillId="0" borderId="77" xfId="0" applyNumberFormat="1" applyFont="1" applyBorder="1" applyAlignment="1">
      <alignment horizontal="right"/>
    </xf>
    <xf numFmtId="166" fontId="42" fillId="0" borderId="78" xfId="0" applyNumberFormat="1" applyFont="1" applyBorder="1" applyAlignment="1">
      <alignment horizontal="right"/>
    </xf>
    <xf numFmtId="9" fontId="41" fillId="12" borderId="76" xfId="0" applyNumberFormat="1" applyFont="1" applyFill="1" applyBorder="1" applyAlignment="1">
      <alignment horizontal="center"/>
    </xf>
    <xf numFmtId="164" fontId="42" fillId="0" borderId="77" xfId="0" applyNumberFormat="1" applyFont="1" applyBorder="1" applyAlignment="1">
      <alignment horizontal="right"/>
    </xf>
    <xf numFmtId="164" fontId="42" fillId="0" borderId="78" xfId="0" applyNumberFormat="1" applyFont="1" applyBorder="1" applyAlignment="1">
      <alignment horizontal="right"/>
    </xf>
    <xf numFmtId="10" fontId="41" fillId="10" borderId="76" xfId="0" applyNumberFormat="1" applyFont="1" applyFill="1" applyBorder="1" applyAlignment="1">
      <alignment horizontal="center"/>
    </xf>
    <xf numFmtId="166" fontId="41" fillId="10" borderId="77" xfId="0" applyNumberFormat="1" applyFont="1" applyFill="1" applyBorder="1" applyAlignment="1">
      <alignment horizontal="right"/>
    </xf>
    <xf numFmtId="0" fontId="41" fillId="10" borderId="76" xfId="0" applyFont="1" applyFill="1" applyBorder="1" applyAlignment="1">
      <alignment horizontal="center"/>
    </xf>
    <xf numFmtId="164" fontId="41" fillId="10" borderId="77" xfId="0" applyNumberFormat="1" applyFont="1" applyFill="1" applyBorder="1" applyAlignment="1">
      <alignment horizontal="right"/>
    </xf>
    <xf numFmtId="10" fontId="41" fillId="12" borderId="79" xfId="0" applyNumberFormat="1" applyFont="1" applyFill="1" applyBorder="1" applyAlignment="1">
      <alignment horizontal="center"/>
    </xf>
    <xf numFmtId="166" fontId="42" fillId="0" borderId="80" xfId="0" applyNumberFormat="1" applyFont="1" applyBorder="1" applyAlignment="1">
      <alignment horizontal="right"/>
    </xf>
    <xf numFmtId="166" fontId="42" fillId="0" borderId="81" xfId="0" applyNumberFormat="1" applyFont="1" applyBorder="1" applyAlignment="1">
      <alignment horizontal="right"/>
    </xf>
    <xf numFmtId="9" fontId="41" fillId="12" borderId="79" xfId="0" applyNumberFormat="1" applyFont="1" applyFill="1" applyBorder="1" applyAlignment="1">
      <alignment horizontal="center"/>
    </xf>
    <xf numFmtId="164" fontId="42" fillId="0" borderId="80" xfId="0" applyNumberFormat="1" applyFont="1" applyBorder="1" applyAlignment="1">
      <alignment horizontal="right"/>
    </xf>
    <xf numFmtId="164" fontId="42" fillId="0" borderId="81" xfId="0" applyNumberFormat="1" applyFont="1" applyBorder="1" applyAlignment="1">
      <alignment horizontal="right"/>
    </xf>
    <xf numFmtId="0" fontId="19" fillId="0" borderId="20" xfId="0" applyFont="1" applyBorder="1"/>
    <xf numFmtId="0" fontId="47" fillId="6" borderId="99" xfId="0" applyFont="1" applyFill="1" applyBorder="1" applyAlignment="1">
      <alignment horizontal="left"/>
    </xf>
    <xf numFmtId="0" fontId="47" fillId="6" borderId="21" xfId="0" applyFont="1" applyFill="1" applyBorder="1" applyAlignment="1">
      <alignment horizontal="center"/>
    </xf>
    <xf numFmtId="0" fontId="47" fillId="6" borderId="22" xfId="0" applyFont="1" applyFill="1" applyBorder="1" applyAlignment="1">
      <alignment horizontal="center"/>
    </xf>
    <xf numFmtId="0" fontId="48" fillId="10" borderId="100" xfId="0" applyFont="1" applyFill="1" applyBorder="1" applyAlignment="1">
      <alignment horizontal="left"/>
    </xf>
    <xf numFmtId="169" fontId="48" fillId="10" borderId="101" xfId="0" applyNumberFormat="1" applyFont="1" applyFill="1" applyBorder="1" applyAlignment="1">
      <alignment horizontal="center"/>
    </xf>
    <xf numFmtId="170" fontId="48" fillId="10" borderId="101" xfId="0" applyNumberFormat="1" applyFont="1" applyFill="1" applyBorder="1" applyAlignment="1">
      <alignment horizontal="center"/>
    </xf>
    <xf numFmtId="49" fontId="49" fillId="10" borderId="102" xfId="0" applyNumberFormat="1" applyFont="1" applyFill="1" applyBorder="1" applyAlignment="1">
      <alignment horizontal="center"/>
    </xf>
    <xf numFmtId="0" fontId="48" fillId="0" borderId="103" xfId="0" applyFont="1" applyBorder="1" applyAlignment="1">
      <alignment horizontal="left"/>
    </xf>
    <xf numFmtId="171" fontId="50" fillId="0" borderId="104" xfId="0" applyNumberFormat="1" applyFont="1" applyBorder="1" applyAlignment="1">
      <alignment horizontal="center"/>
    </xf>
    <xf numFmtId="172" fontId="50" fillId="0" borderId="104" xfId="0" applyNumberFormat="1" applyFont="1" applyBorder="1" applyAlignment="1">
      <alignment horizontal="center"/>
    </xf>
    <xf numFmtId="49" fontId="51" fillId="0" borderId="105" xfId="0" applyNumberFormat="1" applyFont="1" applyBorder="1" applyAlignment="1">
      <alignment horizontal="center"/>
    </xf>
    <xf numFmtId="0" fontId="48" fillId="13" borderId="106" xfId="0" applyFont="1" applyFill="1" applyBorder="1" applyAlignment="1">
      <alignment horizontal="left"/>
    </xf>
    <xf numFmtId="171" fontId="50" fillId="13" borderId="107" xfId="0" applyNumberFormat="1" applyFont="1" applyFill="1" applyBorder="1" applyAlignment="1">
      <alignment horizontal="center"/>
    </xf>
    <xf numFmtId="172" fontId="50" fillId="13" borderId="107" xfId="0" applyNumberFormat="1" applyFont="1" applyFill="1" applyBorder="1" applyAlignment="1">
      <alignment horizontal="center"/>
    </xf>
    <xf numFmtId="49" fontId="51" fillId="13" borderId="108" xfId="0" applyNumberFormat="1" applyFont="1" applyFill="1" applyBorder="1" applyAlignment="1">
      <alignment horizontal="center"/>
    </xf>
    <xf numFmtId="0" fontId="48" fillId="0" borderId="109" xfId="0" applyFont="1" applyBorder="1" applyAlignment="1">
      <alignment horizontal="left"/>
    </xf>
    <xf numFmtId="171" fontId="50" fillId="0" borderId="110" xfId="0" applyNumberFormat="1" applyFont="1" applyBorder="1" applyAlignment="1">
      <alignment horizontal="center"/>
    </xf>
    <xf numFmtId="172" fontId="50" fillId="0" borderId="110" xfId="0" applyNumberFormat="1" applyFont="1" applyBorder="1" applyAlignment="1">
      <alignment horizontal="center"/>
    </xf>
    <xf numFmtId="49" fontId="51" fillId="0" borderId="111" xfId="0" applyNumberFormat="1" applyFont="1" applyBorder="1" applyAlignment="1">
      <alignment horizontal="center"/>
    </xf>
    <xf numFmtId="0" fontId="52" fillId="6" borderId="99" xfId="0" applyFont="1" applyFill="1" applyBorder="1" applyAlignment="1">
      <alignment horizontal="left"/>
    </xf>
    <xf numFmtId="0" fontId="10" fillId="6" borderId="21" xfId="0" applyFont="1" applyFill="1" applyBorder="1"/>
    <xf numFmtId="0" fontId="10" fillId="6" borderId="22" xfId="0" applyFont="1" applyFill="1" applyBorder="1"/>
    <xf numFmtId="0" fontId="53" fillId="9" borderId="112" xfId="0" applyFont="1" applyFill="1" applyBorder="1"/>
    <xf numFmtId="0" fontId="53" fillId="9" borderId="1" xfId="0" applyFont="1" applyFill="1" applyBorder="1" applyAlignment="1">
      <alignment horizontal="right"/>
    </xf>
    <xf numFmtId="0" fontId="53" fillId="9" borderId="25" xfId="0" applyFont="1" applyFill="1" applyBorder="1" applyAlignment="1">
      <alignment horizontal="right"/>
    </xf>
    <xf numFmtId="0" fontId="50" fillId="0" borderId="23" xfId="0" applyFont="1" applyBorder="1" applyAlignment="1">
      <alignment wrapText="1"/>
    </xf>
    <xf numFmtId="166" fontId="54" fillId="0" borderId="0" xfId="0" applyNumberFormat="1" applyFont="1"/>
    <xf numFmtId="164" fontId="55" fillId="0" borderId="52" xfId="0" applyNumberFormat="1" applyFont="1" applyBorder="1"/>
    <xf numFmtId="0" fontId="50" fillId="0" borderId="23" xfId="0" applyFont="1" applyBorder="1"/>
    <xf numFmtId="0" fontId="48" fillId="0" borderId="23" xfId="0" applyFont="1" applyBorder="1"/>
    <xf numFmtId="166" fontId="53" fillId="0" borderId="0" xfId="0" applyNumberFormat="1" applyFont="1"/>
    <xf numFmtId="164" fontId="53" fillId="0" borderId="52" xfId="0" applyNumberFormat="1" applyFont="1" applyBorder="1"/>
    <xf numFmtId="173" fontId="51" fillId="0" borderId="0" xfId="0" applyNumberFormat="1" applyFont="1"/>
    <xf numFmtId="166" fontId="56" fillId="0" borderId="0" xfId="0" applyNumberFormat="1" applyFont="1"/>
    <xf numFmtId="0" fontId="52" fillId="14" borderId="113" xfId="0" applyFont="1" applyFill="1" applyBorder="1"/>
    <xf numFmtId="166" fontId="52" fillId="14" borderId="68" xfId="0" applyNumberFormat="1" applyFont="1" applyFill="1" applyBorder="1"/>
    <xf numFmtId="164" fontId="52" fillId="14" borderId="69" xfId="0" applyNumberFormat="1" applyFont="1" applyFill="1" applyBorder="1"/>
    <xf numFmtId="49" fontId="57" fillId="0" borderId="52" xfId="0" applyNumberFormat="1" applyFont="1" applyBorder="1" applyAlignment="1">
      <alignment horizontal="right"/>
    </xf>
    <xf numFmtId="166" fontId="57" fillId="0" borderId="52" xfId="0" applyNumberFormat="1" applyFont="1" applyBorder="1" applyAlignment="1">
      <alignment horizontal="right"/>
    </xf>
    <xf numFmtId="165" fontId="57" fillId="0" borderId="52" xfId="0" applyNumberFormat="1" applyFont="1" applyBorder="1" applyAlignment="1">
      <alignment horizontal="right"/>
    </xf>
    <xf numFmtId="0" fontId="58" fillId="0" borderId="66" xfId="0" applyFont="1" applyBorder="1"/>
    <xf numFmtId="164" fontId="59" fillId="0" borderId="114" xfId="0" applyNumberFormat="1" applyFont="1" applyBorder="1" applyAlignment="1">
      <alignment horizontal="right"/>
    </xf>
    <xf numFmtId="0" fontId="60" fillId="6" borderId="1" xfId="0" applyFont="1" applyFill="1" applyBorder="1"/>
    <xf numFmtId="0" fontId="10" fillId="6" borderId="1" xfId="0" applyFont="1" applyFill="1" applyBorder="1"/>
    <xf numFmtId="0" fontId="61" fillId="0" borderId="0" xfId="0" applyFont="1"/>
    <xf numFmtId="0" fontId="62" fillId="0" borderId="0" xfId="0" applyFont="1"/>
    <xf numFmtId="0" fontId="10" fillId="0" borderId="115" xfId="0" applyFont="1" applyBorder="1"/>
    <xf numFmtId="0" fontId="10" fillId="0" borderId="116" xfId="0" applyFont="1" applyBorder="1"/>
    <xf numFmtId="0" fontId="10" fillId="5" borderId="117" xfId="0" applyFont="1" applyFill="1" applyBorder="1"/>
    <xf numFmtId="0" fontId="10" fillId="5" borderId="118" xfId="0" applyFont="1" applyFill="1" applyBorder="1"/>
    <xf numFmtId="0" fontId="10" fillId="0" borderId="119" xfId="0" applyFont="1" applyBorder="1"/>
    <xf numFmtId="0" fontId="10" fillId="5" borderId="15" xfId="0" applyFont="1" applyFill="1" applyBorder="1"/>
    <xf numFmtId="0" fontId="10" fillId="0" borderId="120" xfId="0" applyFont="1" applyBorder="1"/>
    <xf numFmtId="0" fontId="52" fillId="15" borderId="121" xfId="0" applyFont="1" applyFill="1" applyBorder="1" applyAlignment="1">
      <alignment horizontal="center"/>
    </xf>
    <xf numFmtId="0" fontId="67" fillId="12" borderId="121" xfId="0" applyFont="1" applyFill="1" applyBorder="1" applyAlignment="1">
      <alignment horizontal="left"/>
    </xf>
    <xf numFmtId="174" fontId="68" fillId="12" borderId="121" xfId="0" applyNumberFormat="1" applyFont="1" applyFill="1" applyBorder="1" applyAlignment="1">
      <alignment horizontal="right"/>
    </xf>
    <xf numFmtId="174" fontId="69" fillId="12" borderId="121" xfId="0" applyNumberFormat="1" applyFont="1" applyFill="1" applyBorder="1" applyAlignment="1">
      <alignment horizontal="center"/>
    </xf>
    <xf numFmtId="0" fontId="67" fillId="0" borderId="121" xfId="0" applyFont="1" applyBorder="1" applyAlignment="1">
      <alignment horizontal="left"/>
    </xf>
    <xf numFmtId="174" fontId="68" fillId="0" borderId="121" xfId="0" applyNumberFormat="1" applyFont="1" applyBorder="1" applyAlignment="1">
      <alignment horizontal="right"/>
    </xf>
    <xf numFmtId="174" fontId="69" fillId="0" borderId="121" xfId="0" applyNumberFormat="1" applyFont="1" applyBorder="1" applyAlignment="1">
      <alignment horizontal="center"/>
    </xf>
    <xf numFmtId="0" fontId="10" fillId="0" borderId="122" xfId="0" applyFont="1" applyBorder="1"/>
    <xf numFmtId="0" fontId="10" fillId="0" borderId="124" xfId="0" applyFont="1" applyBorder="1"/>
    <xf numFmtId="0" fontId="73" fillId="16" borderId="1" xfId="0" applyFont="1" applyFill="1" applyBorder="1"/>
    <xf numFmtId="0" fontId="74" fillId="17" borderId="1" xfId="0" applyFont="1" applyFill="1" applyBorder="1"/>
    <xf numFmtId="0" fontId="75" fillId="17" borderId="1" xfId="0" applyFont="1" applyFill="1" applyBorder="1"/>
    <xf numFmtId="0" fontId="10" fillId="0" borderId="0" xfId="0" applyFont="1" applyAlignment="1">
      <alignment horizontal="left" vertical="center"/>
    </xf>
    <xf numFmtId="0" fontId="76" fillId="18" borderId="1" xfId="0" applyFont="1" applyFill="1" applyBorder="1" applyAlignment="1">
      <alignment vertical="center"/>
    </xf>
    <xf numFmtId="0" fontId="76" fillId="18" borderId="1" xfId="0" applyFont="1" applyFill="1" applyBorder="1"/>
    <xf numFmtId="0" fontId="52" fillId="19" borderId="1" xfId="0" applyFont="1" applyFill="1" applyBorder="1"/>
    <xf numFmtId="0" fontId="52" fillId="19" borderId="1" xfId="0" applyFont="1" applyFill="1" applyBorder="1" applyAlignment="1">
      <alignment horizontal="center" vertical="center"/>
    </xf>
    <xf numFmtId="0" fontId="67" fillId="12" borderId="1" xfId="0" applyFont="1" applyFill="1" applyBorder="1" applyAlignment="1">
      <alignment horizontal="left" vertical="center"/>
    </xf>
    <xf numFmtId="174" fontId="10" fillId="12" borderId="1" xfId="0" applyNumberFormat="1" applyFont="1" applyFill="1" applyBorder="1" applyAlignment="1">
      <alignment horizontal="center" vertical="center"/>
    </xf>
    <xf numFmtId="0" fontId="67" fillId="0" borderId="0" xfId="0" applyFont="1" applyAlignment="1">
      <alignment horizontal="left" vertical="center"/>
    </xf>
    <xf numFmtId="174" fontId="10" fillId="0" borderId="0" xfId="0" applyNumberFormat="1" applyFont="1" applyAlignment="1">
      <alignment horizontal="center" vertical="center"/>
    </xf>
    <xf numFmtId="4" fontId="10" fillId="12" borderId="1" xfId="0" applyNumberFormat="1" applyFont="1" applyFill="1" applyBorder="1" applyAlignment="1">
      <alignment horizontal="center" vertical="center"/>
    </xf>
    <xf numFmtId="0" fontId="40" fillId="0" borderId="0" xfId="0" applyFont="1" applyAlignment="1">
      <alignment horizontal="left" vertical="center"/>
    </xf>
    <xf numFmtId="4" fontId="10" fillId="0" borderId="0" xfId="0" applyNumberFormat="1" applyFont="1" applyAlignment="1">
      <alignment horizontal="center" vertical="center"/>
    </xf>
    <xf numFmtId="0" fontId="40" fillId="12" borderId="1" xfId="0" applyFont="1" applyFill="1" applyBorder="1" applyAlignment="1">
      <alignment horizontal="left" vertical="center"/>
    </xf>
    <xf numFmtId="165" fontId="10" fillId="0" borderId="0" xfId="0" applyNumberFormat="1" applyFont="1" applyAlignment="1">
      <alignment horizontal="center" vertical="center"/>
    </xf>
    <xf numFmtId="0" fontId="73" fillId="19" borderId="2" xfId="0" applyFont="1" applyFill="1" applyBorder="1"/>
    <xf numFmtId="0" fontId="77" fillId="0" borderId="0" xfId="0" applyFont="1"/>
    <xf numFmtId="0" fontId="78" fillId="0" borderId="0" xfId="0" applyFont="1"/>
    <xf numFmtId="0" fontId="67" fillId="20" borderId="1" xfId="0" applyFont="1" applyFill="1" applyBorder="1"/>
    <xf numFmtId="0" fontId="67" fillId="21" borderId="125" xfId="0" applyFont="1" applyFill="1" applyBorder="1"/>
    <xf numFmtId="0" fontId="10" fillId="0" borderId="126" xfId="0" applyFont="1" applyBorder="1"/>
    <xf numFmtId="0" fontId="67" fillId="12" borderId="127" xfId="0" applyFont="1" applyFill="1" applyBorder="1"/>
    <xf numFmtId="0" fontId="67" fillId="12" borderId="1" xfId="0" applyFont="1" applyFill="1" applyBorder="1" applyAlignment="1">
      <alignment horizontal="right"/>
    </xf>
    <xf numFmtId="0" fontId="67" fillId="12" borderId="2" xfId="0" applyFont="1" applyFill="1" applyBorder="1" applyAlignment="1">
      <alignment horizontal="right"/>
    </xf>
    <xf numFmtId="0" fontId="67" fillId="12" borderId="0" xfId="0" applyFont="1" applyFill="1" applyAlignment="1">
      <alignment horizontal="right"/>
    </xf>
    <xf numFmtId="0" fontId="67" fillId="12" borderId="120" xfId="0" applyFont="1" applyFill="1" applyBorder="1" applyAlignment="1">
      <alignment horizontal="right"/>
    </xf>
    <xf numFmtId="174" fontId="10" fillId="0" borderId="0" xfId="0" applyNumberFormat="1" applyFont="1" applyAlignment="1">
      <alignment horizontal="right" vertical="center"/>
    </xf>
    <xf numFmtId="174" fontId="10" fillId="0" borderId="120" xfId="0" applyNumberFormat="1" applyFont="1" applyBorder="1" applyAlignment="1">
      <alignment horizontal="right" vertical="center"/>
    </xf>
    <xf numFmtId="174" fontId="10" fillId="0" borderId="123" xfId="0" applyNumberFormat="1" applyFont="1" applyBorder="1" applyAlignment="1">
      <alignment horizontal="right" vertical="center"/>
    </xf>
    <xf numFmtId="174" fontId="10" fillId="0" borderId="124" xfId="0" applyNumberFormat="1" applyFont="1" applyBorder="1" applyAlignment="1">
      <alignment horizontal="right" vertical="center"/>
    </xf>
    <xf numFmtId="0" fontId="67" fillId="22" borderId="127" xfId="0" applyFont="1" applyFill="1" applyBorder="1"/>
    <xf numFmtId="0" fontId="67" fillId="22" borderId="15" xfId="0" applyFont="1" applyFill="1" applyBorder="1"/>
    <xf numFmtId="174" fontId="10" fillId="0" borderId="120" xfId="0" applyNumberFormat="1" applyFont="1" applyBorder="1" applyAlignment="1">
      <alignment vertical="center"/>
    </xf>
    <xf numFmtId="168" fontId="10" fillId="0" borderId="120" xfId="0" applyNumberFormat="1" applyFont="1" applyBorder="1"/>
    <xf numFmtId="2" fontId="10" fillId="0" borderId="120" xfId="0" applyNumberFormat="1" applyFont="1" applyBorder="1"/>
    <xf numFmtId="175" fontId="10" fillId="0" borderId="120" xfId="0" applyNumberFormat="1" applyFont="1" applyBorder="1"/>
    <xf numFmtId="174" fontId="10" fillId="0" borderId="124" xfId="0" applyNumberFormat="1" applyFont="1" applyBorder="1" applyAlignment="1">
      <alignment vertical="center"/>
    </xf>
    <xf numFmtId="0" fontId="10" fillId="0" borderId="0" xfId="0" applyFont="1" applyAlignment="1">
      <alignment vertical="center"/>
    </xf>
    <xf numFmtId="0" fontId="67" fillId="23" borderId="127" xfId="0" applyFont="1" applyFill="1" applyBorder="1"/>
    <xf numFmtId="174" fontId="67" fillId="23" borderId="1" xfId="0" applyNumberFormat="1" applyFont="1" applyFill="1" applyBorder="1" applyAlignment="1">
      <alignment vertical="center"/>
    </xf>
    <xf numFmtId="0" fontId="67" fillId="23" borderId="15" xfId="0" applyFont="1" applyFill="1" applyBorder="1"/>
    <xf numFmtId="174" fontId="10" fillId="0" borderId="0" xfId="0" applyNumberFormat="1" applyFont="1" applyAlignment="1">
      <alignment vertical="center"/>
    </xf>
    <xf numFmtId="174" fontId="10" fillId="0" borderId="123" xfId="0" applyNumberFormat="1" applyFont="1" applyBorder="1" applyAlignment="1">
      <alignment vertical="center"/>
    </xf>
    <xf numFmtId="0" fontId="52" fillId="0" borderId="0" xfId="0" applyFont="1"/>
    <xf numFmtId="0" fontId="67" fillId="22" borderId="1" xfId="0" applyFont="1" applyFill="1" applyBorder="1" applyAlignment="1">
      <alignment vertical="center"/>
    </xf>
    <xf numFmtId="10" fontId="10" fillId="0" borderId="0" xfId="0" applyNumberFormat="1" applyFont="1" applyAlignment="1">
      <alignment vertical="center"/>
    </xf>
    <xf numFmtId="175" fontId="10" fillId="0" borderId="0" xfId="0" applyNumberFormat="1" applyFont="1" applyAlignment="1">
      <alignment vertical="center"/>
    </xf>
    <xf numFmtId="10" fontId="10" fillId="0" borderId="123" xfId="0" applyNumberFormat="1" applyFont="1" applyBorder="1" applyAlignment="1">
      <alignment vertical="center"/>
    </xf>
    <xf numFmtId="164" fontId="10" fillId="0" borderId="0" xfId="0" applyNumberFormat="1" applyFont="1" applyAlignment="1">
      <alignment vertical="center"/>
    </xf>
    <xf numFmtId="0" fontId="67" fillId="0" borderId="0" xfId="0" applyFont="1"/>
    <xf numFmtId="0" fontId="67" fillId="0" borderId="0" xfId="0" applyFont="1" applyAlignment="1">
      <alignment vertical="center"/>
    </xf>
    <xf numFmtId="3" fontId="10" fillId="0" borderId="0" xfId="0" applyNumberFormat="1" applyFont="1" applyAlignment="1">
      <alignment vertical="center"/>
    </xf>
    <xf numFmtId="168" fontId="10" fillId="0" borderId="0" xfId="0" applyNumberFormat="1" applyFont="1"/>
    <xf numFmtId="0" fontId="67" fillId="18" borderId="1" xfId="0" applyFont="1" applyFill="1" applyBorder="1" applyAlignment="1">
      <alignment vertical="center"/>
    </xf>
    <xf numFmtId="0" fontId="52" fillId="19" borderId="131" xfId="0" applyFont="1" applyFill="1" applyBorder="1" applyAlignment="1">
      <alignment horizontal="center" vertical="center"/>
    </xf>
    <xf numFmtId="0" fontId="10" fillId="5" borderId="131" xfId="0" applyFont="1" applyFill="1" applyBorder="1" applyAlignment="1">
      <alignment horizontal="left" vertical="center"/>
    </xf>
    <xf numFmtId="174" fontId="10" fillId="9" borderId="131" xfId="0" applyNumberFormat="1" applyFont="1" applyFill="1" applyBorder="1" applyAlignment="1">
      <alignment horizontal="right" vertical="center"/>
    </xf>
    <xf numFmtId="168" fontId="10" fillId="9" borderId="131" xfId="0" applyNumberFormat="1" applyFont="1" applyFill="1" applyBorder="1" applyAlignment="1">
      <alignment horizontal="right" vertical="center"/>
    </xf>
    <xf numFmtId="164" fontId="10" fillId="9" borderId="131" xfId="0" applyNumberFormat="1" applyFont="1" applyFill="1" applyBorder="1" applyAlignment="1">
      <alignment horizontal="right" vertical="center"/>
    </xf>
    <xf numFmtId="164" fontId="10" fillId="0" borderId="0" xfId="0" applyNumberFormat="1" applyFont="1"/>
    <xf numFmtId="10" fontId="10" fillId="9" borderId="131" xfId="0" applyNumberFormat="1" applyFont="1" applyFill="1" applyBorder="1" applyAlignment="1">
      <alignment horizontal="right" vertical="center"/>
    </xf>
    <xf numFmtId="175" fontId="10" fillId="0" borderId="0" xfId="0" applyNumberFormat="1" applyFont="1"/>
    <xf numFmtId="0" fontId="10" fillId="9" borderId="131" xfId="0" applyFont="1" applyFill="1" applyBorder="1" applyAlignment="1">
      <alignment horizontal="right" vertical="center"/>
    </xf>
    <xf numFmtId="0" fontId="52" fillId="19" borderId="132" xfId="0" applyFont="1" applyFill="1" applyBorder="1" applyAlignment="1">
      <alignment horizontal="center" vertical="center"/>
    </xf>
    <xf numFmtId="0" fontId="10" fillId="5" borderId="132" xfId="0" applyFont="1" applyFill="1" applyBorder="1" applyAlignment="1">
      <alignment horizontal="left" vertical="center"/>
    </xf>
    <xf numFmtId="3" fontId="10" fillId="9" borderId="132" xfId="0" applyNumberFormat="1" applyFont="1" applyFill="1" applyBorder="1" applyAlignment="1">
      <alignment horizontal="right" vertical="center"/>
    </xf>
    <xf numFmtId="176" fontId="10" fillId="9" borderId="131" xfId="0" applyNumberFormat="1" applyFont="1" applyFill="1" applyBorder="1" applyAlignment="1">
      <alignment horizontal="right" vertical="center"/>
    </xf>
    <xf numFmtId="0" fontId="52" fillId="18" borderId="1" xfId="0" applyFont="1" applyFill="1" applyBorder="1" applyAlignment="1">
      <alignment vertical="center"/>
    </xf>
    <xf numFmtId="1" fontId="10" fillId="9" borderId="131" xfId="0" applyNumberFormat="1" applyFont="1" applyFill="1" applyBorder="1" applyAlignment="1">
      <alignment horizontal="right" vertical="center"/>
    </xf>
    <xf numFmtId="0" fontId="67" fillId="22" borderId="15" xfId="0" applyFont="1" applyFill="1" applyBorder="1" applyAlignment="1">
      <alignment vertical="center"/>
    </xf>
    <xf numFmtId="0" fontId="67" fillId="22" borderId="1" xfId="0" applyFont="1" applyFill="1" applyBorder="1"/>
    <xf numFmtId="175" fontId="10" fillId="0" borderId="120" xfId="0" applyNumberFormat="1" applyFont="1" applyBorder="1" applyAlignment="1">
      <alignment vertical="center"/>
    </xf>
    <xf numFmtId="3" fontId="10" fillId="0" borderId="0" xfId="0" applyNumberFormat="1" applyFont="1"/>
    <xf numFmtId="175" fontId="10" fillId="0" borderId="124" xfId="0" applyNumberFormat="1" applyFont="1" applyBorder="1" applyAlignment="1">
      <alignment vertical="center"/>
    </xf>
    <xf numFmtId="164" fontId="10" fillId="0" borderId="123" xfId="0" applyNumberFormat="1" applyFont="1" applyBorder="1"/>
    <xf numFmtId="0" fontId="67" fillId="22" borderId="1" xfId="0" applyFont="1" applyFill="1" applyBorder="1" applyAlignment="1">
      <alignment horizontal="right"/>
    </xf>
    <xf numFmtId="0" fontId="67" fillId="22" borderId="15" xfId="0" applyFont="1" applyFill="1" applyBorder="1" applyAlignment="1">
      <alignment horizontal="right"/>
    </xf>
    <xf numFmtId="0" fontId="67" fillId="5" borderId="1" xfId="0" applyFont="1" applyFill="1" applyBorder="1"/>
    <xf numFmtId="9" fontId="67" fillId="0" borderId="119" xfId="0" applyNumberFormat="1" applyFont="1" applyBorder="1"/>
    <xf numFmtId="174" fontId="10" fillId="5" borderId="1" xfId="0" applyNumberFormat="1" applyFont="1" applyFill="1" applyBorder="1" applyAlignment="1">
      <alignment horizontal="right" vertical="center"/>
    </xf>
    <xf numFmtId="9" fontId="67" fillId="0" borderId="122" xfId="0" applyNumberFormat="1" applyFont="1" applyBorder="1"/>
    <xf numFmtId="0" fontId="76" fillId="16" borderId="1" xfId="0" applyFont="1" applyFill="1" applyBorder="1"/>
    <xf numFmtId="0" fontId="73" fillId="0" borderId="0" xfId="0" applyFont="1" applyAlignment="1">
      <alignment horizontal="left" vertical="center" wrapText="1"/>
    </xf>
    <xf numFmtId="0" fontId="73" fillId="0" borderId="0" xfId="0" applyFont="1" applyAlignment="1">
      <alignment horizontal="center" vertical="center" wrapText="1"/>
    </xf>
    <xf numFmtId="0" fontId="10" fillId="0" borderId="0" xfId="0" applyFont="1" applyAlignment="1">
      <alignment horizontal="right" vertical="center" wrapText="1"/>
    </xf>
    <xf numFmtId="0" fontId="10" fillId="0" borderId="0" xfId="0" applyFont="1" applyAlignment="1">
      <alignment horizontal="right"/>
    </xf>
    <xf numFmtId="0" fontId="67" fillId="0" borderId="0" xfId="0" applyFont="1" applyAlignment="1">
      <alignment horizontal="right" vertical="center" wrapText="1"/>
    </xf>
    <xf numFmtId="177" fontId="10" fillId="0" borderId="0" xfId="0" applyNumberFormat="1" applyFont="1" applyAlignment="1">
      <alignment horizontal="right" vertical="center" wrapText="1"/>
    </xf>
    <xf numFmtId="174" fontId="10" fillId="0" borderId="0" xfId="0" applyNumberFormat="1" applyFont="1" applyAlignment="1">
      <alignment horizontal="right" vertical="center" wrapText="1"/>
    </xf>
    <xf numFmtId="0" fontId="67" fillId="26" borderId="0" xfId="0" applyFont="1" applyFill="1" applyAlignment="1">
      <alignment horizontal="left" vertical="center" wrapText="1"/>
    </xf>
    <xf numFmtId="174" fontId="67" fillId="26" borderId="0" xfId="0" applyNumberFormat="1" applyFont="1" applyFill="1" applyAlignment="1">
      <alignment horizontal="right" vertical="center" wrapText="1"/>
    </xf>
    <xf numFmtId="0" fontId="67" fillId="0" borderId="0" xfId="0" applyFont="1" applyAlignment="1">
      <alignment horizontal="left" vertical="center" wrapText="1"/>
    </xf>
    <xf numFmtId="174" fontId="10" fillId="0" borderId="116" xfId="0" applyNumberFormat="1" applyFont="1" applyBorder="1" applyAlignment="1">
      <alignment horizontal="right" vertical="center" wrapText="1"/>
    </xf>
    <xf numFmtId="174" fontId="10" fillId="0" borderId="116" xfId="0" applyNumberFormat="1" applyFont="1" applyBorder="1" applyAlignment="1">
      <alignment horizontal="right" vertical="center"/>
    </xf>
    <xf numFmtId="0" fontId="79" fillId="0" borderId="0" xfId="0" applyFont="1" applyAlignment="1">
      <alignment horizontal="left" vertical="center" wrapText="1"/>
    </xf>
    <xf numFmtId="0" fontId="78" fillId="17" borderId="0" xfId="0" applyFont="1" applyFill="1" applyAlignment="1">
      <alignment horizontal="left" vertical="center" wrapText="1"/>
    </xf>
    <xf numFmtId="174" fontId="78" fillId="17" borderId="0" xfId="0" applyNumberFormat="1" applyFont="1" applyFill="1" applyAlignment="1">
      <alignment horizontal="right" vertical="center"/>
    </xf>
    <xf numFmtId="0" fontId="78" fillId="17" borderId="0" xfId="0" applyFont="1" applyFill="1"/>
    <xf numFmtId="0" fontId="10" fillId="0" borderId="0" xfId="0" applyFont="1" applyAlignment="1">
      <alignment vertical="center" wrapText="1"/>
    </xf>
    <xf numFmtId="178" fontId="80" fillId="17" borderId="0" xfId="0" applyNumberFormat="1" applyFont="1" applyFill="1" applyAlignment="1">
      <alignment horizontal="right" vertical="center" wrapText="1"/>
    </xf>
    <xf numFmtId="0" fontId="67" fillId="26" borderId="0" xfId="0" applyFont="1" applyFill="1"/>
    <xf numFmtId="0" fontId="81" fillId="0" borderId="0" xfId="0" applyFont="1" applyAlignment="1">
      <alignment horizontal="left" vertical="center" wrapText="1"/>
    </xf>
    <xf numFmtId="174" fontId="81" fillId="0" borderId="0" xfId="0" applyNumberFormat="1" applyFont="1" applyAlignment="1">
      <alignment horizontal="right" vertical="center" wrapText="1"/>
    </xf>
    <xf numFmtId="174" fontId="81" fillId="5" borderId="0" xfId="0" applyNumberFormat="1" applyFont="1" applyFill="1" applyAlignment="1">
      <alignment horizontal="right" vertical="center" wrapText="1"/>
    </xf>
    <xf numFmtId="179" fontId="10" fillId="0" borderId="0" xfId="0" applyNumberFormat="1" applyFont="1" applyAlignment="1">
      <alignment horizontal="right" vertical="center" wrapText="1"/>
    </xf>
    <xf numFmtId="4" fontId="10" fillId="0" borderId="0" xfId="0" applyNumberFormat="1" applyFont="1" applyAlignment="1">
      <alignment horizontal="right" vertical="center" wrapText="1"/>
    </xf>
    <xf numFmtId="180" fontId="10" fillId="0" borderId="0" xfId="0" applyNumberFormat="1" applyFont="1" applyAlignment="1">
      <alignment horizontal="left" vertical="center" wrapText="1"/>
    </xf>
    <xf numFmtId="0" fontId="73" fillId="0" borderId="0" xfId="0" applyFont="1" applyAlignment="1">
      <alignment horizontal="center" vertical="center"/>
    </xf>
    <xf numFmtId="0" fontId="67" fillId="0" borderId="0" xfId="0" applyFont="1" applyAlignment="1">
      <alignment horizontal="center" vertical="center"/>
    </xf>
    <xf numFmtId="181" fontId="10" fillId="0" borderId="0" xfId="0" applyNumberFormat="1" applyFont="1" applyAlignment="1">
      <alignment horizontal="left" vertical="center"/>
    </xf>
    <xf numFmtId="181" fontId="10" fillId="0" borderId="0" xfId="0" applyNumberFormat="1" applyFont="1" applyAlignment="1">
      <alignment horizontal="right" vertical="center"/>
    </xf>
    <xf numFmtId="0" fontId="10" fillId="0" borderId="0" xfId="0" applyFont="1" applyAlignment="1">
      <alignment horizontal="right" vertical="center"/>
    </xf>
    <xf numFmtId="0" fontId="82" fillId="0" borderId="0" xfId="0" applyFont="1" applyAlignment="1">
      <alignment horizontal="left" vertical="center"/>
    </xf>
    <xf numFmtId="182" fontId="10" fillId="0" borderId="0" xfId="0" applyNumberFormat="1" applyFont="1" applyAlignment="1">
      <alignment horizontal="right" vertical="center"/>
    </xf>
    <xf numFmtId="0" fontId="10" fillId="0" borderId="0" xfId="0" applyFont="1" applyAlignment="1">
      <alignment horizontal="left"/>
    </xf>
    <xf numFmtId="0" fontId="10" fillId="17" borderId="0" xfId="0" applyFont="1" applyFill="1"/>
    <xf numFmtId="0" fontId="67" fillId="17" borderId="0" xfId="0" applyFont="1" applyFill="1" applyAlignment="1">
      <alignment horizontal="left" vertical="center"/>
    </xf>
    <xf numFmtId="0" fontId="10" fillId="17" borderId="0" xfId="0" applyFont="1" applyFill="1" applyAlignment="1">
      <alignment horizontal="left"/>
    </xf>
    <xf numFmtId="174" fontId="10" fillId="17" borderId="0" xfId="0" applyNumberFormat="1" applyFont="1" applyFill="1" applyAlignment="1">
      <alignment vertical="center"/>
    </xf>
    <xf numFmtId="174" fontId="67" fillId="17" borderId="0" xfId="0" applyNumberFormat="1" applyFont="1" applyFill="1" applyAlignment="1">
      <alignment vertical="center"/>
    </xf>
    <xf numFmtId="0" fontId="83" fillId="17" borderId="0" xfId="0" applyFont="1" applyFill="1"/>
    <xf numFmtId="0" fontId="10" fillId="26" borderId="0" xfId="0" applyFont="1" applyFill="1"/>
    <xf numFmtId="0" fontId="67" fillId="26" borderId="0" xfId="0" applyFont="1" applyFill="1" applyAlignment="1">
      <alignment horizontal="left" vertical="center"/>
    </xf>
    <xf numFmtId="0" fontId="10" fillId="26" borderId="0" xfId="0" applyFont="1" applyFill="1" applyAlignment="1">
      <alignment horizontal="left"/>
    </xf>
    <xf numFmtId="174" fontId="10" fillId="26" borderId="0" xfId="0" applyNumberFormat="1" applyFont="1" applyFill="1" applyAlignment="1">
      <alignment vertical="center"/>
    </xf>
    <xf numFmtId="174" fontId="67" fillId="26" borderId="0" xfId="0" applyNumberFormat="1" applyFont="1" applyFill="1" applyAlignment="1">
      <alignment vertical="center"/>
    </xf>
    <xf numFmtId="0" fontId="83" fillId="26" borderId="0" xfId="0" applyFont="1" applyFill="1"/>
    <xf numFmtId="0" fontId="84" fillId="0" borderId="0" xfId="0" applyFont="1"/>
    <xf numFmtId="174" fontId="84" fillId="0" borderId="0" xfId="0" applyNumberFormat="1" applyFont="1" applyAlignment="1">
      <alignment vertical="center"/>
    </xf>
    <xf numFmtId="10" fontId="84" fillId="0" borderId="0" xfId="0" applyNumberFormat="1" applyFont="1" applyAlignment="1">
      <alignment vertical="center"/>
    </xf>
    <xf numFmtId="0" fontId="85" fillId="0" borderId="0" xfId="0" applyFont="1"/>
    <xf numFmtId="0" fontId="67" fillId="26" borderId="0" xfId="0" applyFont="1" applyFill="1" applyAlignment="1">
      <alignment horizontal="left"/>
    </xf>
    <xf numFmtId="0" fontId="86" fillId="26" borderId="0" xfId="0" applyFont="1" applyFill="1"/>
    <xf numFmtId="0" fontId="87" fillId="0" borderId="0" xfId="0" applyFont="1"/>
    <xf numFmtId="174" fontId="87" fillId="0" borderId="0" xfId="0" applyNumberFormat="1" applyFont="1" applyAlignment="1">
      <alignment vertical="center"/>
    </xf>
    <xf numFmtId="9" fontId="87" fillId="0" borderId="0" xfId="0" applyNumberFormat="1" applyFont="1" applyAlignment="1">
      <alignment vertical="center"/>
    </xf>
    <xf numFmtId="0" fontId="88" fillId="0" borderId="0" xfId="0" applyFont="1"/>
    <xf numFmtId="0" fontId="89" fillId="26" borderId="0" xfId="0" applyFont="1" applyFill="1"/>
    <xf numFmtId="174" fontId="10" fillId="27" borderId="0" xfId="0" applyNumberFormat="1" applyFont="1" applyFill="1" applyAlignment="1">
      <alignment vertical="center"/>
    </xf>
    <xf numFmtId="174" fontId="67" fillId="0" borderId="0" xfId="0" applyNumberFormat="1" applyFont="1" applyAlignment="1">
      <alignment vertical="center"/>
    </xf>
    <xf numFmtId="0" fontId="67" fillId="17" borderId="0" xfId="0" applyFont="1" applyFill="1"/>
    <xf numFmtId="183" fontId="86" fillId="17" borderId="0" xfId="0" applyNumberFormat="1" applyFont="1" applyFill="1"/>
    <xf numFmtId="0" fontId="89" fillId="17" borderId="0" xfId="0" applyFont="1" applyFill="1"/>
    <xf numFmtId="0" fontId="79" fillId="26" borderId="0" xfId="0" applyFont="1" applyFill="1" applyAlignment="1">
      <alignment horizontal="left" vertical="center"/>
    </xf>
    <xf numFmtId="183" fontId="79" fillId="26" borderId="0" xfId="0" applyNumberFormat="1" applyFont="1" applyFill="1"/>
    <xf numFmtId="0" fontId="82" fillId="26" borderId="0" xfId="0" applyFont="1" applyFill="1" applyAlignment="1">
      <alignment horizontal="left" vertical="center"/>
    </xf>
    <xf numFmtId="0" fontId="10" fillId="26" borderId="0" xfId="0" applyFont="1" applyFill="1" applyAlignment="1">
      <alignment horizontal="left" vertical="center"/>
    </xf>
    <xf numFmtId="3" fontId="86" fillId="26" borderId="0" xfId="0" applyNumberFormat="1" applyFont="1" applyFill="1"/>
    <xf numFmtId="183" fontId="79" fillId="0" borderId="0" xfId="0" applyNumberFormat="1" applyFont="1"/>
    <xf numFmtId="0" fontId="90" fillId="0" borderId="0" xfId="0" applyFont="1" applyAlignment="1">
      <alignment horizontal="left" vertical="center"/>
    </xf>
    <xf numFmtId="180" fontId="79" fillId="26" borderId="0" xfId="0" applyNumberFormat="1" applyFont="1" applyFill="1"/>
    <xf numFmtId="0" fontId="91" fillId="0" borderId="0" xfId="0" applyFont="1"/>
    <xf numFmtId="4" fontId="10" fillId="0" borderId="0" xfId="0" applyNumberFormat="1" applyFont="1" applyAlignment="1">
      <alignment vertical="center"/>
    </xf>
    <xf numFmtId="0" fontId="10" fillId="0" borderId="0" xfId="0" applyFont="1" applyAlignment="1">
      <alignment wrapText="1"/>
    </xf>
    <xf numFmtId="184" fontId="10" fillId="0" borderId="0" xfId="0" applyNumberFormat="1" applyFont="1" applyAlignment="1">
      <alignment vertical="center"/>
    </xf>
    <xf numFmtId="4" fontId="10" fillId="0" borderId="0" xfId="0" applyNumberFormat="1" applyFont="1"/>
    <xf numFmtId="0" fontId="92" fillId="0" borderId="0" xfId="0" applyFont="1"/>
    <xf numFmtId="0" fontId="81" fillId="0" borderId="0" xfId="0" applyFont="1"/>
    <xf numFmtId="0" fontId="81" fillId="0" borderId="132" xfId="0" applyFont="1" applyBorder="1"/>
    <xf numFmtId="0" fontId="93" fillId="9" borderId="132" xfId="0" applyFont="1" applyFill="1" applyBorder="1" applyAlignment="1">
      <alignment horizontal="left" vertical="center"/>
    </xf>
    <xf numFmtId="168" fontId="93" fillId="9" borderId="132" xfId="0" applyNumberFormat="1" applyFont="1" applyFill="1" applyBorder="1" applyAlignment="1">
      <alignment horizontal="center" vertical="center"/>
    </xf>
    <xf numFmtId="185" fontId="93" fillId="9" borderId="132" xfId="0" applyNumberFormat="1" applyFont="1" applyFill="1" applyBorder="1" applyAlignment="1">
      <alignment horizontal="center" vertical="center"/>
    </xf>
    <xf numFmtId="0" fontId="94" fillId="0" borderId="0" xfId="0" applyFont="1"/>
    <xf numFmtId="0" fontId="95" fillId="23" borderId="133" xfId="0" applyFont="1" applyFill="1" applyBorder="1" applyAlignment="1">
      <alignment horizontal="left"/>
    </xf>
    <xf numFmtId="0" fontId="95" fillId="23" borderId="134" xfId="0" applyFont="1" applyFill="1" applyBorder="1" applyAlignment="1">
      <alignment horizontal="left"/>
    </xf>
    <xf numFmtId="0" fontId="95" fillId="23" borderId="135" xfId="0" applyFont="1" applyFill="1" applyBorder="1" applyAlignment="1">
      <alignment horizontal="left"/>
    </xf>
    <xf numFmtId="0" fontId="96" fillId="0" borderId="132" xfId="0" applyFont="1" applyBorder="1" applyAlignment="1">
      <alignment horizontal="left" wrapText="1"/>
    </xf>
    <xf numFmtId="174" fontId="96" fillId="0" borderId="132" xfId="0" applyNumberFormat="1" applyFont="1" applyBorder="1" applyAlignment="1">
      <alignment horizontal="center"/>
    </xf>
    <xf numFmtId="186" fontId="96" fillId="0" borderId="132" xfId="0" applyNumberFormat="1" applyFont="1" applyBorder="1" applyAlignment="1">
      <alignment horizontal="center"/>
    </xf>
    <xf numFmtId="0" fontId="97" fillId="0" borderId="132" xfId="0" applyFont="1" applyBorder="1"/>
    <xf numFmtId="0" fontId="98" fillId="0" borderId="132" xfId="0" applyFont="1" applyBorder="1" applyAlignment="1">
      <alignment horizontal="left" wrapText="1"/>
    </xf>
    <xf numFmtId="186" fontId="97" fillId="0" borderId="132" xfId="0" applyNumberFormat="1" applyFont="1" applyBorder="1" applyAlignment="1">
      <alignment horizontal="center"/>
    </xf>
    <xf numFmtId="0" fontId="94" fillId="0" borderId="132" xfId="0" applyFont="1" applyBorder="1"/>
    <xf numFmtId="0" fontId="99" fillId="0" borderId="132" xfId="0" applyFont="1" applyBorder="1"/>
    <xf numFmtId="183" fontId="94" fillId="0" borderId="132" xfId="0" applyNumberFormat="1" applyFont="1" applyBorder="1"/>
    <xf numFmtId="174" fontId="94" fillId="0" borderId="132" xfId="0" applyNumberFormat="1" applyFont="1" applyBorder="1"/>
    <xf numFmtId="0" fontId="52" fillId="16" borderId="1" xfId="0" applyFont="1" applyFill="1" applyBorder="1"/>
    <xf numFmtId="0" fontId="77" fillId="0" borderId="0" xfId="0" applyFont="1" applyAlignment="1">
      <alignment horizontal="right" vertical="center"/>
    </xf>
    <xf numFmtId="15" fontId="10" fillId="0" borderId="0" xfId="0" applyNumberFormat="1" applyFont="1" applyAlignment="1">
      <alignment horizontal="right" vertical="center"/>
    </xf>
    <xf numFmtId="0" fontId="100" fillId="0" borderId="0" xfId="0" applyFont="1" applyAlignment="1">
      <alignment horizontal="left" vertical="center"/>
    </xf>
    <xf numFmtId="0" fontId="100" fillId="26" borderId="0" xfId="0" applyFont="1" applyFill="1" applyAlignment="1">
      <alignment horizontal="left" vertical="center"/>
    </xf>
    <xf numFmtId="174" fontId="10" fillId="26" borderId="116" xfId="0" applyNumberFormat="1" applyFont="1" applyFill="1" applyBorder="1" applyAlignment="1">
      <alignment horizontal="right" vertical="center"/>
    </xf>
    <xf numFmtId="0" fontId="101" fillId="26" borderId="0" xfId="0" applyFont="1" applyFill="1" applyAlignment="1">
      <alignment horizontal="left" vertical="center"/>
    </xf>
    <xf numFmtId="174" fontId="67" fillId="26" borderId="136" xfId="0" applyNumberFormat="1" applyFont="1" applyFill="1" applyBorder="1" applyAlignment="1">
      <alignment horizontal="right" vertical="center"/>
    </xf>
    <xf numFmtId="174" fontId="10" fillId="26" borderId="0" xfId="0" applyNumberFormat="1" applyFont="1" applyFill="1" applyAlignment="1">
      <alignment horizontal="right" vertical="center"/>
    </xf>
    <xf numFmtId="174" fontId="10" fillId="0" borderId="137" xfId="0" applyNumberFormat="1" applyFont="1" applyBorder="1" applyAlignment="1">
      <alignment horizontal="right" vertical="center"/>
    </xf>
    <xf numFmtId="174" fontId="10" fillId="26" borderId="137" xfId="0" applyNumberFormat="1" applyFont="1" applyFill="1" applyBorder="1" applyAlignment="1">
      <alignment horizontal="right" vertical="center"/>
    </xf>
    <xf numFmtId="0" fontId="102" fillId="0" borderId="0" xfId="0" applyFont="1"/>
    <xf numFmtId="0" fontId="102" fillId="0" borderId="0" xfId="0" applyFont="1" applyAlignment="1">
      <alignment horizontal="left" vertical="center"/>
    </xf>
    <xf numFmtId="174" fontId="102" fillId="0" borderId="0" xfId="0" applyNumberFormat="1" applyFont="1" applyAlignment="1">
      <alignment horizontal="right" vertical="center"/>
    </xf>
    <xf numFmtId="0" fontId="103" fillId="0" borderId="0" xfId="0" applyFont="1"/>
    <xf numFmtId="174" fontId="102" fillId="0" borderId="0" xfId="0" applyNumberFormat="1" applyFont="1" applyAlignment="1">
      <alignment vertical="center"/>
    </xf>
    <xf numFmtId="0" fontId="104" fillId="0" borderId="0" xfId="0" applyFont="1"/>
    <xf numFmtId="0" fontId="8" fillId="0" borderId="0" xfId="0" applyFont="1"/>
    <xf numFmtId="0" fontId="105" fillId="5" borderId="1" xfId="0" applyFont="1" applyFill="1" applyBorder="1"/>
    <xf numFmtId="0" fontId="10" fillId="12" borderId="131" xfId="0" applyFont="1" applyFill="1" applyBorder="1" applyAlignment="1">
      <alignment horizontal="left" vertical="center"/>
    </xf>
    <xf numFmtId="0" fontId="10" fillId="9" borderId="131" xfId="0" applyFont="1" applyFill="1" applyBorder="1" applyAlignment="1">
      <alignment horizontal="left" vertical="center"/>
    </xf>
    <xf numFmtId="177" fontId="10" fillId="9" borderId="131" xfId="0" applyNumberFormat="1" applyFont="1" applyFill="1" applyBorder="1" applyAlignment="1">
      <alignment horizontal="left" vertical="center"/>
    </xf>
    <xf numFmtId="10" fontId="10" fillId="9" borderId="131" xfId="0" applyNumberFormat="1" applyFont="1" applyFill="1" applyBorder="1" applyAlignment="1">
      <alignment horizontal="left" vertical="center"/>
    </xf>
    <xf numFmtId="175" fontId="10" fillId="9" borderId="131" xfId="0" applyNumberFormat="1" applyFont="1" applyFill="1" applyBorder="1" applyAlignment="1">
      <alignment horizontal="left" vertical="center"/>
    </xf>
    <xf numFmtId="0" fontId="52" fillId="29" borderId="131" xfId="0" applyFont="1" applyFill="1" applyBorder="1" applyAlignment="1">
      <alignment horizontal="center" vertical="center"/>
    </xf>
    <xf numFmtId="0" fontId="76" fillId="29" borderId="131" xfId="0" applyFont="1" applyFill="1" applyBorder="1" applyAlignment="1">
      <alignment horizontal="center" vertical="center"/>
    </xf>
    <xf numFmtId="0" fontId="10" fillId="12" borderId="131" xfId="0" applyFont="1" applyFill="1" applyBorder="1" applyAlignment="1">
      <alignment horizontal="center" vertical="center"/>
    </xf>
    <xf numFmtId="174" fontId="10" fillId="9" borderId="131" xfId="0" applyNumberFormat="1" applyFont="1" applyFill="1" applyBorder="1" applyAlignment="1">
      <alignment horizontal="left" vertical="center"/>
    </xf>
    <xf numFmtId="0" fontId="10" fillId="5" borderId="1" xfId="0" applyFont="1" applyFill="1" applyBorder="1" applyAlignment="1">
      <alignment vertical="center"/>
    </xf>
    <xf numFmtId="2" fontId="10" fillId="0" borderId="0" xfId="0" applyNumberFormat="1" applyFont="1" applyAlignment="1">
      <alignment vertical="center"/>
    </xf>
    <xf numFmtId="10" fontId="10" fillId="0" borderId="0" xfId="0" applyNumberFormat="1" applyFont="1"/>
    <xf numFmtId="181" fontId="67" fillId="22" borderId="1" xfId="0" applyNumberFormat="1" applyFont="1" applyFill="1" applyBorder="1"/>
    <xf numFmtId="177" fontId="10" fillId="0" borderId="0" xfId="0" applyNumberFormat="1" applyFont="1"/>
    <xf numFmtId="2" fontId="10" fillId="0" borderId="0" xfId="0" applyNumberFormat="1" applyFont="1"/>
    <xf numFmtId="168" fontId="10" fillId="0" borderId="0" xfId="0" applyNumberFormat="1" applyFont="1" applyAlignment="1">
      <alignment vertical="center"/>
    </xf>
    <xf numFmtId="168" fontId="67" fillId="20" borderId="1" xfId="0" applyNumberFormat="1" applyFont="1" applyFill="1" applyBorder="1" applyAlignment="1">
      <alignment vertical="center"/>
    </xf>
    <xf numFmtId="49" fontId="10" fillId="0" borderId="0" xfId="0" applyNumberFormat="1" applyFont="1" applyAlignment="1">
      <alignment vertical="center"/>
    </xf>
    <xf numFmtId="181" fontId="67" fillId="22" borderId="1" xfId="0" applyNumberFormat="1" applyFont="1" applyFill="1" applyBorder="1" applyAlignment="1">
      <alignment vertical="center"/>
    </xf>
    <xf numFmtId="187" fontId="10" fillId="0" borderId="0" xfId="0" applyNumberFormat="1" applyFont="1" applyAlignment="1">
      <alignment vertical="center"/>
    </xf>
    <xf numFmtId="0" fontId="67" fillId="20" borderId="1" xfId="0" applyFont="1" applyFill="1" applyBorder="1" applyAlignment="1">
      <alignment vertical="center"/>
    </xf>
    <xf numFmtId="0" fontId="67" fillId="30" borderId="1" xfId="0" applyFont="1" applyFill="1" applyBorder="1"/>
    <xf numFmtId="168" fontId="67" fillId="30" borderId="1" xfId="0" applyNumberFormat="1" applyFont="1" applyFill="1" applyBorder="1" applyAlignment="1">
      <alignment vertical="center"/>
    </xf>
    <xf numFmtId="0" fontId="67" fillId="30" borderId="1" xfId="0" applyFont="1" applyFill="1" applyBorder="1" applyAlignment="1">
      <alignment vertical="center"/>
    </xf>
    <xf numFmtId="0" fontId="67" fillId="22" borderId="1" xfId="0" applyFont="1" applyFill="1" applyBorder="1" applyAlignment="1">
      <alignment horizontal="left"/>
    </xf>
    <xf numFmtId="181" fontId="67" fillId="22" borderId="1" xfId="0" applyNumberFormat="1" applyFont="1" applyFill="1" applyBorder="1" applyAlignment="1">
      <alignment horizontal="right" vertical="center"/>
    </xf>
    <xf numFmtId="177" fontId="10" fillId="0" borderId="0" xfId="0" applyNumberFormat="1" applyFont="1" applyAlignment="1">
      <alignment horizontal="right" vertical="center"/>
    </xf>
    <xf numFmtId="0" fontId="67" fillId="0" borderId="0" xfId="0" applyFont="1" applyAlignment="1">
      <alignment horizontal="left"/>
    </xf>
    <xf numFmtId="168" fontId="67" fillId="0" borderId="0" xfId="0" applyNumberFormat="1" applyFont="1" applyAlignment="1">
      <alignment horizontal="right" vertical="center"/>
    </xf>
    <xf numFmtId="10" fontId="10" fillId="0" borderId="0" xfId="0" applyNumberFormat="1" applyFont="1" applyAlignment="1">
      <alignment horizontal="right" vertical="center"/>
    </xf>
    <xf numFmtId="168" fontId="10" fillId="0" borderId="0" xfId="0" applyNumberFormat="1" applyFont="1" applyAlignment="1">
      <alignment horizontal="right" vertical="center"/>
    </xf>
    <xf numFmtId="0" fontId="67" fillId="20" borderId="1" xfId="0" applyFont="1" applyFill="1" applyBorder="1" applyAlignment="1">
      <alignment horizontal="left"/>
    </xf>
    <xf numFmtId="168" fontId="67" fillId="20" borderId="1" xfId="0" applyNumberFormat="1" applyFont="1" applyFill="1" applyBorder="1" applyAlignment="1">
      <alignment horizontal="right" vertical="center"/>
    </xf>
    <xf numFmtId="0" fontId="10" fillId="10" borderId="1" xfId="0" applyFont="1" applyFill="1" applyBorder="1"/>
    <xf numFmtId="10" fontId="10" fillId="10" borderId="1" xfId="0" applyNumberFormat="1" applyFont="1" applyFill="1" applyBorder="1" applyAlignment="1">
      <alignment vertical="center"/>
    </xf>
    <xf numFmtId="175" fontId="10" fillId="10" borderId="1" xfId="0" applyNumberFormat="1" applyFont="1" applyFill="1" applyBorder="1" applyAlignment="1">
      <alignment vertical="center"/>
    </xf>
    <xf numFmtId="0" fontId="10" fillId="10" borderId="1" xfId="0" applyFont="1" applyFill="1" applyBorder="1" applyAlignment="1">
      <alignment vertical="center"/>
    </xf>
    <xf numFmtId="165" fontId="67" fillId="22" borderId="1" xfId="0" applyNumberFormat="1" applyFont="1" applyFill="1" applyBorder="1"/>
    <xf numFmtId="164" fontId="67" fillId="22" borderId="1" xfId="0" applyNumberFormat="1" applyFont="1" applyFill="1" applyBorder="1" applyAlignment="1">
      <alignment horizontal="left"/>
    </xf>
    <xf numFmtId="168" fontId="10" fillId="30" borderId="1" xfId="0" applyNumberFormat="1" applyFont="1" applyFill="1" applyBorder="1"/>
    <xf numFmtId="9" fontId="67" fillId="22" borderId="1" xfId="0" applyNumberFormat="1" applyFont="1" applyFill="1" applyBorder="1" applyAlignment="1">
      <alignment horizontal="left"/>
    </xf>
    <xf numFmtId="164" fontId="10" fillId="30" borderId="1" xfId="0" applyNumberFormat="1" applyFont="1" applyFill="1" applyBorder="1"/>
    <xf numFmtId="0" fontId="10" fillId="20" borderId="1" xfId="0" applyFont="1" applyFill="1" applyBorder="1"/>
    <xf numFmtId="168" fontId="10" fillId="20" borderId="1" xfId="0" applyNumberFormat="1" applyFont="1" applyFill="1" applyBorder="1"/>
    <xf numFmtId="10" fontId="10" fillId="10" borderId="1" xfId="0" applyNumberFormat="1" applyFont="1" applyFill="1" applyBorder="1"/>
    <xf numFmtId="175" fontId="10" fillId="10" borderId="1" xfId="0" applyNumberFormat="1" applyFont="1" applyFill="1" applyBorder="1"/>
    <xf numFmtId="179" fontId="10" fillId="0" borderId="0" xfId="0" applyNumberFormat="1" applyFont="1"/>
    <xf numFmtId="0" fontId="78" fillId="12" borderId="1" xfId="0" applyFont="1" applyFill="1" applyBorder="1"/>
    <xf numFmtId="168" fontId="78" fillId="12" borderId="1" xfId="0" applyNumberFormat="1" applyFont="1" applyFill="1" applyBorder="1"/>
    <xf numFmtId="0" fontId="106" fillId="0" borderId="0" xfId="0" applyFont="1"/>
    <xf numFmtId="0" fontId="83" fillId="31" borderId="0" xfId="0" applyFont="1" applyFill="1"/>
    <xf numFmtId="165" fontId="83" fillId="31" borderId="0" xfId="0" applyNumberFormat="1" applyFont="1" applyFill="1"/>
    <xf numFmtId="0" fontId="107" fillId="0" borderId="0" xfId="0" applyFont="1"/>
    <xf numFmtId="181" fontId="83" fillId="31" borderId="0" xfId="0" applyNumberFormat="1" applyFont="1" applyFill="1" applyAlignment="1">
      <alignment horizontal="left"/>
    </xf>
    <xf numFmtId="3" fontId="83" fillId="0" borderId="0" xfId="0" applyNumberFormat="1" applyFont="1" applyAlignment="1">
      <alignment horizontal="left"/>
    </xf>
    <xf numFmtId="174" fontId="83" fillId="0" borderId="0" xfId="0" applyNumberFormat="1" applyFont="1" applyAlignment="1">
      <alignment horizontal="left"/>
    </xf>
    <xf numFmtId="0" fontId="107" fillId="0" borderId="0" xfId="0" applyFont="1" applyAlignment="1">
      <alignment horizontal="center"/>
    </xf>
    <xf numFmtId="3" fontId="83" fillId="32" borderId="0" xfId="0" applyNumberFormat="1" applyFont="1" applyFill="1" applyAlignment="1">
      <alignment horizontal="left"/>
    </xf>
    <xf numFmtId="0" fontId="107" fillId="31" borderId="0" xfId="0" applyFont="1" applyFill="1" applyAlignment="1">
      <alignment horizontal="left"/>
    </xf>
    <xf numFmtId="0" fontId="83" fillId="31" borderId="0" xfId="0" applyFont="1" applyFill="1" applyAlignment="1">
      <alignment horizontal="left"/>
    </xf>
    <xf numFmtId="0" fontId="109" fillId="34" borderId="141" xfId="0" applyFont="1" applyFill="1" applyBorder="1" applyAlignment="1">
      <alignment horizontal="center" wrapText="1"/>
    </xf>
    <xf numFmtId="0" fontId="110" fillId="5" borderId="141" xfId="0" applyFont="1" applyFill="1" applyBorder="1" applyAlignment="1">
      <alignment horizontal="left" wrapText="1"/>
    </xf>
    <xf numFmtId="0" fontId="111" fillId="5" borderId="141" xfId="0" applyFont="1" applyFill="1" applyBorder="1" applyAlignment="1">
      <alignment horizontal="center" wrapText="1"/>
    </xf>
    <xf numFmtId="0" fontId="112" fillId="0" borderId="141" xfId="0" applyFont="1" applyBorder="1" applyAlignment="1">
      <alignment horizontal="center" wrapText="1"/>
    </xf>
    <xf numFmtId="0" fontId="110" fillId="12" borderId="141" xfId="0" applyFont="1" applyFill="1" applyBorder="1" applyAlignment="1">
      <alignment horizontal="left" wrapText="1"/>
    </xf>
    <xf numFmtId="0" fontId="111" fillId="12" borderId="141" xfId="0" applyFont="1" applyFill="1" applyBorder="1" applyAlignment="1">
      <alignment horizontal="center" wrapText="1"/>
    </xf>
    <xf numFmtId="0" fontId="109" fillId="34" borderId="141" xfId="0" applyFont="1" applyFill="1" applyBorder="1" applyAlignment="1">
      <alignment horizontal="left" wrapText="1"/>
    </xf>
    <xf numFmtId="0" fontId="113" fillId="34" borderId="141" xfId="0" applyFont="1" applyFill="1" applyBorder="1" applyAlignment="1">
      <alignment horizontal="left" wrapText="1"/>
    </xf>
    <xf numFmtId="1" fontId="114" fillId="34" borderId="141" xfId="0" applyNumberFormat="1" applyFont="1" applyFill="1" applyBorder="1" applyAlignment="1">
      <alignment horizontal="center" wrapText="1"/>
    </xf>
    <xf numFmtId="0" fontId="115" fillId="0" borderId="141" xfId="0" applyFont="1" applyBorder="1" applyAlignment="1">
      <alignment horizontal="center" wrapText="1"/>
    </xf>
    <xf numFmtId="0" fontId="116" fillId="0" borderId="141" xfId="0" applyFont="1" applyBorder="1" applyAlignment="1">
      <alignment horizontal="center" wrapText="1"/>
    </xf>
    <xf numFmtId="0" fontId="109" fillId="34" borderId="141" xfId="0" applyFont="1" applyFill="1" applyBorder="1" applyAlignment="1">
      <alignment horizontal="left"/>
    </xf>
    <xf numFmtId="0" fontId="113" fillId="34" borderId="141" xfId="0" applyFont="1" applyFill="1" applyBorder="1" applyAlignment="1">
      <alignment horizontal="left"/>
    </xf>
    <xf numFmtId="3" fontId="114" fillId="34" borderId="141" xfId="0" applyNumberFormat="1" applyFont="1" applyFill="1" applyBorder="1" applyAlignment="1">
      <alignment horizontal="center" wrapText="1"/>
    </xf>
    <xf numFmtId="0" fontId="50" fillId="0" borderId="0" xfId="0" applyFont="1" applyAlignment="1">
      <alignment vertical="center"/>
    </xf>
    <xf numFmtId="0" fontId="10" fillId="0" borderId="0" xfId="0" applyFont="1" applyAlignment="1">
      <alignment horizontal="center" vertical="center"/>
    </xf>
    <xf numFmtId="0" fontId="117" fillId="0" borderId="0" xfId="0" applyFont="1" applyAlignment="1">
      <alignment horizontal="left" vertical="center" wrapText="1"/>
    </xf>
    <xf numFmtId="0" fontId="105" fillId="0" borderId="0" xfId="0" applyFont="1" applyAlignment="1">
      <alignment vertical="center"/>
    </xf>
    <xf numFmtId="0" fontId="105" fillId="0" borderId="0" xfId="0" applyFont="1" applyAlignment="1">
      <alignment horizontal="center" vertical="center"/>
    </xf>
    <xf numFmtId="0" fontId="10" fillId="0" borderId="23" xfId="0" applyFont="1" applyBorder="1" applyAlignment="1">
      <alignment vertical="center"/>
    </xf>
    <xf numFmtId="0" fontId="10" fillId="0" borderId="52" xfId="0" applyFont="1" applyBorder="1" applyAlignment="1">
      <alignment horizontal="left" vertical="center" wrapText="1"/>
    </xf>
    <xf numFmtId="0" fontId="52" fillId="35" borderId="147" xfId="0" applyFont="1" applyFill="1" applyBorder="1" applyAlignment="1">
      <alignment vertical="center"/>
    </xf>
    <xf numFmtId="0" fontId="52" fillId="35" borderId="147" xfId="0" applyFont="1" applyFill="1" applyBorder="1" applyAlignment="1">
      <alignment horizontal="left" vertical="center"/>
    </xf>
    <xf numFmtId="0" fontId="67" fillId="35" borderId="147" xfId="0" applyFont="1" applyFill="1" applyBorder="1" applyAlignment="1">
      <alignment horizontal="right" vertical="center"/>
    </xf>
    <xf numFmtId="0" fontId="52" fillId="35" borderId="147" xfId="0" applyFont="1" applyFill="1" applyBorder="1" applyAlignment="1">
      <alignment horizontal="center" vertical="center"/>
    </xf>
    <xf numFmtId="0" fontId="52" fillId="35" borderId="148" xfId="0" applyFont="1" applyFill="1" applyBorder="1" applyAlignment="1">
      <alignment horizontal="left" vertical="center" wrapText="1"/>
    </xf>
    <xf numFmtId="0" fontId="10" fillId="0" borderId="154" xfId="0" applyFont="1" applyBorder="1" applyAlignment="1">
      <alignment vertical="center"/>
    </xf>
    <xf numFmtId="0" fontId="10" fillId="0" borderId="155" xfId="0" applyFont="1" applyBorder="1" applyAlignment="1">
      <alignment vertical="center"/>
    </xf>
    <xf numFmtId="0" fontId="10" fillId="0" borderId="155" xfId="0" applyFont="1" applyBorder="1" applyAlignment="1">
      <alignment horizontal="left" vertical="center"/>
    </xf>
    <xf numFmtId="0" fontId="10" fillId="0" borderId="155" xfId="0" applyFont="1" applyBorder="1" applyAlignment="1">
      <alignment horizontal="right" vertical="center"/>
    </xf>
    <xf numFmtId="0" fontId="10" fillId="0" borderId="155" xfId="0" applyFont="1" applyBorder="1" applyAlignment="1">
      <alignment horizontal="center" vertical="center"/>
    </xf>
    <xf numFmtId="0" fontId="10" fillId="0" borderId="156" xfId="0" applyFont="1" applyBorder="1" applyAlignment="1">
      <alignment horizontal="left" vertical="center" wrapText="1"/>
    </xf>
    <xf numFmtId="0" fontId="105" fillId="0" borderId="157" xfId="0" applyFont="1" applyBorder="1" applyAlignment="1">
      <alignment horizontal="left" vertical="center"/>
    </xf>
    <xf numFmtId="0" fontId="105" fillId="36" borderId="158" xfId="0" applyFont="1" applyFill="1" applyBorder="1" applyAlignment="1">
      <alignment horizontal="center" vertical="center"/>
    </xf>
    <xf numFmtId="0" fontId="118" fillId="0" borderId="159" xfId="0" applyFont="1" applyBorder="1" applyAlignment="1">
      <alignment horizontal="left" vertical="center"/>
    </xf>
    <xf numFmtId="0" fontId="117" fillId="0" borderId="159" xfId="0" applyFont="1" applyBorder="1" applyAlignment="1">
      <alignment horizontal="left" vertical="center"/>
    </xf>
    <xf numFmtId="181" fontId="10" fillId="36" borderId="160" xfId="0" applyNumberFormat="1" applyFont="1" applyFill="1" applyBorder="1" applyAlignment="1">
      <alignment horizontal="right" vertical="center"/>
    </xf>
    <xf numFmtId="0" fontId="119" fillId="0" borderId="159" xfId="0" applyFont="1" applyBorder="1" applyAlignment="1">
      <alignment horizontal="center" vertical="center"/>
    </xf>
    <xf numFmtId="0" fontId="117" fillId="0" borderId="52" xfId="0" applyFont="1" applyBorder="1" applyAlignment="1">
      <alignment horizontal="left" vertical="center" wrapText="1"/>
    </xf>
    <xf numFmtId="0" fontId="105" fillId="0" borderId="161" xfId="0" applyFont="1" applyBorder="1" applyAlignment="1">
      <alignment horizontal="left" vertical="center"/>
    </xf>
    <xf numFmtId="0" fontId="105" fillId="12" borderId="162" xfId="0" applyFont="1" applyFill="1" applyBorder="1" applyAlignment="1">
      <alignment horizontal="center" vertical="center"/>
    </xf>
    <xf numFmtId="0" fontId="118" fillId="37" borderId="163" xfId="0" applyFont="1" applyFill="1" applyBorder="1" applyAlignment="1">
      <alignment horizontal="left" vertical="center"/>
    </xf>
    <xf numFmtId="0" fontId="117" fillId="37" borderId="163" xfId="0" applyFont="1" applyFill="1" applyBorder="1" applyAlignment="1">
      <alignment horizontal="left" vertical="center"/>
    </xf>
    <xf numFmtId="181" fontId="10" fillId="36" borderId="163" xfId="0" applyNumberFormat="1" applyFont="1" applyFill="1" applyBorder="1" applyAlignment="1">
      <alignment horizontal="right" vertical="center"/>
    </xf>
    <xf numFmtId="0" fontId="119" fillId="37" borderId="163" xfId="0" applyFont="1" applyFill="1" applyBorder="1" applyAlignment="1">
      <alignment horizontal="center" vertical="center"/>
    </xf>
    <xf numFmtId="0" fontId="117" fillId="37" borderId="25" xfId="0" applyFont="1" applyFill="1" applyBorder="1" applyAlignment="1">
      <alignment horizontal="left" vertical="center" wrapText="1"/>
    </xf>
    <xf numFmtId="0" fontId="105" fillId="19" borderId="162" xfId="0" applyFont="1" applyFill="1" applyBorder="1" applyAlignment="1">
      <alignment horizontal="center" vertical="center"/>
    </xf>
    <xf numFmtId="0" fontId="118" fillId="0" borderId="164" xfId="0" applyFont="1" applyBorder="1" applyAlignment="1">
      <alignment horizontal="left" vertical="center"/>
    </xf>
    <xf numFmtId="0" fontId="117" fillId="0" borderId="164" xfId="0" applyFont="1" applyBorder="1" applyAlignment="1">
      <alignment horizontal="left" vertical="center"/>
    </xf>
    <xf numFmtId="0" fontId="10" fillId="36" borderId="163" xfId="0" applyFont="1" applyFill="1" applyBorder="1" applyAlignment="1">
      <alignment horizontal="right" vertical="center"/>
    </xf>
    <xf numFmtId="0" fontId="119" fillId="0" borderId="164" xfId="0" applyFont="1" applyBorder="1" applyAlignment="1">
      <alignment horizontal="center" vertical="center"/>
    </xf>
    <xf numFmtId="0" fontId="105" fillId="23" borderId="162" xfId="0" applyFont="1" applyFill="1" applyBorder="1" applyAlignment="1">
      <alignment horizontal="center" vertical="center"/>
    </xf>
    <xf numFmtId="0" fontId="105" fillId="35" borderId="162" xfId="0" applyFont="1" applyFill="1" applyBorder="1" applyAlignment="1">
      <alignment vertical="center"/>
    </xf>
    <xf numFmtId="0" fontId="10" fillId="0" borderId="164" xfId="0" applyFont="1" applyBorder="1" applyAlignment="1">
      <alignment horizontal="right" vertical="center"/>
    </xf>
    <xf numFmtId="0" fontId="105" fillId="38" borderId="162" xfId="0" applyFont="1" applyFill="1" applyBorder="1" applyAlignment="1">
      <alignment vertical="center"/>
    </xf>
    <xf numFmtId="0" fontId="105" fillId="0" borderId="165" xfId="0" applyFont="1" applyBorder="1" applyAlignment="1">
      <alignment horizontal="left" vertical="center"/>
    </xf>
    <xf numFmtId="0" fontId="105" fillId="39" borderId="166" xfId="0" applyFont="1" applyFill="1" applyBorder="1" applyAlignment="1">
      <alignment vertical="center"/>
    </xf>
    <xf numFmtId="0" fontId="105" fillId="0" borderId="161" xfId="0" applyFont="1" applyBorder="1" applyAlignment="1">
      <alignment vertical="center"/>
    </xf>
    <xf numFmtId="0" fontId="105" fillId="0" borderId="167" xfId="0" applyFont="1" applyBorder="1" applyAlignment="1">
      <alignment vertical="center"/>
    </xf>
    <xf numFmtId="0" fontId="40" fillId="0" borderId="161" xfId="0" applyFont="1" applyBorder="1" applyAlignment="1">
      <alignment vertical="center"/>
    </xf>
    <xf numFmtId="0" fontId="52" fillId="25" borderId="162" xfId="0" applyFont="1" applyFill="1" applyBorder="1" applyAlignment="1">
      <alignment horizontal="center" vertical="center"/>
    </xf>
    <xf numFmtId="179" fontId="10" fillId="36" borderId="163" xfId="0" applyNumberFormat="1" applyFont="1" applyFill="1" applyBorder="1" applyAlignment="1">
      <alignment horizontal="right" vertical="center"/>
    </xf>
    <xf numFmtId="0" fontId="105" fillId="0" borderId="168" xfId="0" applyFont="1" applyBorder="1" applyAlignment="1">
      <alignment vertical="center"/>
    </xf>
    <xf numFmtId="0" fontId="105" fillId="0" borderId="169" xfId="0" applyFont="1" applyBorder="1" applyAlignment="1">
      <alignment vertical="center"/>
    </xf>
    <xf numFmtId="17" fontId="117" fillId="0" borderId="52" xfId="0" applyNumberFormat="1" applyFont="1" applyBorder="1" applyAlignment="1">
      <alignment horizontal="left" vertical="center" wrapText="1"/>
    </xf>
    <xf numFmtId="17" fontId="117" fillId="37" borderId="25" xfId="0" applyNumberFormat="1" applyFont="1" applyFill="1" applyBorder="1" applyAlignment="1">
      <alignment horizontal="left" vertical="center" wrapText="1"/>
    </xf>
    <xf numFmtId="0" fontId="10" fillId="0" borderId="66" xfId="0" applyFont="1" applyBorder="1" applyAlignment="1">
      <alignment vertical="center"/>
    </xf>
    <xf numFmtId="0" fontId="118" fillId="37" borderId="170" xfId="0" applyFont="1" applyFill="1" applyBorder="1" applyAlignment="1">
      <alignment horizontal="left" vertical="center"/>
    </xf>
    <xf numFmtId="0" fontId="117" fillId="37" borderId="170" xfId="0" applyFont="1" applyFill="1" applyBorder="1" applyAlignment="1">
      <alignment horizontal="left" vertical="center"/>
    </xf>
    <xf numFmtId="0" fontId="10" fillId="36" borderId="170" xfId="0" applyFont="1" applyFill="1" applyBorder="1" applyAlignment="1">
      <alignment horizontal="right" vertical="center"/>
    </xf>
    <xf numFmtId="0" fontId="119" fillId="37" borderId="170" xfId="0" applyFont="1" applyFill="1" applyBorder="1" applyAlignment="1">
      <alignment horizontal="center" vertical="center"/>
    </xf>
    <xf numFmtId="0" fontId="117" fillId="37" borderId="69" xfId="0" applyFont="1" applyFill="1" applyBorder="1" applyAlignment="1">
      <alignment horizontal="left" vertical="center" wrapText="1"/>
    </xf>
    <xf numFmtId="0" fontId="10" fillId="0" borderId="159" xfId="0" applyFont="1" applyBorder="1" applyAlignment="1">
      <alignment horizontal="right" vertical="center"/>
    </xf>
    <xf numFmtId="188" fontId="10" fillId="12" borderId="163" xfId="0" applyNumberFormat="1" applyFont="1" applyFill="1" applyBorder="1" applyAlignment="1">
      <alignment horizontal="right" vertical="center"/>
    </xf>
    <xf numFmtId="181" fontId="10" fillId="0" borderId="164" xfId="0" applyNumberFormat="1" applyFont="1" applyBorder="1" applyAlignment="1">
      <alignment horizontal="right" vertical="center"/>
    </xf>
    <xf numFmtId="0" fontId="120" fillId="40" borderId="1" xfId="0" applyFont="1" applyFill="1" applyBorder="1" applyAlignment="1">
      <alignment horizontal="right" vertical="center"/>
    </xf>
    <xf numFmtId="0" fontId="121" fillId="0" borderId="52" xfId="0" applyFont="1" applyBorder="1" applyAlignment="1">
      <alignment horizontal="left" vertical="center"/>
    </xf>
    <xf numFmtId="181" fontId="120" fillId="40" borderId="1" xfId="0" applyNumberFormat="1" applyFont="1" applyFill="1" applyBorder="1" applyAlignment="1">
      <alignment horizontal="right" vertical="center"/>
    </xf>
    <xf numFmtId="0" fontId="10" fillId="0" borderId="174" xfId="0" applyFont="1" applyBorder="1" applyAlignment="1">
      <alignment vertical="center"/>
    </xf>
    <xf numFmtId="0" fontId="117" fillId="0" borderId="175" xfId="0" applyFont="1" applyBorder="1" applyAlignment="1">
      <alignment horizontal="left" vertical="center" wrapText="1"/>
    </xf>
    <xf numFmtId="0" fontId="67" fillId="0" borderId="0" xfId="0" applyFont="1" applyAlignment="1">
      <alignment horizontal="center" vertical="center" wrapText="1"/>
    </xf>
    <xf numFmtId="0" fontId="122" fillId="0" borderId="0" xfId="0" applyFont="1" applyAlignment="1">
      <alignment vertical="center"/>
    </xf>
    <xf numFmtId="0" fontId="122" fillId="0" borderId="0" xfId="0" applyFont="1" applyAlignment="1">
      <alignment horizontal="right" vertical="center"/>
    </xf>
    <xf numFmtId="0" fontId="48" fillId="0" borderId="0" xfId="0" applyFont="1" applyAlignment="1">
      <alignment horizontal="right" vertical="center"/>
    </xf>
    <xf numFmtId="0" fontId="48" fillId="0" borderId="52" xfId="0" applyFont="1" applyBorder="1" applyAlignment="1">
      <alignment vertical="center"/>
    </xf>
    <xf numFmtId="188" fontId="10" fillId="0" borderId="159" xfId="0" applyNumberFormat="1" applyFont="1" applyBorder="1" applyAlignment="1">
      <alignment horizontal="right" vertical="center"/>
    </xf>
    <xf numFmtId="164" fontId="123" fillId="0" borderId="0" xfId="0" applyNumberFormat="1" applyFont="1" applyAlignment="1">
      <alignment horizontal="center" vertical="center"/>
    </xf>
    <xf numFmtId="0" fontId="124" fillId="0" borderId="176" xfId="0" applyFont="1" applyBorder="1" applyAlignment="1">
      <alignment vertical="center"/>
    </xf>
    <xf numFmtId="188" fontId="67" fillId="0" borderId="159" xfId="0" applyNumberFormat="1" applyFont="1" applyBorder="1" applyAlignment="1">
      <alignment horizontal="right" vertical="center"/>
    </xf>
    <xf numFmtId="0" fontId="125" fillId="0" borderId="159" xfId="0" applyFont="1" applyBorder="1" applyAlignment="1">
      <alignment horizontal="left" vertical="center"/>
    </xf>
    <xf numFmtId="189" fontId="67" fillId="0" borderId="159" xfId="0" applyNumberFormat="1" applyFont="1" applyBorder="1" applyAlignment="1">
      <alignment horizontal="right" vertical="center"/>
    </xf>
    <xf numFmtId="10" fontId="119" fillId="0" borderId="159" xfId="0" applyNumberFormat="1" applyFont="1" applyBorder="1" applyAlignment="1">
      <alignment horizontal="center" vertical="center"/>
    </xf>
    <xf numFmtId="189" fontId="10" fillId="0" borderId="159" xfId="0" applyNumberFormat="1" applyFont="1" applyBorder="1" applyAlignment="1">
      <alignment horizontal="right" vertical="center"/>
    </xf>
    <xf numFmtId="0" fontId="126" fillId="0" borderId="0" xfId="0" applyFont="1" applyAlignment="1">
      <alignment horizontal="left" vertical="center"/>
    </xf>
    <xf numFmtId="190" fontId="124" fillId="0" borderId="0" xfId="0" applyNumberFormat="1" applyFont="1" applyAlignment="1">
      <alignment horizontal="right" vertical="center"/>
    </xf>
    <xf numFmtId="0" fontId="127" fillId="0" borderId="159" xfId="0" applyFont="1" applyBorder="1" applyAlignment="1">
      <alignment horizontal="left" vertical="center"/>
    </xf>
    <xf numFmtId="3" fontId="10" fillId="0" borderId="159" xfId="0" applyNumberFormat="1" applyFont="1" applyBorder="1" applyAlignment="1">
      <alignment horizontal="right" vertical="center"/>
    </xf>
    <xf numFmtId="0" fontId="128" fillId="0" borderId="0" xfId="0" applyFont="1" applyAlignment="1">
      <alignment horizontal="left" vertical="center"/>
    </xf>
    <xf numFmtId="0" fontId="129" fillId="0" borderId="0" xfId="0" applyFont="1" applyAlignment="1">
      <alignment horizontal="left" vertical="center"/>
    </xf>
    <xf numFmtId="190" fontId="130" fillId="40" borderId="1" xfId="0" applyNumberFormat="1" applyFont="1" applyFill="1" applyBorder="1" applyAlignment="1">
      <alignment horizontal="right" vertical="center"/>
    </xf>
    <xf numFmtId="0" fontId="131" fillId="0" borderId="159" xfId="0" applyFont="1" applyBorder="1" applyAlignment="1">
      <alignment horizontal="center" vertical="center"/>
    </xf>
    <xf numFmtId="0" fontId="127" fillId="23" borderId="163" xfId="0" applyFont="1" applyFill="1" applyBorder="1" applyAlignment="1">
      <alignment horizontal="left" vertical="center"/>
    </xf>
    <xf numFmtId="0" fontId="132" fillId="23" borderId="163" xfId="0" applyFont="1" applyFill="1" applyBorder="1" applyAlignment="1">
      <alignment horizontal="left" vertical="center"/>
    </xf>
    <xf numFmtId="0" fontId="67" fillId="23" borderId="163" xfId="0" applyFont="1" applyFill="1" applyBorder="1" applyAlignment="1">
      <alignment horizontal="right" vertical="center"/>
    </xf>
    <xf numFmtId="0" fontId="133" fillId="23" borderId="163" xfId="0" applyFont="1" applyFill="1" applyBorder="1" applyAlignment="1">
      <alignment horizontal="center" vertical="center"/>
    </xf>
    <xf numFmtId="0" fontId="132" fillId="23" borderId="25" xfId="0" applyFont="1" applyFill="1" applyBorder="1" applyAlignment="1">
      <alignment horizontal="left" vertical="center" wrapText="1"/>
    </xf>
    <xf numFmtId="9" fontId="10" fillId="36" borderId="163" xfId="0" applyNumberFormat="1" applyFont="1" applyFill="1" applyBorder="1" applyAlignment="1">
      <alignment horizontal="right" vertical="center"/>
    </xf>
    <xf numFmtId="188" fontId="10" fillId="36" borderId="163" xfId="0" applyNumberFormat="1" applyFont="1" applyFill="1" applyBorder="1" applyAlignment="1">
      <alignment horizontal="right" vertical="center"/>
    </xf>
    <xf numFmtId="10" fontId="10" fillId="36" borderId="163" xfId="0" applyNumberFormat="1" applyFont="1" applyFill="1" applyBorder="1" applyAlignment="1">
      <alignment horizontal="right" vertical="center"/>
    </xf>
    <xf numFmtId="189" fontId="10" fillId="36" borderId="163" xfId="0" applyNumberFormat="1" applyFont="1" applyFill="1" applyBorder="1" applyAlignment="1">
      <alignment horizontal="right" vertical="center"/>
    </xf>
    <xf numFmtId="0" fontId="134" fillId="41" borderId="1" xfId="0" applyFont="1" applyFill="1" applyBorder="1" applyAlignment="1">
      <alignment horizontal="left" vertical="center"/>
    </xf>
    <xf numFmtId="0" fontId="134" fillId="41" borderId="25" xfId="0" applyFont="1" applyFill="1" applyBorder="1" applyAlignment="1">
      <alignment horizontal="left" vertical="center"/>
    </xf>
    <xf numFmtId="0" fontId="135" fillId="0" borderId="0" xfId="0" applyFont="1" applyAlignment="1">
      <alignment horizontal="left" vertical="center"/>
    </xf>
    <xf numFmtId="0" fontId="50" fillId="0" borderId="0" xfId="0" applyFont="1" applyAlignment="1">
      <alignment horizontal="right" vertical="center"/>
    </xf>
    <xf numFmtId="0" fontId="123" fillId="0" borderId="0" xfId="0" applyFont="1" applyAlignment="1">
      <alignment horizontal="center" vertical="center"/>
    </xf>
    <xf numFmtId="9" fontId="120" fillId="40" borderId="1" xfId="0" applyNumberFormat="1" applyFont="1" applyFill="1" applyBorder="1" applyAlignment="1">
      <alignment horizontal="right" vertical="center"/>
    </xf>
    <xf numFmtId="190" fontId="50" fillId="0" borderId="0" xfId="0" applyNumberFormat="1" applyFont="1" applyAlignment="1">
      <alignment horizontal="right" vertical="center"/>
    </xf>
    <xf numFmtId="191" fontId="50" fillId="0" borderId="0" xfId="0" applyNumberFormat="1" applyFont="1" applyAlignment="1">
      <alignment horizontal="right" vertical="center"/>
    </xf>
    <xf numFmtId="191" fontId="120" fillId="40" borderId="1" xfId="0" applyNumberFormat="1" applyFont="1" applyFill="1" applyBorder="1" applyAlignment="1">
      <alignment horizontal="right" vertical="center"/>
    </xf>
    <xf numFmtId="191" fontId="120" fillId="42" borderId="1" xfId="0" applyNumberFormat="1" applyFont="1" applyFill="1" applyBorder="1" applyAlignment="1">
      <alignment horizontal="right" vertical="center"/>
    </xf>
    <xf numFmtId="0" fontId="121" fillId="0" borderId="52" xfId="0" quotePrefix="1" applyFont="1" applyBorder="1" applyAlignment="1">
      <alignment horizontal="left" vertical="center"/>
    </xf>
    <xf numFmtId="10" fontId="120" fillId="40" borderId="1" xfId="0" applyNumberFormat="1" applyFont="1" applyFill="1" applyBorder="1" applyAlignment="1">
      <alignment horizontal="right" vertical="center"/>
    </xf>
    <xf numFmtId="192" fontId="120" fillId="40" borderId="1" xfId="0" applyNumberFormat="1" applyFont="1" applyFill="1" applyBorder="1" applyAlignment="1">
      <alignment horizontal="right" vertical="center"/>
    </xf>
    <xf numFmtId="0" fontId="127" fillId="23" borderId="163" xfId="0" applyFont="1" applyFill="1" applyBorder="1" applyAlignment="1">
      <alignment vertical="center"/>
    </xf>
    <xf numFmtId="3" fontId="10" fillId="36" borderId="163" xfId="0" applyNumberFormat="1" applyFont="1" applyFill="1" applyBorder="1" applyAlignment="1">
      <alignment horizontal="right" vertical="center"/>
    </xf>
    <xf numFmtId="3" fontId="10" fillId="0" borderId="0" xfId="0" applyNumberFormat="1" applyFont="1" applyAlignment="1">
      <alignment horizontal="center" vertical="center"/>
    </xf>
    <xf numFmtId="49" fontId="117" fillId="0" borderId="52" xfId="0" applyNumberFormat="1" applyFont="1" applyBorder="1" applyAlignment="1">
      <alignment horizontal="left" vertical="center" wrapText="1"/>
    </xf>
    <xf numFmtId="0" fontId="123" fillId="0" borderId="164" xfId="0" applyFont="1" applyBorder="1" applyAlignment="1">
      <alignment horizontal="center" vertical="center" wrapText="1"/>
    </xf>
    <xf numFmtId="9" fontId="119" fillId="0" borderId="164" xfId="0" applyNumberFormat="1" applyFont="1" applyBorder="1" applyAlignment="1">
      <alignment horizontal="center" vertical="center"/>
    </xf>
    <xf numFmtId="188" fontId="10" fillId="5" borderId="163" xfId="0" applyNumberFormat="1" applyFont="1" applyFill="1" applyBorder="1" applyAlignment="1">
      <alignment horizontal="right" vertical="center"/>
    </xf>
    <xf numFmtId="189" fontId="117" fillId="0" borderId="52" xfId="0" applyNumberFormat="1" applyFont="1" applyBorder="1" applyAlignment="1">
      <alignment horizontal="left" vertical="center" wrapText="1"/>
    </xf>
    <xf numFmtId="0" fontId="136" fillId="0" borderId="177" xfId="0" applyFont="1" applyBorder="1" applyAlignment="1">
      <alignment horizontal="left" vertical="center"/>
    </xf>
    <xf numFmtId="0" fontId="117" fillId="0" borderId="177" xfId="0" applyFont="1" applyBorder="1" applyAlignment="1">
      <alignment horizontal="left" vertical="center"/>
    </xf>
    <xf numFmtId="10" fontId="10" fillId="36" borderId="178" xfId="0" applyNumberFormat="1" applyFont="1" applyFill="1" applyBorder="1" applyAlignment="1">
      <alignment horizontal="right" vertical="center"/>
    </xf>
    <xf numFmtId="0" fontId="119" fillId="0" borderId="177" xfId="0" applyFont="1" applyBorder="1" applyAlignment="1">
      <alignment horizontal="center" vertical="center"/>
    </xf>
    <xf numFmtId="0" fontId="118" fillId="0" borderId="177" xfId="0" applyFont="1" applyBorder="1" applyAlignment="1">
      <alignment horizontal="left" vertical="center"/>
    </xf>
    <xf numFmtId="9" fontId="10" fillId="0" borderId="178" xfId="0" applyNumberFormat="1" applyFont="1" applyBorder="1" applyAlignment="1">
      <alignment horizontal="right" vertical="center"/>
    </xf>
    <xf numFmtId="9" fontId="10" fillId="36" borderId="178" xfId="0" applyNumberFormat="1" applyFont="1" applyFill="1" applyBorder="1" applyAlignment="1">
      <alignment horizontal="right" vertical="center"/>
    </xf>
    <xf numFmtId="0" fontId="10" fillId="0" borderId="177" xfId="0" applyFont="1" applyBorder="1" applyAlignment="1">
      <alignment horizontal="right" vertical="center"/>
    </xf>
    <xf numFmtId="0" fontId="127" fillId="0" borderId="177" xfId="0" applyFont="1" applyBorder="1" applyAlignment="1">
      <alignment horizontal="left" vertical="center"/>
    </xf>
    <xf numFmtId="174" fontId="127" fillId="0" borderId="177" xfId="0" applyNumberFormat="1" applyFont="1" applyBorder="1" applyAlignment="1">
      <alignment horizontal="left" vertical="center"/>
    </xf>
    <xf numFmtId="174" fontId="118" fillId="0" borderId="177" xfId="0" applyNumberFormat="1" applyFont="1" applyBorder="1" applyAlignment="1">
      <alignment horizontal="left" vertical="center"/>
    </xf>
    <xf numFmtId="191" fontId="10" fillId="36" borderId="178" xfId="0" applyNumberFormat="1" applyFont="1" applyFill="1" applyBorder="1" applyAlignment="1">
      <alignment horizontal="right" vertical="center"/>
    </xf>
    <xf numFmtId="174" fontId="10" fillId="43" borderId="178" xfId="0" applyNumberFormat="1" applyFont="1" applyFill="1" applyBorder="1" applyAlignment="1">
      <alignment horizontal="right" vertical="center"/>
    </xf>
    <xf numFmtId="191" fontId="117" fillId="0" borderId="177" xfId="0" applyNumberFormat="1" applyFont="1" applyBorder="1" applyAlignment="1">
      <alignment horizontal="left" vertical="center"/>
    </xf>
    <xf numFmtId="191" fontId="132" fillId="0" borderId="177" xfId="0" applyNumberFormat="1" applyFont="1" applyBorder="1" applyAlignment="1">
      <alignment horizontal="left" vertical="center"/>
    </xf>
    <xf numFmtId="9" fontId="117" fillId="0" borderId="177" xfId="0" applyNumberFormat="1" applyFont="1" applyBorder="1" applyAlignment="1">
      <alignment horizontal="left" vertical="center"/>
    </xf>
    <xf numFmtId="174" fontId="10" fillId="36" borderId="178" xfId="0" applyNumberFormat="1" applyFont="1" applyFill="1" applyBorder="1" applyAlignment="1">
      <alignment horizontal="right" vertical="center"/>
    </xf>
    <xf numFmtId="174" fontId="117" fillId="0" borderId="177" xfId="0" applyNumberFormat="1" applyFont="1" applyBorder="1" applyAlignment="1">
      <alignment horizontal="left" vertical="center"/>
    </xf>
    <xf numFmtId="0" fontId="137" fillId="36" borderId="163" xfId="0" applyFont="1" applyFill="1" applyBorder="1" applyAlignment="1">
      <alignment horizontal="left" vertical="center"/>
    </xf>
    <xf numFmtId="0" fontId="10" fillId="0" borderId="179" xfId="0" applyFont="1" applyBorder="1" applyAlignment="1">
      <alignment vertical="center"/>
    </xf>
    <xf numFmtId="0" fontId="117" fillId="0" borderId="180" xfId="0" applyFont="1" applyBorder="1" applyAlignment="1">
      <alignment horizontal="left" vertical="center"/>
    </xf>
    <xf numFmtId="0" fontId="137" fillId="36" borderId="181" xfId="0" applyFont="1" applyFill="1" applyBorder="1" applyAlignment="1">
      <alignment horizontal="left" vertical="center"/>
    </xf>
    <xf numFmtId="0" fontId="10" fillId="36" borderId="181" xfId="0" applyFont="1" applyFill="1" applyBorder="1" applyAlignment="1">
      <alignment horizontal="right" vertical="center"/>
    </xf>
    <xf numFmtId="0" fontId="119" fillId="0" borderId="180" xfId="0" applyFont="1" applyBorder="1" applyAlignment="1">
      <alignment horizontal="center" vertical="center"/>
    </xf>
    <xf numFmtId="0" fontId="117" fillId="0" borderId="182" xfId="0" applyFont="1" applyBorder="1" applyAlignment="1">
      <alignment horizontal="left" vertical="center" wrapText="1"/>
    </xf>
    <xf numFmtId="0" fontId="118" fillId="0" borderId="0" xfId="0" applyFont="1" applyAlignment="1">
      <alignment horizontal="left" vertical="center"/>
    </xf>
    <xf numFmtId="0" fontId="117" fillId="0" borderId="0" xfId="0" applyFont="1" applyAlignment="1">
      <alignment horizontal="left" vertical="center"/>
    </xf>
    <xf numFmtId="0" fontId="119" fillId="0" borderId="0" xfId="0" applyFont="1" applyAlignment="1">
      <alignment horizontal="center" vertical="center"/>
    </xf>
    <xf numFmtId="168" fontId="10" fillId="36" borderId="163" xfId="0" applyNumberFormat="1" applyFont="1" applyFill="1" applyBorder="1" applyAlignment="1">
      <alignment horizontal="right" vertical="center"/>
    </xf>
    <xf numFmtId="168" fontId="10" fillId="0" borderId="164" xfId="0" applyNumberFormat="1" applyFont="1" applyBorder="1" applyAlignment="1">
      <alignment horizontal="right" vertical="center"/>
    </xf>
    <xf numFmtId="10" fontId="10" fillId="0" borderId="164" xfId="0" applyNumberFormat="1" applyFont="1" applyBorder="1" applyAlignment="1">
      <alignment horizontal="right" vertical="center"/>
    </xf>
    <xf numFmtId="0" fontId="8" fillId="0" borderId="0" xfId="0" applyFont="1" applyAlignment="1">
      <alignment vertical="center"/>
    </xf>
    <xf numFmtId="0" fontId="105" fillId="0" borderId="0" xfId="0" applyFont="1" applyAlignment="1">
      <alignment horizontal="left" vertical="center"/>
    </xf>
    <xf numFmtId="0" fontId="105" fillId="0" borderId="23" xfId="0" applyFont="1" applyBorder="1" applyAlignment="1">
      <alignment vertical="center"/>
    </xf>
    <xf numFmtId="0" fontId="117" fillId="0" borderId="0" xfId="0" applyFont="1" applyAlignment="1">
      <alignment horizontal="center" vertical="center"/>
    </xf>
    <xf numFmtId="0" fontId="127" fillId="35" borderId="163" xfId="0" applyFont="1" applyFill="1" applyBorder="1" applyAlignment="1">
      <alignment horizontal="left" vertical="center"/>
    </xf>
    <xf numFmtId="0" fontId="52" fillId="35" borderId="163" xfId="0" applyFont="1" applyFill="1" applyBorder="1" applyAlignment="1">
      <alignment horizontal="left" vertical="center"/>
    </xf>
    <xf numFmtId="0" fontId="52" fillId="35" borderId="163" xfId="0" applyFont="1" applyFill="1" applyBorder="1" applyAlignment="1">
      <alignment horizontal="right" vertical="center"/>
    </xf>
    <xf numFmtId="0" fontId="52" fillId="35" borderId="163" xfId="0" applyFont="1" applyFill="1" applyBorder="1" applyAlignment="1">
      <alignment horizontal="center" vertical="center"/>
    </xf>
    <xf numFmtId="0" fontId="132" fillId="35" borderId="25" xfId="0" applyFont="1" applyFill="1" applyBorder="1" applyAlignment="1">
      <alignment horizontal="left" vertical="center" wrapText="1"/>
    </xf>
    <xf numFmtId="0" fontId="117" fillId="36" borderId="163" xfId="0" applyFont="1" applyFill="1" applyBorder="1" applyAlignment="1">
      <alignment horizontal="left" vertical="center"/>
    </xf>
    <xf numFmtId="0" fontId="119" fillId="36" borderId="163" xfId="0" applyFont="1" applyFill="1" applyBorder="1" applyAlignment="1">
      <alignment horizontal="center" vertical="center"/>
    </xf>
    <xf numFmtId="190" fontId="117" fillId="0" borderId="164" xfId="0" applyNumberFormat="1" applyFont="1" applyBorder="1" applyAlignment="1">
      <alignment horizontal="left" vertical="center"/>
    </xf>
    <xf numFmtId="0" fontId="138" fillId="0" borderId="0" xfId="0" applyFont="1" applyAlignment="1">
      <alignment horizontal="center"/>
    </xf>
    <xf numFmtId="0" fontId="138" fillId="0" borderId="0" xfId="0" applyFont="1" applyAlignment="1">
      <alignment horizontal="right"/>
    </xf>
    <xf numFmtId="0" fontId="127" fillId="23" borderId="183" xfId="0" applyFont="1" applyFill="1" applyBorder="1" applyAlignment="1">
      <alignment horizontal="left" vertical="center"/>
    </xf>
    <xf numFmtId="0" fontId="132" fillId="23" borderId="183" xfId="0" applyFont="1" applyFill="1" applyBorder="1" applyAlignment="1">
      <alignment horizontal="left" vertical="center"/>
    </xf>
    <xf numFmtId="0" fontId="67" fillId="23" borderId="183" xfId="0" applyFont="1" applyFill="1" applyBorder="1" applyAlignment="1">
      <alignment horizontal="right" vertical="center"/>
    </xf>
    <xf numFmtId="0" fontId="117" fillId="0" borderId="0" xfId="0" applyFont="1" applyAlignment="1">
      <alignment horizontal="left"/>
    </xf>
    <xf numFmtId="0" fontId="138" fillId="40" borderId="1" xfId="0" applyFont="1" applyFill="1" applyBorder="1" applyAlignment="1">
      <alignment horizontal="right"/>
    </xf>
    <xf numFmtId="0" fontId="123" fillId="0" borderId="0" xfId="0" applyFont="1" applyAlignment="1">
      <alignment horizontal="center"/>
    </xf>
    <xf numFmtId="0" fontId="121" fillId="0" borderId="0" xfId="0" applyFont="1" applyAlignment="1">
      <alignment horizontal="left"/>
    </xf>
    <xf numFmtId="0" fontId="118" fillId="0" borderId="0" xfId="0" applyFont="1" applyAlignment="1">
      <alignment horizontal="left"/>
    </xf>
    <xf numFmtId="10" fontId="138" fillId="40" borderId="1" xfId="0" applyNumberFormat="1" applyFont="1" applyFill="1" applyBorder="1" applyAlignment="1">
      <alignment horizontal="right"/>
    </xf>
    <xf numFmtId="0" fontId="48" fillId="0" borderId="23" xfId="0" applyFont="1" applyBorder="1" applyAlignment="1">
      <alignment vertical="center"/>
    </xf>
    <xf numFmtId="0" fontId="50" fillId="0" borderId="23" xfId="0" applyFont="1" applyBorder="1" applyAlignment="1">
      <alignment vertical="center"/>
    </xf>
    <xf numFmtId="0" fontId="52" fillId="0" borderId="23" xfId="0" applyFont="1" applyBorder="1" applyAlignment="1">
      <alignment horizontal="left" vertical="center"/>
    </xf>
    <xf numFmtId="0" fontId="52" fillId="0" borderId="0" xfId="0" applyFont="1" applyAlignment="1">
      <alignment horizontal="left" vertical="center"/>
    </xf>
    <xf numFmtId="0" fontId="52" fillId="0" borderId="52" xfId="0" applyFont="1" applyBorder="1" applyAlignment="1">
      <alignment horizontal="left" vertical="center"/>
    </xf>
    <xf numFmtId="0" fontId="10" fillId="0" borderId="19" xfId="0" applyFont="1" applyBorder="1" applyAlignment="1">
      <alignment vertical="center"/>
    </xf>
    <xf numFmtId="0" fontId="52" fillId="35" borderId="21" xfId="0" applyFont="1" applyFill="1" applyBorder="1" applyAlignment="1">
      <alignment vertical="center"/>
    </xf>
    <xf numFmtId="0" fontId="52" fillId="35" borderId="21" xfId="0" applyFont="1" applyFill="1" applyBorder="1" applyAlignment="1">
      <alignment horizontal="left" vertical="center"/>
    </xf>
    <xf numFmtId="0" fontId="67" fillId="35" borderId="21" xfId="0" applyFont="1" applyFill="1" applyBorder="1" applyAlignment="1">
      <alignment horizontal="right" vertical="center"/>
    </xf>
    <xf numFmtId="0" fontId="52" fillId="35" borderId="21" xfId="0" applyFont="1" applyFill="1" applyBorder="1" applyAlignment="1">
      <alignment horizontal="center" vertical="center"/>
    </xf>
    <xf numFmtId="0" fontId="52" fillId="35" borderId="22" xfId="0" applyFont="1" applyFill="1" applyBorder="1" applyAlignment="1">
      <alignment horizontal="left" vertical="center" wrapText="1"/>
    </xf>
    <xf numFmtId="0" fontId="139" fillId="23" borderId="1" xfId="0" applyFont="1" applyFill="1" applyBorder="1" applyAlignment="1">
      <alignment vertical="center"/>
    </xf>
    <xf numFmtId="0" fontId="139" fillId="23" borderId="1" xfId="0" applyFont="1" applyFill="1" applyBorder="1" applyAlignment="1">
      <alignment horizontal="left" vertical="center"/>
    </xf>
    <xf numFmtId="0" fontId="67" fillId="23" borderId="1" xfId="0" applyFont="1" applyFill="1" applyBorder="1" applyAlignment="1">
      <alignment horizontal="right" vertical="center"/>
    </xf>
    <xf numFmtId="0" fontId="139" fillId="23" borderId="1" xfId="0" applyFont="1" applyFill="1" applyBorder="1" applyAlignment="1">
      <alignment horizontal="center" vertical="center"/>
    </xf>
    <xf numFmtId="0" fontId="139" fillId="23" borderId="25" xfId="0" applyFont="1" applyFill="1" applyBorder="1" applyAlignment="1">
      <alignment horizontal="left" vertical="center" wrapText="1"/>
    </xf>
    <xf numFmtId="164" fontId="10" fillId="36" borderId="163" xfId="0" applyNumberFormat="1" applyFont="1" applyFill="1" applyBorder="1" applyAlignment="1">
      <alignment horizontal="right" vertical="center"/>
    </xf>
    <xf numFmtId="4" fontId="10" fillId="36" borderId="163" xfId="0" applyNumberFormat="1" applyFont="1" applyFill="1" applyBorder="1" applyAlignment="1">
      <alignment horizontal="right" vertical="center"/>
    </xf>
    <xf numFmtId="10" fontId="10" fillId="44" borderId="163" xfId="0" applyNumberFormat="1" applyFont="1" applyFill="1" applyBorder="1" applyAlignment="1">
      <alignment horizontal="right" vertical="center"/>
    </xf>
    <xf numFmtId="0" fontId="10" fillId="36" borderId="178" xfId="0" applyFont="1" applyFill="1" applyBorder="1" applyAlignment="1">
      <alignment horizontal="right" vertical="center"/>
    </xf>
    <xf numFmtId="164" fontId="10" fillId="36" borderId="1" xfId="0" applyNumberFormat="1" applyFont="1" applyFill="1" applyBorder="1" applyAlignment="1">
      <alignment horizontal="right" vertical="center"/>
    </xf>
    <xf numFmtId="164" fontId="10" fillId="0" borderId="0" xfId="0" applyNumberFormat="1" applyFont="1" applyAlignment="1">
      <alignment horizontal="right" vertical="center"/>
    </xf>
    <xf numFmtId="2" fontId="10" fillId="0" borderId="0" xfId="0" applyNumberFormat="1" applyFont="1" applyAlignment="1">
      <alignment horizontal="right" vertical="center"/>
    </xf>
    <xf numFmtId="0" fontId="10" fillId="44" borderId="1" xfId="0" applyFont="1" applyFill="1" applyBorder="1" applyAlignment="1">
      <alignment horizontal="right" vertical="center"/>
    </xf>
    <xf numFmtId="0" fontId="10" fillId="0" borderId="0" xfId="0" applyFont="1" applyAlignment="1">
      <alignment horizontal="center"/>
    </xf>
    <xf numFmtId="0" fontId="10" fillId="0" borderId="184" xfId="0" applyFont="1" applyBorder="1" applyAlignment="1">
      <alignment vertical="center"/>
    </xf>
    <xf numFmtId="0" fontId="118" fillId="0" borderId="185" xfId="0" applyFont="1" applyBorder="1" applyAlignment="1">
      <alignment horizontal="left" vertical="center"/>
    </xf>
    <xf numFmtId="0" fontId="117" fillId="0" borderId="185" xfId="0" applyFont="1" applyBorder="1" applyAlignment="1">
      <alignment horizontal="left" vertical="center"/>
    </xf>
    <xf numFmtId="0" fontId="10" fillId="36" borderId="186" xfId="0" applyFont="1" applyFill="1" applyBorder="1" applyAlignment="1">
      <alignment horizontal="right" vertical="center"/>
    </xf>
    <xf numFmtId="0" fontId="119" fillId="0" borderId="185" xfId="0" applyFont="1" applyBorder="1" applyAlignment="1">
      <alignment horizontal="center" vertical="center"/>
    </xf>
    <xf numFmtId="0" fontId="117" fillId="0" borderId="187" xfId="0" applyFont="1" applyBorder="1" applyAlignment="1">
      <alignment horizontal="left" vertical="center" wrapText="1"/>
    </xf>
    <xf numFmtId="0" fontId="140" fillId="23" borderId="21" xfId="0" applyFont="1" applyFill="1" applyBorder="1" applyAlignment="1">
      <alignment vertical="center"/>
    </xf>
    <xf numFmtId="0" fontId="139" fillId="23" borderId="21" xfId="0" applyFont="1" applyFill="1" applyBorder="1" applyAlignment="1">
      <alignment horizontal="left" vertical="center"/>
    </xf>
    <xf numFmtId="0" fontId="67" fillId="23" borderId="21" xfId="0" applyFont="1" applyFill="1" applyBorder="1" applyAlignment="1">
      <alignment horizontal="right" vertical="center"/>
    </xf>
    <xf numFmtId="0" fontId="139" fillId="23" borderId="21" xfId="0" applyFont="1" applyFill="1" applyBorder="1" applyAlignment="1">
      <alignment horizontal="center" vertical="center"/>
    </xf>
    <xf numFmtId="0" fontId="139" fillId="23" borderId="22" xfId="0" applyFont="1" applyFill="1" applyBorder="1" applyAlignment="1">
      <alignment horizontal="left" vertical="center" wrapText="1"/>
    </xf>
    <xf numFmtId="0" fontId="105" fillId="0" borderId="52" xfId="0" applyFont="1" applyBorder="1" applyAlignment="1">
      <alignment horizontal="left" vertical="center" wrapText="1"/>
    </xf>
    <xf numFmtId="0" fontId="10" fillId="0" borderId="52" xfId="0" applyFont="1" applyBorder="1" applyAlignment="1">
      <alignment wrapText="1"/>
    </xf>
    <xf numFmtId="0" fontId="139" fillId="0" borderId="1" xfId="0" applyFont="1" applyBorder="1" applyAlignment="1">
      <alignment vertical="center"/>
    </xf>
    <xf numFmtId="0" fontId="139" fillId="0" borderId="1" xfId="0" applyFont="1" applyBorder="1" applyAlignment="1">
      <alignment horizontal="left" vertical="center"/>
    </xf>
    <xf numFmtId="0" fontId="67" fillId="0" borderId="1" xfId="0" applyFont="1" applyBorder="1" applyAlignment="1">
      <alignment horizontal="right" vertical="center"/>
    </xf>
    <xf numFmtId="0" fontId="139" fillId="0" borderId="1" xfId="0" applyFont="1" applyBorder="1" applyAlignment="1">
      <alignment horizontal="center" vertical="center"/>
    </xf>
    <xf numFmtId="0" fontId="139" fillId="0" borderId="25" xfId="0" applyFont="1" applyBorder="1" applyAlignment="1">
      <alignment horizontal="left" vertical="center" wrapText="1"/>
    </xf>
    <xf numFmtId="164" fontId="10" fillId="0" borderId="163" xfId="0" applyNumberFormat="1" applyFont="1" applyBorder="1" applyAlignment="1">
      <alignment horizontal="right" vertical="center"/>
    </xf>
    <xf numFmtId="0" fontId="10" fillId="0" borderId="178" xfId="0" applyFont="1" applyBorder="1" applyAlignment="1">
      <alignment horizontal="right" vertical="center"/>
    </xf>
    <xf numFmtId="188" fontId="10" fillId="0" borderId="163" xfId="0" applyNumberFormat="1" applyFont="1" applyBorder="1" applyAlignment="1">
      <alignment horizontal="right" vertical="center"/>
    </xf>
    <xf numFmtId="164" fontId="10" fillId="36" borderId="178" xfId="0" applyNumberFormat="1" applyFont="1" applyFill="1" applyBorder="1" applyAlignment="1">
      <alignment horizontal="right" vertical="center"/>
    </xf>
    <xf numFmtId="165" fontId="10" fillId="36" borderId="163" xfId="0" applyNumberFormat="1" applyFont="1" applyFill="1" applyBorder="1" applyAlignment="1">
      <alignment horizontal="right" vertical="center"/>
    </xf>
    <xf numFmtId="0" fontId="40" fillId="0" borderId="0" xfId="0" applyFont="1" applyAlignment="1">
      <alignment vertical="center"/>
    </xf>
    <xf numFmtId="0" fontId="67" fillId="0" borderId="0" xfId="0" applyFont="1" applyAlignment="1">
      <alignment horizontal="right" vertical="center"/>
    </xf>
    <xf numFmtId="0" fontId="40" fillId="0" borderId="0" xfId="0" applyFont="1" applyAlignment="1">
      <alignment horizontal="center" vertical="center"/>
    </xf>
    <xf numFmtId="0" fontId="40" fillId="0" borderId="52" xfId="0" applyFont="1" applyBorder="1" applyAlignment="1">
      <alignment horizontal="left" vertical="center" wrapText="1"/>
    </xf>
    <xf numFmtId="0" fontId="139" fillId="41" borderId="1" xfId="0" applyFont="1" applyFill="1" applyBorder="1" applyAlignment="1">
      <alignment vertical="center"/>
    </xf>
    <xf numFmtId="0" fontId="141" fillId="41" borderId="1" xfId="0" applyFont="1" applyFill="1" applyBorder="1" applyAlignment="1">
      <alignment horizontal="left" vertical="center"/>
    </xf>
    <xf numFmtId="0" fontId="141" fillId="41" borderId="1" xfId="0" applyFont="1" applyFill="1" applyBorder="1" applyAlignment="1">
      <alignment horizontal="right" vertical="center"/>
    </xf>
    <xf numFmtId="0" fontId="141" fillId="41" borderId="1" xfId="0" applyFont="1" applyFill="1" applyBorder="1" applyAlignment="1">
      <alignment horizontal="center" vertical="center"/>
    </xf>
    <xf numFmtId="0" fontId="141" fillId="41" borderId="25" xfId="0" applyFont="1" applyFill="1" applyBorder="1" applyAlignment="1">
      <alignment horizontal="left" vertical="center"/>
    </xf>
    <xf numFmtId="0" fontId="142" fillId="0" borderId="0" xfId="0" applyFont="1" applyAlignment="1">
      <alignment vertical="center"/>
    </xf>
    <xf numFmtId="0" fontId="142" fillId="0" borderId="0" xfId="0" applyFont="1" applyAlignment="1">
      <alignment horizontal="left" vertical="center"/>
    </xf>
    <xf numFmtId="0" fontId="142" fillId="0" borderId="0" xfId="0" applyFont="1" applyAlignment="1">
      <alignment horizontal="right" vertical="center"/>
    </xf>
    <xf numFmtId="0" fontId="142" fillId="0" borderId="0" xfId="0" applyFont="1" applyAlignment="1">
      <alignment horizontal="center" vertical="center"/>
    </xf>
    <xf numFmtId="0" fontId="142" fillId="0" borderId="52" xfId="0" applyFont="1" applyBorder="1" applyAlignment="1">
      <alignment horizontal="left" vertical="center"/>
    </xf>
    <xf numFmtId="0" fontId="67" fillId="0" borderId="0" xfId="0" applyFont="1" applyAlignment="1">
      <alignment horizontal="center"/>
    </xf>
    <xf numFmtId="0" fontId="139" fillId="23" borderId="188" xfId="0" applyFont="1" applyFill="1" applyBorder="1" applyAlignment="1">
      <alignment vertical="center"/>
    </xf>
    <xf numFmtId="0" fontId="143" fillId="0" borderId="0" xfId="0" applyFont="1" applyAlignment="1">
      <alignment vertical="center"/>
    </xf>
    <xf numFmtId="167" fontId="10" fillId="36" borderId="163" xfId="0" applyNumberFormat="1" applyFont="1" applyFill="1" applyBorder="1" applyAlignment="1">
      <alignment horizontal="right" vertical="center"/>
    </xf>
    <xf numFmtId="1" fontId="10" fillId="36" borderId="163" xfId="0" applyNumberFormat="1" applyFont="1" applyFill="1" applyBorder="1" applyAlignment="1">
      <alignment horizontal="right" vertical="center"/>
    </xf>
    <xf numFmtId="0" fontId="125" fillId="0" borderId="0" xfId="0" applyFont="1" applyAlignment="1">
      <alignment vertical="center"/>
    </xf>
    <xf numFmtId="0" fontId="144" fillId="0" borderId="0" xfId="0" applyFont="1" applyAlignment="1">
      <alignment vertical="center"/>
    </xf>
    <xf numFmtId="0" fontId="105" fillId="0" borderId="67" xfId="0" applyFont="1" applyBorder="1" applyAlignment="1">
      <alignment vertical="center"/>
    </xf>
    <xf numFmtId="0" fontId="105" fillId="0" borderId="67" xfId="0" applyFont="1" applyBorder="1" applyAlignment="1">
      <alignment horizontal="left" vertical="center"/>
    </xf>
    <xf numFmtId="0" fontId="10" fillId="0" borderId="67" xfId="0" applyFont="1" applyBorder="1" applyAlignment="1">
      <alignment horizontal="right" vertical="center"/>
    </xf>
    <xf numFmtId="0" fontId="105" fillId="0" borderId="67" xfId="0" applyFont="1" applyBorder="1" applyAlignment="1">
      <alignment horizontal="center" vertical="center"/>
    </xf>
    <xf numFmtId="0" fontId="139" fillId="23" borderId="189" xfId="0" applyFont="1" applyFill="1" applyBorder="1" applyAlignment="1">
      <alignment horizontal="center" vertical="center"/>
    </xf>
    <xf numFmtId="0" fontId="139" fillId="23" borderId="20" xfId="0" applyFont="1" applyFill="1" applyBorder="1" applyAlignment="1">
      <alignment horizontal="left" vertical="center" wrapText="1"/>
    </xf>
    <xf numFmtId="0" fontId="10" fillId="0" borderId="20" xfId="0" applyFont="1" applyBorder="1" applyAlignment="1">
      <alignment horizontal="center"/>
    </xf>
    <xf numFmtId="0" fontId="83" fillId="0" borderId="20" xfId="0" applyFont="1" applyBorder="1"/>
    <xf numFmtId="0" fontId="83" fillId="0" borderId="27" xfId="0" applyFont="1" applyBorder="1"/>
    <xf numFmtId="0" fontId="83" fillId="0" borderId="52" xfId="0" applyFont="1" applyBorder="1"/>
    <xf numFmtId="0" fontId="40" fillId="9" borderId="1" xfId="0" applyFont="1" applyFill="1" applyBorder="1" applyAlignment="1">
      <alignment vertical="center"/>
    </xf>
    <xf numFmtId="0" fontId="40" fillId="9" borderId="1" xfId="0" applyFont="1" applyFill="1" applyBorder="1" applyAlignment="1">
      <alignment horizontal="left" vertical="center"/>
    </xf>
    <xf numFmtId="0" fontId="67" fillId="9" borderId="1" xfId="0" applyFont="1" applyFill="1" applyBorder="1" applyAlignment="1">
      <alignment horizontal="right" vertical="center"/>
    </xf>
    <xf numFmtId="0" fontId="40" fillId="9" borderId="2" xfId="0" applyFont="1" applyFill="1" applyBorder="1" applyAlignment="1">
      <alignment horizontal="center" vertical="center"/>
    </xf>
    <xf numFmtId="0" fontId="40" fillId="9" borderId="0" xfId="0" applyFont="1" applyFill="1" applyAlignment="1">
      <alignment horizontal="left" vertical="center" wrapText="1"/>
    </xf>
    <xf numFmtId="0" fontId="40" fillId="9" borderId="3" xfId="0" applyFont="1" applyFill="1" applyBorder="1" applyAlignment="1">
      <alignment horizontal="center" vertical="center"/>
    </xf>
    <xf numFmtId="0" fontId="40" fillId="9" borderId="1" xfId="0" applyFont="1" applyFill="1" applyBorder="1" applyAlignment="1">
      <alignment horizontal="right" vertical="center"/>
    </xf>
    <xf numFmtId="0" fontId="40" fillId="9" borderId="25" xfId="0" applyFont="1" applyFill="1" applyBorder="1" applyAlignment="1">
      <alignment horizontal="right" vertical="center"/>
    </xf>
    <xf numFmtId="0" fontId="105" fillId="0" borderId="0" xfId="0" applyFont="1" applyAlignment="1">
      <alignment horizontal="left" vertical="center" wrapText="1"/>
    </xf>
    <xf numFmtId="0" fontId="105" fillId="0" borderId="0" xfId="0" applyFont="1" applyAlignment="1">
      <alignment horizontal="right" vertical="center"/>
    </xf>
    <xf numFmtId="0" fontId="105" fillId="0" borderId="52" xfId="0" applyFont="1" applyBorder="1" applyAlignment="1">
      <alignment horizontal="right" vertical="center"/>
    </xf>
    <xf numFmtId="168" fontId="105" fillId="0" borderId="0" xfId="0" applyNumberFormat="1" applyFont="1" applyAlignment="1">
      <alignment horizontal="center" vertical="center"/>
    </xf>
    <xf numFmtId="168" fontId="105" fillId="0" borderId="0" xfId="0" applyNumberFormat="1" applyFont="1" applyAlignment="1">
      <alignment horizontal="left" vertical="center" wrapText="1"/>
    </xf>
    <xf numFmtId="168" fontId="105" fillId="0" borderId="0" xfId="0" applyNumberFormat="1" applyFont="1" applyAlignment="1">
      <alignment horizontal="right" vertical="center"/>
    </xf>
    <xf numFmtId="168" fontId="105" fillId="0" borderId="52" xfId="0" applyNumberFormat="1" applyFont="1" applyBorder="1" applyAlignment="1">
      <alignment horizontal="right" vertical="center"/>
    </xf>
    <xf numFmtId="3" fontId="10" fillId="0" borderId="0" xfId="0" applyNumberFormat="1" applyFont="1" applyAlignment="1">
      <alignment horizontal="right" vertical="center"/>
    </xf>
    <xf numFmtId="3" fontId="105" fillId="0" borderId="0" xfId="0" applyNumberFormat="1" applyFont="1" applyAlignment="1">
      <alignment horizontal="center" vertical="center"/>
    </xf>
    <xf numFmtId="3" fontId="105" fillId="0" borderId="0" xfId="0" applyNumberFormat="1" applyFont="1" applyAlignment="1">
      <alignment horizontal="left" vertical="center" wrapText="1"/>
    </xf>
    <xf numFmtId="3" fontId="105" fillId="0" borderId="0" xfId="0" applyNumberFormat="1" applyFont="1" applyAlignment="1">
      <alignment horizontal="right" vertical="center"/>
    </xf>
    <xf numFmtId="3" fontId="105" fillId="0" borderId="52" xfId="0" applyNumberFormat="1" applyFont="1" applyBorder="1" applyAlignment="1">
      <alignment horizontal="right" vertical="center"/>
    </xf>
    <xf numFmtId="168" fontId="40" fillId="0" borderId="0" xfId="0" applyNumberFormat="1" applyFont="1" applyAlignment="1">
      <alignment horizontal="center" vertical="center"/>
    </xf>
    <xf numFmtId="168" fontId="40" fillId="0" borderId="0" xfId="0" applyNumberFormat="1" applyFont="1" applyAlignment="1">
      <alignment horizontal="left" vertical="center" wrapText="1"/>
    </xf>
    <xf numFmtId="168" fontId="40" fillId="0" borderId="0" xfId="0" applyNumberFormat="1" applyFont="1" applyAlignment="1">
      <alignment vertical="center"/>
    </xf>
    <xf numFmtId="0" fontId="139" fillId="23" borderId="20" xfId="0" applyFont="1" applyFill="1" applyBorder="1" applyAlignment="1">
      <alignment vertical="center"/>
    </xf>
    <xf numFmtId="0" fontId="139" fillId="23" borderId="20" xfId="0" applyFont="1" applyFill="1" applyBorder="1" applyAlignment="1">
      <alignment horizontal="left" vertical="center"/>
    </xf>
    <xf numFmtId="0" fontId="67" fillId="23" borderId="20" xfId="0" applyFont="1" applyFill="1" applyBorder="1" applyAlignment="1">
      <alignment horizontal="right" vertical="center"/>
    </xf>
    <xf numFmtId="0" fontId="139" fillId="23" borderId="20" xfId="0" applyFont="1" applyFill="1" applyBorder="1" applyAlignment="1">
      <alignment horizontal="center" vertical="center"/>
    </xf>
    <xf numFmtId="0" fontId="105" fillId="0" borderId="20" xfId="0" applyFont="1" applyBorder="1" applyAlignment="1">
      <alignment horizontal="center" vertical="center"/>
    </xf>
    <xf numFmtId="0" fontId="105" fillId="0" borderId="20" xfId="0" applyFont="1" applyBorder="1" applyAlignment="1">
      <alignment vertical="center"/>
    </xf>
    <xf numFmtId="0" fontId="40" fillId="21" borderId="0" xfId="0" applyFont="1" applyFill="1" applyAlignment="1">
      <alignment vertical="center"/>
    </xf>
    <xf numFmtId="0" fontId="40" fillId="21" borderId="0" xfId="0" applyFont="1" applyFill="1" applyAlignment="1">
      <alignment horizontal="left" vertical="center"/>
    </xf>
    <xf numFmtId="0" fontId="67" fillId="21" borderId="0" xfId="0" applyFont="1" applyFill="1" applyAlignment="1">
      <alignment vertical="center"/>
    </xf>
    <xf numFmtId="0" fontId="40" fillId="21" borderId="0" xfId="0" applyFont="1" applyFill="1" applyAlignment="1">
      <alignment vertical="center" wrapText="1"/>
    </xf>
    <xf numFmtId="0" fontId="40" fillId="21" borderId="0" xfId="0" applyFont="1" applyFill="1" applyAlignment="1">
      <alignment horizontal="center" vertical="center"/>
    </xf>
    <xf numFmtId="9" fontId="10" fillId="10" borderId="0" xfId="0" applyNumberFormat="1" applyFont="1" applyFill="1" applyAlignment="1">
      <alignment vertical="center"/>
    </xf>
    <xf numFmtId="9" fontId="105" fillId="10" borderId="0" xfId="0" applyNumberFormat="1" applyFont="1" applyFill="1" applyAlignment="1">
      <alignment vertical="center"/>
    </xf>
    <xf numFmtId="9" fontId="105" fillId="10" borderId="0" xfId="0" applyNumberFormat="1" applyFont="1" applyFill="1" applyAlignment="1">
      <alignment vertical="center" wrapText="1"/>
    </xf>
    <xf numFmtId="9" fontId="105" fillId="10" borderId="0" xfId="0" applyNumberFormat="1" applyFont="1" applyFill="1" applyAlignment="1">
      <alignment horizontal="center" vertical="center"/>
    </xf>
    <xf numFmtId="0" fontId="10" fillId="45" borderId="0" xfId="0" applyFont="1" applyFill="1" applyAlignment="1">
      <alignment vertical="center"/>
    </xf>
    <xf numFmtId="0" fontId="105" fillId="45" borderId="0" xfId="0" applyFont="1" applyFill="1" applyAlignment="1">
      <alignment vertical="center"/>
    </xf>
    <xf numFmtId="0" fontId="105" fillId="45" borderId="0" xfId="0" applyFont="1" applyFill="1" applyAlignment="1">
      <alignment vertical="center" wrapText="1"/>
    </xf>
    <xf numFmtId="0" fontId="105" fillId="45" borderId="0" xfId="0" applyFont="1" applyFill="1" applyAlignment="1">
      <alignment horizontal="center" vertical="center"/>
    </xf>
    <xf numFmtId="0" fontId="105" fillId="0" borderId="0" xfId="0" applyFont="1" applyAlignment="1">
      <alignment vertical="center" wrapText="1"/>
    </xf>
    <xf numFmtId="2" fontId="10" fillId="20" borderId="0" xfId="0" applyNumberFormat="1" applyFont="1" applyFill="1" applyAlignment="1">
      <alignment vertical="center"/>
    </xf>
    <xf numFmtId="0" fontId="10" fillId="0" borderId="67" xfId="0" applyFont="1" applyBorder="1" applyAlignment="1">
      <alignment vertical="center"/>
    </xf>
    <xf numFmtId="0" fontId="10" fillId="0" borderId="67" xfId="0" applyFont="1" applyBorder="1" applyAlignment="1">
      <alignment wrapText="1"/>
    </xf>
    <xf numFmtId="0" fontId="10" fillId="0" borderId="67" xfId="0" applyFont="1" applyBorder="1" applyAlignment="1">
      <alignment horizontal="center"/>
    </xf>
    <xf numFmtId="0" fontId="83" fillId="0" borderId="67" xfId="0" applyFont="1" applyBorder="1"/>
    <xf numFmtId="0" fontId="83" fillId="0" borderId="114" xfId="0" applyFont="1" applyBorder="1"/>
    <xf numFmtId="0" fontId="118" fillId="46" borderId="1" xfId="0" applyFont="1" applyFill="1" applyBorder="1"/>
    <xf numFmtId="0" fontId="74" fillId="46" borderId="1" xfId="0" applyFont="1" applyFill="1" applyBorder="1"/>
    <xf numFmtId="0" fontId="127" fillId="46" borderId="1" xfId="0" applyFont="1" applyFill="1" applyBorder="1"/>
    <xf numFmtId="0" fontId="145" fillId="46" borderId="25" xfId="0" applyFont="1" applyFill="1" applyBorder="1"/>
    <xf numFmtId="0" fontId="118" fillId="0" borderId="0" xfId="0" applyFont="1"/>
    <xf numFmtId="0" fontId="144" fillId="0" borderId="0" xfId="0" applyFont="1"/>
    <xf numFmtId="0" fontId="146" fillId="0" borderId="52" xfId="0" applyFont="1" applyBorder="1"/>
    <xf numFmtId="168" fontId="10" fillId="36" borderId="0" xfId="0" applyNumberFormat="1" applyFont="1" applyFill="1" applyAlignment="1">
      <alignment horizontal="right" vertical="center"/>
    </xf>
    <xf numFmtId="3" fontId="10" fillId="0" borderId="0" xfId="0" applyNumberFormat="1" applyFont="1" applyAlignment="1">
      <alignment horizontal="center"/>
    </xf>
    <xf numFmtId="0" fontId="138" fillId="40" borderId="191" xfId="0" applyFont="1" applyFill="1" applyBorder="1" applyAlignment="1">
      <alignment horizontal="right"/>
    </xf>
    <xf numFmtId="3" fontId="138" fillId="40" borderId="1" xfId="0" applyNumberFormat="1" applyFont="1" applyFill="1" applyBorder="1"/>
    <xf numFmtId="0" fontId="138" fillId="40" borderId="1" xfId="0" applyFont="1" applyFill="1" applyBorder="1"/>
    <xf numFmtId="0" fontId="118" fillId="0" borderId="192" xfId="0" applyFont="1" applyBorder="1"/>
    <xf numFmtId="0" fontId="144" fillId="0" borderId="192" xfId="0" applyFont="1" applyBorder="1"/>
    <xf numFmtId="0" fontId="138" fillId="40" borderId="193" xfId="0" applyFont="1" applyFill="1" applyBorder="1"/>
    <xf numFmtId="0" fontId="146" fillId="0" borderId="194" xfId="0" applyFont="1" applyBorder="1"/>
    <xf numFmtId="0" fontId="144" fillId="46" borderId="1" xfId="0" applyFont="1" applyFill="1" applyBorder="1" applyAlignment="1">
      <alignment horizontal="right"/>
    </xf>
    <xf numFmtId="0" fontId="118" fillId="46" borderId="1" xfId="0" applyFont="1" applyFill="1" applyBorder="1" applyAlignment="1">
      <alignment horizontal="right"/>
    </xf>
    <xf numFmtId="0" fontId="146" fillId="46" borderId="25" xfId="0" applyFont="1" applyFill="1" applyBorder="1" applyAlignment="1">
      <alignment horizontal="right"/>
    </xf>
    <xf numFmtId="3" fontId="137" fillId="40" borderId="1" xfId="0" applyNumberFormat="1" applyFont="1" applyFill="1" applyBorder="1" applyAlignment="1">
      <alignment horizontal="right"/>
    </xf>
    <xf numFmtId="3" fontId="138" fillId="40" borderId="1" xfId="0" applyNumberFormat="1" applyFont="1" applyFill="1" applyBorder="1" applyAlignment="1">
      <alignment horizontal="right"/>
    </xf>
    <xf numFmtId="3" fontId="120" fillId="40" borderId="25" xfId="0" applyNumberFormat="1" applyFont="1" applyFill="1" applyBorder="1" applyAlignment="1">
      <alignment horizontal="right"/>
    </xf>
    <xf numFmtId="0" fontId="118" fillId="0" borderId="67" xfId="0" applyFont="1" applyBorder="1"/>
    <xf numFmtId="0" fontId="137" fillId="40" borderId="68" xfId="0" applyFont="1" applyFill="1" applyBorder="1" applyAlignment="1">
      <alignment horizontal="right"/>
    </xf>
    <xf numFmtId="0" fontId="138" fillId="40" borderId="68" xfId="0" applyFont="1" applyFill="1" applyBorder="1" applyAlignment="1">
      <alignment horizontal="right"/>
    </xf>
    <xf numFmtId="0" fontId="120" fillId="40" borderId="69" xfId="0" applyFont="1" applyFill="1" applyBorder="1" applyAlignment="1">
      <alignment horizontal="right"/>
    </xf>
    <xf numFmtId="0" fontId="8" fillId="0" borderId="0" xfId="0" applyFont="1" applyAlignment="1">
      <alignment horizontal="center"/>
    </xf>
    <xf numFmtId="0" fontId="10" fillId="0" borderId="0" xfId="0" applyFont="1" applyAlignment="1">
      <alignment horizontal="center" wrapText="1"/>
    </xf>
    <xf numFmtId="181" fontId="147" fillId="0" borderId="0" xfId="0" applyNumberFormat="1" applyFont="1" applyAlignment="1">
      <alignment horizontal="center" vertical="center" wrapText="1"/>
    </xf>
    <xf numFmtId="0" fontId="147" fillId="0" borderId="0" xfId="0" applyFont="1" applyAlignment="1">
      <alignment horizontal="center" vertical="center" wrapText="1"/>
    </xf>
    <xf numFmtId="0" fontId="86" fillId="0" borderId="0" xfId="0" applyFont="1" applyAlignment="1">
      <alignment wrapText="1"/>
    </xf>
    <xf numFmtId="0" fontId="10" fillId="0" borderId="0" xfId="0" applyFont="1" applyAlignment="1">
      <alignment horizontal="center" vertical="center" wrapText="1"/>
    </xf>
    <xf numFmtId="3" fontId="148" fillId="47" borderId="132" xfId="0" applyNumberFormat="1" applyFont="1" applyFill="1" applyBorder="1" applyAlignment="1">
      <alignment horizontal="center" wrapText="1"/>
    </xf>
    <xf numFmtId="174" fontId="10" fillId="0" borderId="0" xfId="0" applyNumberFormat="1" applyFont="1" applyAlignment="1">
      <alignment horizontal="center" vertical="center" wrapText="1"/>
    </xf>
    <xf numFmtId="174" fontId="10" fillId="0" borderId="0" xfId="0" applyNumberFormat="1" applyFont="1" applyAlignment="1">
      <alignment vertical="center" wrapText="1"/>
    </xf>
    <xf numFmtId="10" fontId="10" fillId="0" borderId="0" xfId="0" applyNumberFormat="1" applyFont="1" applyAlignment="1">
      <alignment horizontal="center" wrapText="1"/>
    </xf>
    <xf numFmtId="0" fontId="105" fillId="47" borderId="132" xfId="0" applyFont="1" applyFill="1" applyBorder="1" applyAlignment="1">
      <alignment wrapText="1"/>
    </xf>
    <xf numFmtId="164" fontId="10" fillId="0" borderId="0" xfId="0" applyNumberFormat="1" applyFont="1" applyAlignment="1">
      <alignment wrapText="1"/>
    </xf>
    <xf numFmtId="174" fontId="10" fillId="0" borderId="132" xfId="0" applyNumberFormat="1" applyFont="1" applyBorder="1" applyAlignment="1">
      <alignment horizontal="right" vertical="center" wrapText="1"/>
    </xf>
    <xf numFmtId="0" fontId="149" fillId="0" borderId="0" xfId="0" applyFont="1" applyAlignment="1">
      <alignment horizontal="left" vertical="center" wrapText="1"/>
    </xf>
    <xf numFmtId="49" fontId="10" fillId="0" borderId="0" xfId="0" applyNumberFormat="1" applyFont="1" applyAlignment="1">
      <alignment horizontal="right" vertical="center" wrapText="1"/>
    </xf>
    <xf numFmtId="3" fontId="10" fillId="0" borderId="0" xfId="0" applyNumberFormat="1" applyFont="1" applyAlignment="1">
      <alignment horizontal="right" vertical="center" wrapText="1"/>
    </xf>
    <xf numFmtId="3" fontId="105" fillId="47" borderId="132" xfId="0" applyNumberFormat="1" applyFont="1" applyFill="1" applyBorder="1" applyAlignment="1">
      <alignment wrapText="1"/>
    </xf>
    <xf numFmtId="174" fontId="10" fillId="0" borderId="132" xfId="0" applyNumberFormat="1" applyFont="1" applyBorder="1" applyAlignment="1">
      <alignment vertical="center" wrapText="1"/>
    </xf>
    <xf numFmtId="0" fontId="86" fillId="0" borderId="0" xfId="0" applyFont="1" applyAlignment="1">
      <alignment horizontal="center" wrapText="1"/>
    </xf>
    <xf numFmtId="0" fontId="150" fillId="0" borderId="0" xfId="0" applyFont="1" applyAlignment="1">
      <alignment wrapText="1"/>
    </xf>
    <xf numFmtId="0" fontId="150" fillId="0" borderId="0" xfId="0" applyFont="1" applyAlignment="1">
      <alignment horizontal="right" vertical="center" wrapText="1"/>
    </xf>
    <xf numFmtId="164" fontId="150" fillId="0" borderId="0" xfId="0" applyNumberFormat="1" applyFont="1" applyAlignment="1">
      <alignment wrapText="1"/>
    </xf>
    <xf numFmtId="183" fontId="148" fillId="0" borderId="132" xfId="0" applyNumberFormat="1" applyFont="1" applyBorder="1" applyAlignment="1">
      <alignment wrapText="1"/>
    </xf>
    <xf numFmtId="0" fontId="150" fillId="0" borderId="0" xfId="0" applyFont="1" applyAlignment="1">
      <alignment horizontal="left" vertical="center" wrapText="1"/>
    </xf>
    <xf numFmtId="193" fontId="150" fillId="0" borderId="0" xfId="0" applyNumberFormat="1" applyFont="1" applyAlignment="1">
      <alignment vertical="center" wrapText="1"/>
    </xf>
    <xf numFmtId="174" fontId="67" fillId="0" borderId="0" xfId="0" applyNumberFormat="1" applyFont="1" applyAlignment="1">
      <alignment vertical="center" wrapText="1"/>
    </xf>
    <xf numFmtId="49" fontId="10" fillId="0" borderId="0" xfId="0" applyNumberFormat="1" applyFont="1" applyAlignment="1">
      <alignment vertical="center" wrapText="1"/>
    </xf>
    <xf numFmtId="174" fontId="67" fillId="0" borderId="132" xfId="0" applyNumberFormat="1" applyFont="1" applyBorder="1" applyAlignment="1">
      <alignment vertical="center" wrapText="1"/>
    </xf>
    <xf numFmtId="189" fontId="105" fillId="47" borderId="132" xfId="0" applyNumberFormat="1" applyFont="1" applyFill="1" applyBorder="1" applyAlignment="1">
      <alignment wrapText="1"/>
    </xf>
    <xf numFmtId="188" fontId="105" fillId="47" borderId="132" xfId="0" applyNumberFormat="1" applyFont="1" applyFill="1" applyBorder="1" applyAlignment="1">
      <alignment wrapText="1"/>
    </xf>
    <xf numFmtId="185" fontId="10" fillId="0" borderId="0" xfId="0" applyNumberFormat="1" applyFont="1" applyAlignment="1">
      <alignment wrapText="1"/>
    </xf>
    <xf numFmtId="0" fontId="151" fillId="0" borderId="0" xfId="0" applyFont="1" applyAlignment="1">
      <alignment horizontal="left" vertical="center" wrapText="1"/>
    </xf>
    <xf numFmtId="0" fontId="79" fillId="0" borderId="0" xfId="0" applyFont="1"/>
    <xf numFmtId="0" fontId="86" fillId="0" borderId="0" xfId="0" applyFont="1" applyAlignment="1">
      <alignment horizontal="left" vertical="center" wrapText="1"/>
    </xf>
    <xf numFmtId="193" fontId="86" fillId="0" borderId="0" xfId="0" applyNumberFormat="1" applyFont="1" applyAlignment="1">
      <alignment horizontal="center" vertical="center" wrapText="1"/>
    </xf>
    <xf numFmtId="0" fontId="79" fillId="0" borderId="0" xfId="0" applyFont="1" applyAlignment="1">
      <alignment horizontal="right" vertical="center"/>
    </xf>
    <xf numFmtId="9" fontId="148" fillId="47" borderId="132" xfId="0" applyNumberFormat="1" applyFont="1" applyFill="1" applyBorder="1" applyAlignment="1">
      <alignment horizontal="right" vertical="center" wrapText="1"/>
    </xf>
    <xf numFmtId="183" fontId="148" fillId="0" borderId="132" xfId="0" applyNumberFormat="1" applyFont="1" applyBorder="1"/>
    <xf numFmtId="0" fontId="52" fillId="48" borderId="0" xfId="0" applyFont="1" applyFill="1" applyAlignment="1">
      <alignment horizontal="left" vertical="center"/>
    </xf>
    <xf numFmtId="0" fontId="152" fillId="48" borderId="0" xfId="0" applyFont="1" applyFill="1"/>
    <xf numFmtId="0" fontId="153" fillId="0" borderId="0" xfId="0" applyFont="1"/>
    <xf numFmtId="0" fontId="154" fillId="0" borderId="0" xfId="0" applyFont="1"/>
    <xf numFmtId="193" fontId="80" fillId="0" borderId="0" xfId="0" applyNumberFormat="1" applyFont="1"/>
    <xf numFmtId="0" fontId="78" fillId="0" borderId="0" xfId="0" applyFont="1" applyAlignment="1">
      <alignment horizontal="left" vertical="center"/>
    </xf>
    <xf numFmtId="174" fontId="80" fillId="0" borderId="0" xfId="0" applyNumberFormat="1" applyFont="1"/>
    <xf numFmtId="183" fontId="80" fillId="0" borderId="0" xfId="0" applyNumberFormat="1" applyFont="1"/>
    <xf numFmtId="0" fontId="155" fillId="0" borderId="0" xfId="0" applyFont="1"/>
    <xf numFmtId="194" fontId="153" fillId="0" borderId="0" xfId="0" applyNumberFormat="1" applyFont="1"/>
    <xf numFmtId="193" fontId="86" fillId="0" borderId="0" xfId="0" applyNumberFormat="1" applyFont="1"/>
    <xf numFmtId="0" fontId="150" fillId="0" borderId="0" xfId="0" applyFont="1"/>
    <xf numFmtId="0" fontId="10" fillId="43" borderId="132" xfId="0" applyFont="1" applyFill="1" applyBorder="1" applyAlignment="1">
      <alignment vertical="center"/>
    </xf>
    <xf numFmtId="9" fontId="10" fillId="0" borderId="132" xfId="0" applyNumberFormat="1" applyFont="1" applyBorder="1" applyAlignment="1">
      <alignment vertical="center"/>
    </xf>
    <xf numFmtId="9" fontId="79" fillId="0" borderId="132" xfId="0" applyNumberFormat="1" applyFont="1" applyBorder="1"/>
    <xf numFmtId="182" fontId="10" fillId="0" borderId="0" xfId="0" applyNumberFormat="1" applyFont="1" applyAlignment="1">
      <alignment horizontal="center" vertical="center"/>
    </xf>
    <xf numFmtId="9" fontId="79" fillId="0" borderId="0" xfId="0" applyNumberFormat="1" applyFont="1"/>
    <xf numFmtId="0" fontId="156" fillId="26" borderId="0" xfId="0" applyFont="1" applyFill="1" applyAlignment="1">
      <alignment horizontal="left" vertical="center"/>
    </xf>
    <xf numFmtId="0" fontId="10" fillId="0" borderId="0" xfId="0" applyFont="1" applyAlignment="1">
      <alignment horizontal="left" wrapText="1"/>
    </xf>
    <xf numFmtId="0" fontId="10" fillId="26" borderId="1" xfId="0" applyFont="1" applyFill="1" applyBorder="1" applyAlignment="1">
      <alignment horizontal="left" vertical="center" wrapText="1"/>
    </xf>
    <xf numFmtId="0" fontId="67" fillId="26" borderId="0" xfId="0" applyFont="1" applyFill="1" applyAlignment="1">
      <alignment horizontal="center"/>
    </xf>
    <xf numFmtId="188" fontId="10" fillId="0" borderId="132" xfId="0" applyNumberFormat="1" applyFont="1" applyBorder="1" applyAlignment="1">
      <alignment horizontal="right" vertical="center"/>
    </xf>
    <xf numFmtId="174" fontId="10" fillId="0" borderId="195" xfId="0" applyNumberFormat="1" applyFont="1" applyBorder="1" applyAlignment="1">
      <alignment vertical="center" wrapText="1"/>
    </xf>
    <xf numFmtId="174" fontId="10" fillId="0" borderId="132" xfId="0" applyNumberFormat="1" applyFont="1" applyBorder="1" applyAlignment="1">
      <alignment vertical="center"/>
    </xf>
    <xf numFmtId="174" fontId="10" fillId="0" borderId="196" xfId="0" applyNumberFormat="1" applyFont="1" applyBorder="1" applyAlignment="1">
      <alignment vertical="center" wrapText="1"/>
    </xf>
    <xf numFmtId="174" fontId="131" fillId="0" borderId="132" xfId="0" applyNumberFormat="1" applyFont="1" applyBorder="1" applyAlignment="1">
      <alignment vertical="center" wrapText="1"/>
    </xf>
    <xf numFmtId="0" fontId="150" fillId="0" borderId="0" xfId="0" applyFont="1" applyAlignment="1">
      <alignment horizontal="left" vertical="center"/>
    </xf>
    <xf numFmtId="0" fontId="150" fillId="0" borderId="0" xfId="0" applyFont="1" applyAlignment="1">
      <alignment horizontal="right"/>
    </xf>
    <xf numFmtId="0" fontId="150" fillId="0" borderId="0" xfId="0" applyFont="1" applyAlignment="1">
      <alignment horizontal="right" vertical="center"/>
    </xf>
    <xf numFmtId="0" fontId="157" fillId="0" borderId="0" xfId="0" applyFont="1" applyAlignment="1">
      <alignment horizontal="left" vertical="center"/>
    </xf>
    <xf numFmtId="0" fontId="150" fillId="0" borderId="132" xfId="0" applyFont="1" applyBorder="1" applyAlignment="1">
      <alignment horizontal="left" vertical="center"/>
    </xf>
    <xf numFmtId="0" fontId="150" fillId="0" borderId="132" xfId="0" applyFont="1" applyBorder="1"/>
    <xf numFmtId="0" fontId="150" fillId="0" borderId="132" xfId="0" applyFont="1" applyBorder="1" applyAlignment="1">
      <alignment horizontal="right"/>
    </xf>
    <xf numFmtId="183" fontId="148" fillId="43" borderId="132" xfId="0" applyNumberFormat="1" applyFont="1" applyFill="1" applyBorder="1" applyAlignment="1">
      <alignment wrapText="1"/>
    </xf>
    <xf numFmtId="0" fontId="147" fillId="0" borderId="132" xfId="0" applyFont="1" applyBorder="1" applyAlignment="1">
      <alignment horizontal="left" vertical="center"/>
    </xf>
    <xf numFmtId="0" fontId="147" fillId="0" borderId="132" xfId="0" applyFont="1" applyBorder="1"/>
    <xf numFmtId="0" fontId="147" fillId="0" borderId="132" xfId="0" applyFont="1" applyBorder="1" applyAlignment="1">
      <alignment horizontal="right"/>
    </xf>
    <xf numFmtId="183" fontId="158" fillId="0" borderId="132" xfId="0" applyNumberFormat="1" applyFont="1" applyBorder="1" applyAlignment="1">
      <alignment wrapText="1"/>
    </xf>
    <xf numFmtId="183" fontId="158" fillId="43" borderId="132" xfId="0" applyNumberFormat="1" applyFont="1" applyFill="1" applyBorder="1" applyAlignment="1">
      <alignment wrapText="1"/>
    </xf>
    <xf numFmtId="0" fontId="150" fillId="0" borderId="132" xfId="0" applyFont="1" applyBorder="1" applyAlignment="1">
      <alignment horizontal="left"/>
    </xf>
    <xf numFmtId="183" fontId="148" fillId="0" borderId="132" xfId="0" applyNumberFormat="1" applyFont="1" applyBorder="1" applyAlignment="1">
      <alignment horizontal="left" wrapText="1"/>
    </xf>
    <xf numFmtId="0" fontId="147" fillId="0" borderId="195" xfId="0" applyFont="1" applyBorder="1"/>
    <xf numFmtId="0" fontId="147" fillId="0" borderId="195" xfId="0" applyFont="1" applyBorder="1" applyAlignment="1">
      <alignment horizontal="right"/>
    </xf>
    <xf numFmtId="183" fontId="158" fillId="0" borderId="195" xfId="0" applyNumberFormat="1" applyFont="1" applyBorder="1" applyAlignment="1">
      <alignment wrapText="1"/>
    </xf>
    <xf numFmtId="0" fontId="147" fillId="0" borderId="0" xfId="0" applyFont="1" applyAlignment="1">
      <alignment horizontal="left" vertical="center"/>
    </xf>
    <xf numFmtId="0" fontId="108" fillId="48" borderId="0" xfId="0" applyFont="1" applyFill="1"/>
    <xf numFmtId="0" fontId="159" fillId="48" borderId="0" xfId="0" applyFont="1" applyFill="1"/>
    <xf numFmtId="0" fontId="160" fillId="0" borderId="0" xfId="0" applyFont="1"/>
    <xf numFmtId="0" fontId="161" fillId="0" borderId="0" xfId="0" applyFont="1" applyAlignment="1">
      <alignment horizontal="right" vertical="center"/>
    </xf>
    <xf numFmtId="174" fontId="161" fillId="0" borderId="0" xfId="0" applyNumberFormat="1" applyFont="1" applyAlignment="1">
      <alignment horizontal="right" vertical="center"/>
    </xf>
    <xf numFmtId="0" fontId="161" fillId="0" borderId="0" xfId="0" applyFont="1" applyAlignment="1">
      <alignment horizontal="right"/>
    </xf>
    <xf numFmtId="0" fontId="162" fillId="0" borderId="0" xfId="0" applyFont="1"/>
    <xf numFmtId="174" fontId="163" fillId="0" borderId="0" xfId="0" applyNumberFormat="1" applyFont="1"/>
    <xf numFmtId="0" fontId="163" fillId="0" borderId="0" xfId="0" applyFont="1"/>
    <xf numFmtId="0" fontId="164" fillId="0" borderId="0" xfId="0" applyFont="1"/>
    <xf numFmtId="183" fontId="163" fillId="0" borderId="0" xfId="0" applyNumberFormat="1" applyFont="1"/>
    <xf numFmtId="174" fontId="160" fillId="0" borderId="0" xfId="0" applyNumberFormat="1" applyFont="1"/>
    <xf numFmtId="174" fontId="162" fillId="0" borderId="0" xfId="0" applyNumberFormat="1" applyFont="1"/>
    <xf numFmtId="0" fontId="86" fillId="0" borderId="0" xfId="0" applyFont="1"/>
    <xf numFmtId="195" fontId="163" fillId="0" borderId="0" xfId="0" applyNumberFormat="1" applyFont="1"/>
    <xf numFmtId="195" fontId="162" fillId="0" borderId="0" xfId="0" applyNumberFormat="1" applyFont="1"/>
    <xf numFmtId="0" fontId="67" fillId="49" borderId="1" xfId="0" applyFont="1" applyFill="1" applyBorder="1" applyAlignment="1">
      <alignment vertical="center"/>
    </xf>
    <xf numFmtId="0" fontId="10" fillId="49" borderId="1" xfId="0" applyFont="1" applyFill="1" applyBorder="1" applyAlignment="1">
      <alignment horizontal="center" vertical="center"/>
    </xf>
    <xf numFmtId="0" fontId="40" fillId="0" borderId="0" xfId="0" applyFont="1"/>
    <xf numFmtId="196" fontId="105" fillId="0" borderId="0" xfId="0" applyNumberFormat="1" applyFont="1" applyAlignment="1">
      <alignment horizontal="center" vertical="center"/>
    </xf>
    <xf numFmtId="185" fontId="40" fillId="0" borderId="0" xfId="0" applyNumberFormat="1" applyFont="1" applyAlignment="1">
      <alignment horizontal="center" vertical="center"/>
    </xf>
    <xf numFmtId="174" fontId="10" fillId="0" borderId="0" xfId="0" applyNumberFormat="1" applyFont="1" applyAlignment="1">
      <alignment horizontal="left" vertical="center"/>
    </xf>
    <xf numFmtId="174" fontId="10" fillId="50" borderId="1" xfId="0" applyNumberFormat="1" applyFont="1" applyFill="1" applyBorder="1" applyAlignment="1">
      <alignment vertical="center"/>
    </xf>
    <xf numFmtId="174" fontId="67" fillId="0" borderId="0" xfId="0" applyNumberFormat="1" applyFont="1" applyAlignment="1">
      <alignment horizontal="left" vertical="center"/>
    </xf>
    <xf numFmtId="174" fontId="67" fillId="36" borderId="197" xfId="0" applyNumberFormat="1" applyFont="1" applyFill="1" applyBorder="1" applyAlignment="1">
      <alignment vertical="center"/>
    </xf>
    <xf numFmtId="185" fontId="79" fillId="0" borderId="0" xfId="0" applyNumberFormat="1" applyFont="1"/>
    <xf numFmtId="174" fontId="10" fillId="0" borderId="0" xfId="0" applyNumberFormat="1" applyFont="1" applyAlignment="1">
      <alignment horizontal="left" vertical="center" wrapText="1"/>
    </xf>
    <xf numFmtId="0" fontId="91" fillId="5" borderId="0" xfId="0" applyFont="1" applyFill="1" applyAlignment="1">
      <alignment horizontal="left" vertical="center"/>
    </xf>
    <xf numFmtId="174" fontId="10" fillId="49" borderId="1" xfId="0" applyNumberFormat="1" applyFont="1" applyFill="1" applyBorder="1" applyAlignment="1">
      <alignment horizontal="center" vertical="center"/>
    </xf>
    <xf numFmtId="0" fontId="165" fillId="51" borderId="1" xfId="0" applyFont="1" applyFill="1" applyBorder="1" applyAlignment="1">
      <alignment vertical="center"/>
    </xf>
    <xf numFmtId="0" fontId="40" fillId="26" borderId="0" xfId="0" applyFont="1" applyFill="1" applyAlignment="1">
      <alignment horizontal="left" vertical="center"/>
    </xf>
    <xf numFmtId="0" fontId="166" fillId="51" borderId="1" xfId="0" applyFont="1" applyFill="1" applyBorder="1" applyAlignment="1">
      <alignment horizontal="center" vertical="center"/>
    </xf>
    <xf numFmtId="0" fontId="6" fillId="51" borderId="1" xfId="0" applyFont="1" applyFill="1" applyBorder="1" applyAlignment="1">
      <alignment horizontal="center" vertical="center"/>
    </xf>
    <xf numFmtId="174" fontId="67" fillId="0" borderId="0" xfId="0" applyNumberFormat="1" applyFont="1" applyAlignment="1">
      <alignment horizontal="center" vertical="center" wrapText="1"/>
    </xf>
    <xf numFmtId="174" fontId="167" fillId="52" borderId="1" xfId="0" applyNumberFormat="1" applyFont="1" applyFill="1" applyBorder="1" applyAlignment="1">
      <alignment horizontal="right"/>
    </xf>
    <xf numFmtId="191" fontId="79" fillId="50" borderId="1" xfId="0" applyNumberFormat="1" applyFont="1" applyFill="1" applyBorder="1"/>
    <xf numFmtId="191" fontId="79" fillId="53" borderId="1" xfId="0" applyNumberFormat="1" applyFont="1" applyFill="1" applyBorder="1" applyAlignment="1">
      <alignment horizontal="left"/>
    </xf>
    <xf numFmtId="191" fontId="79" fillId="54" borderId="1" xfId="0" applyNumberFormat="1" applyFont="1" applyFill="1" applyBorder="1" applyAlignment="1">
      <alignment horizontal="center" vertical="center"/>
    </xf>
    <xf numFmtId="191" fontId="79" fillId="54" borderId="1" xfId="0" applyNumberFormat="1" applyFont="1" applyFill="1" applyBorder="1"/>
    <xf numFmtId="191" fontId="79" fillId="55" borderId="1" xfId="0" applyNumberFormat="1" applyFont="1" applyFill="1" applyBorder="1" applyAlignment="1">
      <alignment horizontal="center" vertical="center"/>
    </xf>
    <xf numFmtId="191" fontId="79" fillId="56" borderId="1" xfId="0" applyNumberFormat="1" applyFont="1" applyFill="1" applyBorder="1" applyAlignment="1">
      <alignment horizontal="center" vertical="center"/>
    </xf>
    <xf numFmtId="193" fontId="142" fillId="52" borderId="1" xfId="0" applyNumberFormat="1" applyFont="1" applyFill="1" applyBorder="1"/>
    <xf numFmtId="191" fontId="79" fillId="53" borderId="1" xfId="0" applyNumberFormat="1" applyFont="1" applyFill="1" applyBorder="1" applyAlignment="1">
      <alignment horizontal="left" vertical="center"/>
    </xf>
    <xf numFmtId="191" fontId="79" fillId="53" borderId="1" xfId="0" applyNumberFormat="1" applyFont="1" applyFill="1" applyBorder="1" applyAlignment="1">
      <alignment horizontal="left" vertical="top"/>
    </xf>
    <xf numFmtId="191" fontId="79" fillId="55" borderId="1" xfId="0" applyNumberFormat="1" applyFont="1" applyFill="1" applyBorder="1"/>
    <xf numFmtId="191" fontId="79" fillId="56" borderId="1" xfId="0" applyNumberFormat="1" applyFont="1" applyFill="1" applyBorder="1"/>
    <xf numFmtId="3" fontId="6" fillId="0" borderId="0" xfId="0" applyNumberFormat="1" applyFont="1" applyAlignment="1">
      <alignment horizontal="right"/>
    </xf>
    <xf numFmtId="174" fontId="6" fillId="0" borderId="0" xfId="0" applyNumberFormat="1" applyFont="1" applyAlignment="1">
      <alignment horizontal="right"/>
    </xf>
    <xf numFmtId="0" fontId="79" fillId="0" borderId="0" xfId="0" applyFont="1" applyAlignment="1">
      <alignment horizontal="left" vertical="center"/>
    </xf>
    <xf numFmtId="0" fontId="168" fillId="0" borderId="0" xfId="0" applyFont="1" applyAlignment="1">
      <alignment horizontal="left" vertical="center"/>
    </xf>
    <xf numFmtId="191" fontId="86" fillId="57" borderId="197" xfId="0" applyNumberFormat="1" applyFont="1" applyFill="1" applyBorder="1"/>
    <xf numFmtId="0" fontId="40" fillId="26" borderId="0" xfId="0" applyFont="1" applyFill="1" applyAlignment="1">
      <alignment vertical="center"/>
    </xf>
    <xf numFmtId="193" fontId="79" fillId="54" borderId="1" xfId="0" applyNumberFormat="1" applyFont="1" applyFill="1" applyBorder="1" applyAlignment="1">
      <alignment horizontal="center"/>
    </xf>
    <xf numFmtId="193" fontId="79" fillId="55" borderId="1" xfId="0" applyNumberFormat="1" applyFont="1" applyFill="1" applyBorder="1" applyAlignment="1">
      <alignment horizontal="center"/>
    </xf>
    <xf numFmtId="193" fontId="7" fillId="55" borderId="1" xfId="0" applyNumberFormat="1" applyFont="1" applyFill="1" applyBorder="1" applyAlignment="1">
      <alignment horizontal="center"/>
    </xf>
    <xf numFmtId="193" fontId="79" fillId="56" borderId="1" xfId="0" applyNumberFormat="1" applyFont="1" applyFill="1" applyBorder="1" applyAlignment="1">
      <alignment horizontal="center"/>
    </xf>
    <xf numFmtId="174" fontId="167" fillId="0" borderId="0" xfId="0" applyNumberFormat="1" applyFont="1" applyAlignment="1">
      <alignment horizontal="right"/>
    </xf>
    <xf numFmtId="0" fontId="168" fillId="0" borderId="0" xfId="0" applyFont="1"/>
    <xf numFmtId="191" fontId="7" fillId="55" borderId="1" xfId="0" applyNumberFormat="1" applyFont="1" applyFill="1" applyBorder="1"/>
    <xf numFmtId="197" fontId="79" fillId="56" borderId="1" xfId="0" applyNumberFormat="1" applyFont="1" applyFill="1" applyBorder="1"/>
    <xf numFmtId="174" fontId="169" fillId="0" borderId="0" xfId="0" applyNumberFormat="1" applyFont="1" applyAlignment="1">
      <alignment horizontal="left" vertical="center"/>
    </xf>
    <xf numFmtId="0" fontId="79" fillId="0" borderId="0" xfId="0" applyFont="1" applyAlignment="1">
      <alignment horizontal="left"/>
    </xf>
    <xf numFmtId="193" fontId="79" fillId="54" borderId="1" xfId="0" applyNumberFormat="1" applyFont="1" applyFill="1" applyBorder="1"/>
    <xf numFmtId="192" fontId="79" fillId="54" borderId="1" xfId="0" applyNumberFormat="1" applyFont="1" applyFill="1" applyBorder="1"/>
    <xf numFmtId="192" fontId="79" fillId="55" borderId="1" xfId="0" applyNumberFormat="1" applyFont="1" applyFill="1" applyBorder="1"/>
    <xf numFmtId="193" fontId="79" fillId="55" borderId="1" xfId="0" applyNumberFormat="1" applyFont="1" applyFill="1" applyBorder="1"/>
    <xf numFmtId="193" fontId="79" fillId="56" borderId="1" xfId="0" applyNumberFormat="1" applyFont="1" applyFill="1" applyBorder="1"/>
    <xf numFmtId="192" fontId="79" fillId="56" borderId="1" xfId="0" applyNumberFormat="1" applyFont="1" applyFill="1" applyBorder="1"/>
    <xf numFmtId="193" fontId="79" fillId="55" borderId="1" xfId="0" applyNumberFormat="1" applyFont="1" applyFill="1" applyBorder="1" applyAlignment="1">
      <alignment horizontal="left"/>
    </xf>
    <xf numFmtId="0" fontId="8" fillId="0" borderId="0" xfId="0" applyFont="1" applyAlignment="1">
      <alignment horizontal="left" vertical="center"/>
    </xf>
    <xf numFmtId="191" fontId="86" fillId="58" borderId="1" xfId="0" applyNumberFormat="1" applyFont="1" applyFill="1" applyBorder="1" applyAlignment="1">
      <alignment horizontal="left" vertical="center"/>
    </xf>
    <xf numFmtId="0" fontId="142" fillId="26" borderId="0" xfId="0" applyFont="1" applyFill="1"/>
    <xf numFmtId="0" fontId="67" fillId="26" borderId="0" xfId="0" applyFont="1" applyFill="1" applyAlignment="1">
      <alignment vertical="center"/>
    </xf>
    <xf numFmtId="191" fontId="79" fillId="59" borderId="1" xfId="0" applyNumberFormat="1" applyFont="1" applyFill="1" applyBorder="1"/>
    <xf numFmtId="9" fontId="10" fillId="0" borderId="0" xfId="0" applyNumberFormat="1" applyFont="1" applyAlignment="1">
      <alignment vertical="center"/>
    </xf>
    <xf numFmtId="191" fontId="79" fillId="0" borderId="0" xfId="0" applyNumberFormat="1" applyFont="1"/>
    <xf numFmtId="174" fontId="67" fillId="57" borderId="0" xfId="0" applyNumberFormat="1" applyFont="1" applyFill="1" applyAlignment="1">
      <alignment horizontal="right" vertical="center"/>
    </xf>
    <xf numFmtId="174" fontId="67" fillId="36" borderId="1" xfId="0" applyNumberFormat="1" applyFont="1" applyFill="1" applyBorder="1" applyAlignment="1">
      <alignment vertical="center"/>
    </xf>
    <xf numFmtId="0" fontId="170" fillId="0" borderId="0" xfId="0" applyFont="1" applyAlignment="1">
      <alignment vertical="center" wrapText="1"/>
    </xf>
    <xf numFmtId="0" fontId="6" fillId="0" borderId="0" xfId="0" applyFont="1" applyAlignment="1">
      <alignment vertical="center"/>
    </xf>
    <xf numFmtId="0" fontId="171" fillId="0" borderId="0" xfId="0" applyFont="1" applyAlignment="1">
      <alignment horizontal="left" vertical="center"/>
    </xf>
    <xf numFmtId="191" fontId="86" fillId="0" borderId="0" xfId="0" applyNumberFormat="1" applyFont="1"/>
    <xf numFmtId="191" fontId="166" fillId="51" borderId="1" xfId="0" applyNumberFormat="1" applyFont="1" applyFill="1" applyBorder="1" applyAlignment="1">
      <alignment horizontal="center" vertical="center"/>
    </xf>
    <xf numFmtId="191" fontId="86" fillId="50" borderId="1" xfId="0" applyNumberFormat="1" applyFont="1" applyFill="1" applyBorder="1"/>
    <xf numFmtId="191" fontId="86" fillId="52" borderId="1" xfId="0" applyNumberFormat="1" applyFont="1" applyFill="1" applyBorder="1"/>
    <xf numFmtId="181" fontId="79" fillId="0" borderId="0" xfId="0" applyNumberFormat="1" applyFont="1" applyAlignment="1">
      <alignment horizontal="center"/>
    </xf>
    <xf numFmtId="190" fontId="86" fillId="50" borderId="1" xfId="0" applyNumberFormat="1" applyFont="1" applyFill="1" applyBorder="1"/>
    <xf numFmtId="191" fontId="79" fillId="0" borderId="0" xfId="0" applyNumberFormat="1" applyFont="1" applyAlignment="1">
      <alignment horizontal="left" vertical="center"/>
    </xf>
    <xf numFmtId="193" fontId="142" fillId="0" borderId="0" xfId="0" applyNumberFormat="1" applyFont="1"/>
    <xf numFmtId="0" fontId="86" fillId="50" borderId="1" xfId="0" applyFont="1" applyFill="1" applyBorder="1"/>
    <xf numFmtId="174" fontId="67" fillId="19" borderId="1" xfId="0" applyNumberFormat="1" applyFont="1" applyFill="1" applyBorder="1" applyAlignment="1">
      <alignment vertical="center"/>
    </xf>
    <xf numFmtId="0" fontId="91" fillId="60" borderId="1" xfId="0" applyFont="1" applyFill="1" applyBorder="1"/>
    <xf numFmtId="174" fontId="91" fillId="60" borderId="1" xfId="0" applyNumberFormat="1" applyFont="1" applyFill="1" applyBorder="1" applyAlignment="1">
      <alignment vertical="center"/>
    </xf>
    <xf numFmtId="0" fontId="144" fillId="0" borderId="0" xfId="0" applyFont="1" applyAlignment="1">
      <alignment horizontal="center"/>
    </xf>
    <xf numFmtId="176" fontId="10" fillId="44" borderId="198" xfId="0" applyNumberFormat="1" applyFont="1" applyFill="1" applyBorder="1"/>
    <xf numFmtId="176" fontId="10" fillId="44" borderId="199" xfId="0" applyNumberFormat="1" applyFont="1" applyFill="1" applyBorder="1"/>
    <xf numFmtId="168" fontId="10" fillId="44" borderId="199" xfId="0" applyNumberFormat="1" applyFont="1" applyFill="1" applyBorder="1" applyAlignment="1">
      <alignment horizontal="right" vertical="center" wrapText="1"/>
    </xf>
    <xf numFmtId="181" fontId="10" fillId="44" borderId="199" xfId="0" applyNumberFormat="1" applyFont="1" applyFill="1" applyBorder="1" applyAlignment="1">
      <alignment horizontal="right" vertical="center" wrapText="1"/>
    </xf>
    <xf numFmtId="1" fontId="10" fillId="44" borderId="199" xfId="0" applyNumberFormat="1" applyFont="1" applyFill="1" applyBorder="1"/>
    <xf numFmtId="10" fontId="10" fillId="44" borderId="200" xfId="0" applyNumberFormat="1" applyFont="1" applyFill="1" applyBorder="1"/>
    <xf numFmtId="0" fontId="52" fillId="33" borderId="1" xfId="0" applyFont="1" applyFill="1" applyBorder="1"/>
    <xf numFmtId="174" fontId="67" fillId="33" borderId="1" xfId="0" applyNumberFormat="1" applyFont="1" applyFill="1" applyBorder="1" applyAlignment="1">
      <alignment vertical="center"/>
    </xf>
    <xf numFmtId="0" fontId="67" fillId="23" borderId="1" xfId="0" applyFont="1" applyFill="1" applyBorder="1" applyAlignment="1">
      <alignment horizontal="center"/>
    </xf>
    <xf numFmtId="174" fontId="67" fillId="23" borderId="1" xfId="0" applyNumberFormat="1" applyFont="1" applyFill="1" applyBorder="1" applyAlignment="1">
      <alignment horizontal="center" vertical="center"/>
    </xf>
    <xf numFmtId="179" fontId="10" fillId="0" borderId="0" xfId="0" applyNumberFormat="1" applyFont="1" applyAlignment="1">
      <alignment vertical="center"/>
    </xf>
    <xf numFmtId="3" fontId="79" fillId="0" borderId="0" xfId="0" applyNumberFormat="1" applyFont="1" applyAlignment="1">
      <alignment horizontal="right" vertical="center" wrapText="1"/>
    </xf>
    <xf numFmtId="0" fontId="67" fillId="0" borderId="136" xfId="0" applyFont="1" applyBorder="1"/>
    <xf numFmtId="174" fontId="67" fillId="0" borderId="136" xfId="0" applyNumberFormat="1" applyFont="1" applyBorder="1" applyAlignment="1">
      <alignment horizontal="right" vertical="center" wrapText="1"/>
    </xf>
    <xf numFmtId="174" fontId="91" fillId="60" borderId="1" xfId="0" applyNumberFormat="1" applyFont="1" applyFill="1" applyBorder="1" applyAlignment="1">
      <alignment horizontal="right" vertical="center" wrapText="1"/>
    </xf>
    <xf numFmtId="0" fontId="67" fillId="10" borderId="201" xfId="0" applyFont="1" applyFill="1" applyBorder="1"/>
    <xf numFmtId="174" fontId="67" fillId="10" borderId="201" xfId="0" applyNumberFormat="1" applyFont="1" applyFill="1" applyBorder="1" applyAlignment="1">
      <alignment horizontal="right" vertical="center" wrapText="1"/>
    </xf>
    <xf numFmtId="174" fontId="67" fillId="33" borderId="1" xfId="0" applyNumberFormat="1" applyFont="1" applyFill="1" applyBorder="1" applyAlignment="1">
      <alignment horizontal="right" vertical="center" wrapText="1"/>
    </xf>
    <xf numFmtId="0" fontId="67" fillId="0" borderId="134" xfId="0" applyFont="1" applyBorder="1"/>
    <xf numFmtId="174" fontId="67" fillId="0" borderId="134" xfId="0" applyNumberFormat="1" applyFont="1" applyBorder="1" applyAlignment="1">
      <alignment horizontal="right" vertical="center" wrapText="1"/>
    </xf>
    <xf numFmtId="0" fontId="52" fillId="61" borderId="125" xfId="0" applyFont="1" applyFill="1" applyBorder="1"/>
    <xf numFmtId="0" fontId="52" fillId="61" borderId="117" xfId="0" applyFont="1" applyFill="1" applyBorder="1"/>
    <xf numFmtId="174" fontId="67" fillId="61" borderId="117" xfId="0" applyNumberFormat="1" applyFont="1" applyFill="1" applyBorder="1" applyAlignment="1">
      <alignment vertical="center"/>
    </xf>
    <xf numFmtId="174" fontId="67" fillId="61" borderId="118" xfId="0" applyNumberFormat="1" applyFont="1" applyFill="1" applyBorder="1" applyAlignment="1">
      <alignment vertical="center"/>
    </xf>
    <xf numFmtId="174" fontId="67" fillId="61" borderId="1" xfId="0" applyNumberFormat="1" applyFont="1" applyFill="1" applyBorder="1" applyAlignment="1">
      <alignment vertical="center"/>
    </xf>
    <xf numFmtId="0" fontId="10" fillId="20" borderId="127" xfId="0" applyFont="1" applyFill="1" applyBorder="1"/>
    <xf numFmtId="3" fontId="10" fillId="20" borderId="1" xfId="0" applyNumberFormat="1" applyFont="1" applyFill="1" applyBorder="1"/>
    <xf numFmtId="174" fontId="10" fillId="20" borderId="1" xfId="0" applyNumberFormat="1" applyFont="1" applyFill="1" applyBorder="1" applyAlignment="1">
      <alignment vertical="center"/>
    </xf>
    <xf numFmtId="174" fontId="10" fillId="20" borderId="15" xfId="0" applyNumberFormat="1" applyFont="1" applyFill="1" applyBorder="1" applyAlignment="1">
      <alignment vertical="center"/>
    </xf>
    <xf numFmtId="0" fontId="144" fillId="0" borderId="122" xfId="0" applyFont="1" applyBorder="1"/>
    <xf numFmtId="0" fontId="144" fillId="0" borderId="123" xfId="0" applyFont="1" applyBorder="1"/>
    <xf numFmtId="174" fontId="78" fillId="0" borderId="123" xfId="0" applyNumberFormat="1" applyFont="1" applyBorder="1" applyAlignment="1">
      <alignment vertical="center"/>
    </xf>
    <xf numFmtId="174" fontId="78" fillId="0" borderId="124" xfId="0" applyNumberFormat="1" applyFont="1" applyBorder="1" applyAlignment="1">
      <alignment vertical="center"/>
    </xf>
    <xf numFmtId="174" fontId="78" fillId="0" borderId="0" xfId="0" applyNumberFormat="1" applyFont="1" applyAlignment="1">
      <alignment vertical="center"/>
    </xf>
    <xf numFmtId="0" fontId="139" fillId="0" borderId="0" xfId="0" applyFont="1"/>
    <xf numFmtId="0" fontId="52" fillId="19" borderId="1" xfId="0" applyFont="1" applyFill="1" applyBorder="1" applyAlignment="1">
      <alignment horizontal="left" vertical="center" wrapText="1"/>
    </xf>
    <xf numFmtId="0" fontId="40" fillId="20" borderId="132" xfId="0" applyFont="1" applyFill="1" applyBorder="1" applyAlignment="1">
      <alignment horizontal="center" vertical="center"/>
    </xf>
    <xf numFmtId="0" fontId="67" fillId="22" borderId="1" xfId="0" applyFont="1" applyFill="1" applyBorder="1" applyAlignment="1">
      <alignment horizontal="left" vertical="center"/>
    </xf>
    <xf numFmtId="0" fontId="10" fillId="22" borderId="1" xfId="0" applyFont="1" applyFill="1" applyBorder="1"/>
    <xf numFmtId="0" fontId="40" fillId="22" borderId="132" xfId="0" applyFont="1" applyFill="1" applyBorder="1" applyAlignment="1">
      <alignment horizontal="left" vertical="center" wrapText="1"/>
    </xf>
    <xf numFmtId="0" fontId="40" fillId="22" borderId="132" xfId="0" applyFont="1" applyFill="1" applyBorder="1" applyAlignment="1">
      <alignment horizontal="center" vertical="center" wrapText="1"/>
    </xf>
    <xf numFmtId="2" fontId="10" fillId="10" borderId="132" xfId="0" applyNumberFormat="1" applyFont="1" applyFill="1" applyBorder="1" applyAlignment="1">
      <alignment horizontal="center" vertical="center" wrapText="1"/>
    </xf>
    <xf numFmtId="0" fontId="10" fillId="5" borderId="132" xfId="0" applyFont="1" applyFill="1" applyBorder="1" applyAlignment="1">
      <alignment horizontal="left" vertical="center" wrapText="1"/>
    </xf>
    <xf numFmtId="2" fontId="10" fillId="5" borderId="205" xfId="0" applyNumberFormat="1" applyFont="1" applyFill="1" applyBorder="1" applyAlignment="1">
      <alignment horizontal="center" vertical="center"/>
    </xf>
    <xf numFmtId="1" fontId="10" fillId="5" borderId="205" xfId="0" applyNumberFormat="1" applyFont="1" applyFill="1" applyBorder="1" applyAlignment="1">
      <alignment horizontal="center" vertical="center"/>
    </xf>
    <xf numFmtId="1" fontId="10" fillId="5" borderId="132" xfId="0" applyNumberFormat="1" applyFont="1" applyFill="1" applyBorder="1" applyAlignment="1">
      <alignment horizontal="center" vertical="center" wrapText="1"/>
    </xf>
    <xf numFmtId="1" fontId="10" fillId="10" borderId="132" xfId="0" applyNumberFormat="1" applyFont="1" applyFill="1" applyBorder="1" applyAlignment="1">
      <alignment horizontal="center" vertical="center" wrapText="1"/>
    </xf>
    <xf numFmtId="0" fontId="52" fillId="19" borderId="1" xfId="0" applyFont="1" applyFill="1" applyBorder="1" applyAlignment="1">
      <alignment horizontal="left" vertical="center"/>
    </xf>
    <xf numFmtId="0" fontId="10" fillId="19" borderId="1" xfId="0" applyFont="1" applyFill="1" applyBorder="1" applyAlignment="1">
      <alignment vertical="center"/>
    </xf>
    <xf numFmtId="0" fontId="67" fillId="19" borderId="1" xfId="0" applyFont="1" applyFill="1" applyBorder="1" applyAlignment="1">
      <alignment vertical="center"/>
    </xf>
    <xf numFmtId="168" fontId="10" fillId="0" borderId="206" xfId="0" applyNumberFormat="1" applyFont="1" applyBorder="1" applyAlignment="1">
      <alignment horizontal="center" vertical="center"/>
    </xf>
    <xf numFmtId="10" fontId="10" fillId="0" borderId="206" xfId="0" applyNumberFormat="1" applyFont="1" applyBorder="1" applyAlignment="1">
      <alignment horizontal="center" vertical="center"/>
    </xf>
    <xf numFmtId="165" fontId="10" fillId="0" borderId="206" xfId="0" applyNumberFormat="1" applyFont="1" applyBorder="1" applyAlignment="1">
      <alignment horizontal="center" vertical="center"/>
    </xf>
    <xf numFmtId="2" fontId="10" fillId="0" borderId="206" xfId="0" applyNumberFormat="1" applyFont="1" applyBorder="1" applyAlignment="1">
      <alignment horizontal="center" vertical="center"/>
    </xf>
    <xf numFmtId="2" fontId="10" fillId="0" borderId="207" xfId="0" applyNumberFormat="1" applyFont="1" applyBorder="1" applyAlignment="1">
      <alignment horizontal="center" vertical="center"/>
    </xf>
    <xf numFmtId="0" fontId="92" fillId="19" borderId="1" xfId="0" applyFont="1" applyFill="1" applyBorder="1"/>
    <xf numFmtId="2" fontId="10" fillId="10" borderId="1" xfId="0" applyNumberFormat="1" applyFont="1" applyFill="1" applyBorder="1"/>
    <xf numFmtId="0" fontId="47" fillId="62" borderId="2" xfId="0" applyFont="1" applyFill="1" applyBorder="1" applyAlignment="1">
      <alignment horizontal="left"/>
    </xf>
    <xf numFmtId="0" fontId="47" fillId="62" borderId="24" xfId="0" applyFont="1" applyFill="1" applyBorder="1" applyAlignment="1">
      <alignment horizontal="left"/>
    </xf>
    <xf numFmtId="0" fontId="47" fillId="62" borderId="3" xfId="0" applyFont="1" applyFill="1" applyBorder="1" applyAlignment="1">
      <alignment horizontal="left"/>
    </xf>
    <xf numFmtId="0" fontId="124" fillId="0" borderId="0" xfId="0" applyFont="1"/>
    <xf numFmtId="0" fontId="173" fillId="17" borderId="2" xfId="0" applyFont="1" applyFill="1" applyBorder="1" applyAlignment="1">
      <alignment horizontal="left"/>
    </xf>
    <xf numFmtId="0" fontId="173" fillId="17" borderId="24" xfId="0" applyFont="1" applyFill="1" applyBorder="1" applyAlignment="1">
      <alignment horizontal="left"/>
    </xf>
    <xf numFmtId="0" fontId="173" fillId="17" borderId="3" xfId="0" applyFont="1" applyFill="1" applyBorder="1" applyAlignment="1">
      <alignment horizontal="left"/>
    </xf>
    <xf numFmtId="0" fontId="50" fillId="0" borderId="0" xfId="0" applyFont="1"/>
    <xf numFmtId="0" fontId="48" fillId="0" borderId="0" xfId="0" applyFont="1"/>
    <xf numFmtId="0" fontId="48" fillId="9" borderId="208" xfId="0" applyFont="1" applyFill="1" applyBorder="1" applyAlignment="1">
      <alignment horizontal="center"/>
    </xf>
    <xf numFmtId="0" fontId="48" fillId="10" borderId="208" xfId="0" applyFont="1" applyFill="1" applyBorder="1" applyAlignment="1">
      <alignment horizontal="center"/>
    </xf>
    <xf numFmtId="0" fontId="174" fillId="0" borderId="0" xfId="0" applyFont="1" applyAlignment="1">
      <alignment horizontal="left"/>
    </xf>
    <xf numFmtId="0" fontId="50" fillId="0" borderId="209" xfId="0" applyFont="1" applyBorder="1" applyAlignment="1">
      <alignment horizontal="left"/>
    </xf>
    <xf numFmtId="174" fontId="50" fillId="0" borderId="209" xfId="0" applyNumberFormat="1" applyFont="1" applyBorder="1" applyAlignment="1">
      <alignment horizontal="right"/>
    </xf>
    <xf numFmtId="174" fontId="50" fillId="10" borderId="209" xfId="0" applyNumberFormat="1" applyFont="1" applyFill="1" applyBorder="1" applyAlignment="1">
      <alignment horizontal="right"/>
    </xf>
    <xf numFmtId="0" fontId="48" fillId="0" borderId="209" xfId="0" applyFont="1" applyBorder="1" applyAlignment="1">
      <alignment horizontal="left"/>
    </xf>
    <xf numFmtId="174" fontId="48" fillId="0" borderId="209" xfId="0" applyNumberFormat="1" applyFont="1" applyBorder="1" applyAlignment="1">
      <alignment horizontal="right"/>
    </xf>
    <xf numFmtId="174" fontId="48" fillId="10" borderId="209" xfId="0" applyNumberFormat="1" applyFont="1" applyFill="1" applyBorder="1" applyAlignment="1">
      <alignment horizontal="right"/>
    </xf>
    <xf numFmtId="0" fontId="58" fillId="10" borderId="209" xfId="0" applyFont="1" applyFill="1" applyBorder="1" applyAlignment="1">
      <alignment horizontal="center"/>
    </xf>
    <xf numFmtId="0" fontId="50" fillId="0" borderId="210" xfId="0" applyFont="1" applyBorder="1"/>
    <xf numFmtId="0" fontId="174" fillId="0" borderId="209" xfId="0" applyFont="1" applyBorder="1" applyAlignment="1">
      <alignment horizontal="left"/>
    </xf>
    <xf numFmtId="0" fontId="58" fillId="0" borderId="209" xfId="0" applyFont="1" applyBorder="1" applyAlignment="1">
      <alignment horizontal="right"/>
    </xf>
    <xf numFmtId="0" fontId="58" fillId="0" borderId="209" xfId="0" applyFont="1" applyBorder="1" applyAlignment="1">
      <alignment horizontal="center"/>
    </xf>
    <xf numFmtId="0" fontId="58" fillId="0" borderId="0" xfId="0" applyFont="1" applyAlignment="1">
      <alignment horizontal="center"/>
    </xf>
    <xf numFmtId="0" fontId="58" fillId="0" borderId="211" xfId="0" applyFont="1" applyBorder="1" applyAlignment="1">
      <alignment horizontal="center"/>
    </xf>
    <xf numFmtId="0" fontId="175" fillId="0" borderId="209" xfId="0" applyFont="1" applyBorder="1" applyAlignment="1">
      <alignment horizontal="left" vertical="top"/>
    </xf>
    <xf numFmtId="0" fontId="58" fillId="0" borderId="209" xfId="0" applyFont="1" applyBorder="1" applyAlignment="1">
      <alignment horizontal="left" vertical="top"/>
    </xf>
    <xf numFmtId="0" fontId="58" fillId="0" borderId="0" xfId="0" applyFont="1" applyAlignment="1">
      <alignment horizontal="left" vertical="top"/>
    </xf>
    <xf numFmtId="0" fontId="124" fillId="0" borderId="209" xfId="0" applyFont="1" applyBorder="1"/>
    <xf numFmtId="0" fontId="50" fillId="0" borderId="209" xfId="0" applyFont="1" applyBorder="1"/>
    <xf numFmtId="174" fontId="50" fillId="0" borderId="209" xfId="0" applyNumberFormat="1" applyFont="1" applyBorder="1"/>
    <xf numFmtId="0" fontId="48" fillId="0" borderId="0" xfId="0" applyFont="1" applyAlignment="1">
      <alignment horizontal="left"/>
    </xf>
    <xf numFmtId="178" fontId="50" fillId="0" borderId="209" xfId="0" applyNumberFormat="1" applyFont="1" applyBorder="1"/>
    <xf numFmtId="174" fontId="48" fillId="0" borderId="209" xfId="0" applyNumberFormat="1" applyFont="1" applyBorder="1"/>
    <xf numFmtId="184" fontId="50" fillId="0" borderId="209" xfId="0" applyNumberFormat="1" applyFont="1" applyBorder="1" applyAlignment="1">
      <alignment horizontal="right"/>
    </xf>
    <xf numFmtId="4" fontId="50" fillId="0" borderId="209" xfId="0" applyNumberFormat="1" applyFont="1" applyBorder="1"/>
    <xf numFmtId="0" fontId="176" fillId="0" borderId="0" xfId="0" applyFont="1"/>
    <xf numFmtId="181" fontId="10" fillId="0" borderId="0" xfId="0" applyNumberFormat="1" applyFont="1" applyAlignment="1">
      <alignment horizontal="right" vertical="center" wrapText="1"/>
    </xf>
    <xf numFmtId="0" fontId="8" fillId="43" borderId="132" xfId="0" applyFont="1" applyFill="1" applyBorder="1"/>
    <xf numFmtId="174" fontId="67" fillId="43" borderId="132" xfId="0" applyNumberFormat="1" applyFont="1" applyFill="1" applyBorder="1" applyAlignment="1">
      <alignment horizontal="right" vertical="center" wrapText="1"/>
    </xf>
    <xf numFmtId="0" fontId="8" fillId="0" borderId="132" xfId="0" applyFont="1" applyBorder="1"/>
    <xf numFmtId="0" fontId="168" fillId="0" borderId="132" xfId="0" applyFont="1" applyBorder="1"/>
    <xf numFmtId="174" fontId="8" fillId="0" borderId="132" xfId="0" applyNumberFormat="1" applyFont="1" applyBorder="1"/>
    <xf numFmtId="0" fontId="171" fillId="0" borderId="132" xfId="0" applyFont="1" applyBorder="1"/>
    <xf numFmtId="0" fontId="171" fillId="43" borderId="132" xfId="0" applyFont="1" applyFill="1" applyBorder="1"/>
    <xf numFmtId="3" fontId="138" fillId="46" borderId="205" xfId="0" applyNumberFormat="1" applyFont="1" applyFill="1" applyBorder="1" applyAlignment="1">
      <alignment horizontal="right" vertical="center"/>
    </xf>
    <xf numFmtId="164" fontId="105" fillId="47" borderId="132" xfId="0" applyNumberFormat="1" applyFont="1" applyFill="1" applyBorder="1" applyAlignment="1">
      <alignment horizontal="right" vertical="center" wrapText="1"/>
    </xf>
    <xf numFmtId="3" fontId="10" fillId="0" borderId="205" xfId="0" applyNumberFormat="1" applyFont="1" applyBorder="1" applyAlignment="1">
      <alignment horizontal="right" vertical="center"/>
    </xf>
    <xf numFmtId="3" fontId="10" fillId="0" borderId="132" xfId="0" applyNumberFormat="1" applyFont="1" applyBorder="1" applyAlignment="1">
      <alignment horizontal="right" vertical="center"/>
    </xf>
    <xf numFmtId="0" fontId="10" fillId="0" borderId="116" xfId="0" applyFont="1" applyBorder="1" applyAlignment="1">
      <alignment horizontal="left" vertical="center" wrapText="1"/>
    </xf>
    <xf numFmtId="3" fontId="67" fillId="0" borderId="116" xfId="0" applyNumberFormat="1" applyFont="1" applyBorder="1" applyAlignment="1">
      <alignment vertical="center"/>
    </xf>
    <xf numFmtId="0" fontId="79" fillId="0" borderId="0" xfId="0" applyFont="1" applyAlignment="1">
      <alignment horizontal="center" vertical="center"/>
    </xf>
    <xf numFmtId="0" fontId="79" fillId="0" borderId="0" xfId="0" applyFont="1" applyAlignment="1">
      <alignment horizontal="center" vertical="center" wrapText="1"/>
    </xf>
    <xf numFmtId="10" fontId="10" fillId="0" borderId="0" xfId="0" applyNumberFormat="1" applyFont="1" applyAlignment="1">
      <alignment horizontal="center"/>
    </xf>
    <xf numFmtId="3" fontId="67" fillId="0" borderId="0" xfId="0" applyNumberFormat="1" applyFont="1" applyAlignment="1">
      <alignment horizontal="right" vertical="center" wrapText="1"/>
    </xf>
    <xf numFmtId="174" fontId="67" fillId="0" borderId="0" xfId="0" applyNumberFormat="1" applyFont="1" applyAlignment="1">
      <alignment horizontal="right" vertical="center" wrapText="1"/>
    </xf>
    <xf numFmtId="0" fontId="150" fillId="46" borderId="213" xfId="0" applyFont="1" applyFill="1" applyBorder="1" applyAlignment="1">
      <alignment horizontal="right" vertical="center"/>
    </xf>
    <xf numFmtId="164" fontId="148" fillId="47" borderId="132" xfId="0" applyNumberFormat="1" applyFont="1" applyFill="1" applyBorder="1" applyAlignment="1">
      <alignment horizontal="right" vertical="center" wrapText="1"/>
    </xf>
    <xf numFmtId="0" fontId="138" fillId="46" borderId="205" xfId="0" applyFont="1" applyFill="1" applyBorder="1" applyAlignment="1">
      <alignment horizontal="right" vertical="center"/>
    </xf>
    <xf numFmtId="9" fontId="10" fillId="0" borderId="0" xfId="0" applyNumberFormat="1" applyFont="1" applyAlignment="1">
      <alignment horizontal="center" vertical="center"/>
    </xf>
    <xf numFmtId="0" fontId="177" fillId="0" borderId="0" xfId="0" applyFont="1" applyAlignment="1">
      <alignment horizontal="center" vertical="center" wrapText="1"/>
    </xf>
    <xf numFmtId="0" fontId="86" fillId="0" borderId="0" xfId="0" applyFont="1" applyAlignment="1">
      <alignment horizontal="center" vertical="center" wrapText="1"/>
    </xf>
    <xf numFmtId="185" fontId="10" fillId="0" borderId="0" xfId="0" applyNumberFormat="1" applyFont="1" applyAlignment="1">
      <alignment horizontal="right" vertical="center"/>
    </xf>
    <xf numFmtId="185" fontId="10" fillId="0" borderId="0" xfId="0" applyNumberFormat="1" applyFont="1" applyAlignment="1">
      <alignment horizontal="center" vertical="center"/>
    </xf>
    <xf numFmtId="185" fontId="10" fillId="0" borderId="0" xfId="0" applyNumberFormat="1" applyFont="1" applyAlignment="1">
      <alignment vertical="center" wrapText="1"/>
    </xf>
    <xf numFmtId="185" fontId="10" fillId="0" borderId="0" xfId="0" applyNumberFormat="1" applyFont="1"/>
    <xf numFmtId="0" fontId="178" fillId="0" borderId="0" xfId="0" applyFont="1"/>
    <xf numFmtId="0" fontId="40" fillId="0" borderId="67" xfId="0" applyFont="1" applyBorder="1"/>
    <xf numFmtId="0" fontId="124" fillId="0" borderId="67" xfId="0" applyFont="1" applyBorder="1"/>
    <xf numFmtId="0" fontId="179" fillId="0" borderId="0" xfId="0" applyFont="1"/>
    <xf numFmtId="0" fontId="180" fillId="0" borderId="0" xfId="0" applyFont="1"/>
    <xf numFmtId="0" fontId="120" fillId="36" borderId="205" xfId="0" applyFont="1" applyFill="1" applyBorder="1" applyAlignment="1">
      <alignment horizontal="right"/>
    </xf>
    <xf numFmtId="0" fontId="181" fillId="0" borderId="0" xfId="0" applyFont="1"/>
    <xf numFmtId="0" fontId="55" fillId="12" borderId="214" xfId="0" applyFont="1" applyFill="1" applyBorder="1"/>
    <xf numFmtId="0" fontId="124" fillId="5" borderId="215" xfId="0" applyFont="1" applyFill="1" applyBorder="1"/>
    <xf numFmtId="0" fontId="182" fillId="0" borderId="0" xfId="0" applyFont="1"/>
    <xf numFmtId="0" fontId="124" fillId="0" borderId="132" xfId="0" applyFont="1" applyBorder="1"/>
    <xf numFmtId="0" fontId="183" fillId="12" borderId="212" xfId="0" applyFont="1" applyFill="1" applyBorder="1"/>
    <xf numFmtId="0" fontId="10" fillId="0" borderId="134" xfId="0" applyFont="1" applyBorder="1"/>
    <xf numFmtId="0" fontId="175" fillId="0" borderId="0" xfId="0" applyFont="1"/>
    <xf numFmtId="0" fontId="124" fillId="47" borderId="132" xfId="0" applyFont="1" applyFill="1" applyBorder="1"/>
    <xf numFmtId="0" fontId="184" fillId="35" borderId="132" xfId="0" applyFont="1" applyFill="1" applyBorder="1" applyAlignment="1">
      <alignment horizontal="center" vertical="center" wrapText="1"/>
    </xf>
    <xf numFmtId="198" fontId="185" fillId="5" borderId="215" xfId="0" applyNumberFormat="1" applyFont="1" applyFill="1" applyBorder="1"/>
    <xf numFmtId="196" fontId="186" fillId="0" borderId="0" xfId="0" applyNumberFormat="1" applyFont="1"/>
    <xf numFmtId="0" fontId="124" fillId="0" borderId="136" xfId="0" applyFont="1" applyBorder="1"/>
    <xf numFmtId="0" fontId="10" fillId="0" borderId="132" xfId="0" applyFont="1" applyBorder="1" applyAlignment="1">
      <alignment horizontal="left" vertical="center" wrapText="1"/>
    </xf>
    <xf numFmtId="0" fontId="10" fillId="0" borderId="132" xfId="0" applyFont="1" applyBorder="1" applyAlignment="1">
      <alignment horizontal="right" vertical="center"/>
    </xf>
    <xf numFmtId="181" fontId="7" fillId="0" borderId="0" xfId="0" applyNumberFormat="1" applyFont="1" applyAlignment="1">
      <alignment horizontal="left" vertical="center" wrapText="1"/>
    </xf>
    <xf numFmtId="176" fontId="79" fillId="0" borderId="0" xfId="0" applyNumberFormat="1" applyFont="1" applyAlignment="1">
      <alignment horizontal="left" vertical="center" wrapText="1"/>
    </xf>
    <xf numFmtId="1" fontId="79" fillId="0" borderId="0" xfId="0" applyNumberFormat="1" applyFont="1" applyAlignment="1">
      <alignment horizontal="left" vertical="center" wrapText="1"/>
    </xf>
    <xf numFmtId="0" fontId="10" fillId="0" borderId="132" xfId="0" applyFont="1" applyBorder="1"/>
    <xf numFmtId="1" fontId="10" fillId="0" borderId="132" xfId="0" applyNumberFormat="1" applyFont="1" applyBorder="1" applyAlignment="1">
      <alignment horizontal="left" vertical="center" wrapText="1"/>
    </xf>
    <xf numFmtId="168" fontId="10" fillId="0" borderId="132" xfId="0" applyNumberFormat="1" applyFont="1" applyBorder="1" applyAlignment="1">
      <alignment horizontal="left" vertical="center" wrapText="1"/>
    </xf>
    <xf numFmtId="0" fontId="10" fillId="63" borderId="1" xfId="0" applyFont="1" applyFill="1" applyBorder="1"/>
    <xf numFmtId="0" fontId="67" fillId="63" borderId="125" xfId="0" applyFont="1" applyFill="1" applyBorder="1"/>
    <xf numFmtId="0" fontId="67" fillId="63" borderId="117" xfId="0" applyFont="1" applyFill="1" applyBorder="1"/>
    <xf numFmtId="174" fontId="67" fillId="63" borderId="117" xfId="0" applyNumberFormat="1" applyFont="1" applyFill="1" applyBorder="1" applyAlignment="1">
      <alignment vertical="center"/>
    </xf>
    <xf numFmtId="174" fontId="67" fillId="63" borderId="118" xfId="0" applyNumberFormat="1" applyFont="1" applyFill="1" applyBorder="1" applyAlignment="1">
      <alignment vertical="center"/>
    </xf>
    <xf numFmtId="0" fontId="67" fillId="46" borderId="127" xfId="0" applyFont="1" applyFill="1" applyBorder="1"/>
    <xf numFmtId="0" fontId="10" fillId="46" borderId="1" xfId="0" applyFont="1" applyFill="1" applyBorder="1"/>
    <xf numFmtId="0" fontId="67" fillId="58" borderId="1" xfId="0" applyFont="1" applyFill="1" applyBorder="1"/>
    <xf numFmtId="174" fontId="10" fillId="58" borderId="1" xfId="0" applyNumberFormat="1" applyFont="1" applyFill="1" applyBorder="1" applyAlignment="1">
      <alignment vertical="center"/>
    </xf>
    <xf numFmtId="174" fontId="10" fillId="58" borderId="15" xfId="0" applyNumberFormat="1" applyFont="1" applyFill="1" applyBorder="1" applyAlignment="1">
      <alignment vertical="center"/>
    </xf>
    <xf numFmtId="0" fontId="10" fillId="0" borderId="123" xfId="0" applyFont="1" applyBorder="1"/>
    <xf numFmtId="0" fontId="67" fillId="46" borderId="125" xfId="0" applyFont="1" applyFill="1" applyBorder="1"/>
    <xf numFmtId="0" fontId="67" fillId="46" borderId="117" xfId="0" applyFont="1" applyFill="1" applyBorder="1"/>
    <xf numFmtId="174" fontId="10" fillId="0" borderId="116" xfId="0" applyNumberFormat="1" applyFont="1" applyBorder="1" applyAlignment="1">
      <alignment vertical="center"/>
    </xf>
    <xf numFmtId="174" fontId="10" fillId="0" borderId="126" xfId="0" applyNumberFormat="1" applyFont="1" applyBorder="1" applyAlignment="1">
      <alignment vertical="center"/>
    </xf>
    <xf numFmtId="174" fontId="67" fillId="58" borderId="1" xfId="0" applyNumberFormat="1" applyFont="1" applyFill="1" applyBorder="1" applyAlignment="1">
      <alignment vertical="center"/>
    </xf>
    <xf numFmtId="174" fontId="67" fillId="58" borderId="15" xfId="0" applyNumberFormat="1" applyFont="1" applyFill="1" applyBorder="1" applyAlignment="1">
      <alignment vertical="center"/>
    </xf>
    <xf numFmtId="0" fontId="67" fillId="58" borderId="216" xfId="0" applyFont="1" applyFill="1" applyBorder="1"/>
    <xf numFmtId="174" fontId="67" fillId="58" borderId="216" xfId="0" applyNumberFormat="1" applyFont="1" applyFill="1" applyBorder="1" applyAlignment="1">
      <alignment vertical="center"/>
    </xf>
    <xf numFmtId="174" fontId="67" fillId="58" borderId="217" xfId="0" applyNumberFormat="1" applyFont="1" applyFill="1" applyBorder="1" applyAlignment="1">
      <alignment vertical="center"/>
    </xf>
    <xf numFmtId="0" fontId="67" fillId="64" borderId="125" xfId="0" applyFont="1" applyFill="1" applyBorder="1"/>
    <xf numFmtId="0" fontId="10" fillId="64" borderId="117" xfId="0" applyFont="1" applyFill="1" applyBorder="1"/>
    <xf numFmtId="0" fontId="67" fillId="0" borderId="119" xfId="0" applyFont="1" applyBorder="1"/>
    <xf numFmtId="0" fontId="67" fillId="58" borderId="127" xfId="0" applyFont="1" applyFill="1" applyBorder="1"/>
    <xf numFmtId="0" fontId="67" fillId="58" borderId="218" xfId="0" applyFont="1" applyFill="1" applyBorder="1"/>
    <xf numFmtId="0" fontId="187" fillId="0" borderId="0" xfId="0" applyFont="1"/>
    <xf numFmtId="0" fontId="9" fillId="0" borderId="0" xfId="0" applyFont="1"/>
    <xf numFmtId="0" fontId="188" fillId="0" borderId="0" xfId="0" applyFont="1"/>
    <xf numFmtId="0" fontId="189" fillId="0" borderId="0" xfId="0" applyFont="1"/>
    <xf numFmtId="0" fontId="78" fillId="0" borderId="0" xfId="0" applyFont="1" applyAlignment="1">
      <alignment wrapText="1"/>
    </xf>
    <xf numFmtId="0" fontId="190" fillId="0" borderId="0" xfId="0" applyFont="1"/>
    <xf numFmtId="0" fontId="67" fillId="9" borderId="1" xfId="0" applyFont="1" applyFill="1" applyBorder="1"/>
    <xf numFmtId="0" fontId="60" fillId="65" borderId="1" xfId="0" applyFont="1" applyFill="1" applyBorder="1"/>
    <xf numFmtId="0" fontId="52" fillId="65" borderId="1" xfId="0" applyFont="1" applyFill="1" applyBorder="1"/>
    <xf numFmtId="0" fontId="191" fillId="5" borderId="1" xfId="0" applyFont="1" applyFill="1" applyBorder="1"/>
    <xf numFmtId="0" fontId="15" fillId="5" borderId="1" xfId="0" applyFont="1" applyFill="1" applyBorder="1"/>
    <xf numFmtId="0" fontId="192" fillId="5" borderId="1" xfId="0" applyFont="1" applyFill="1" applyBorder="1"/>
    <xf numFmtId="0" fontId="60" fillId="5" borderId="219" xfId="0" applyFont="1" applyFill="1" applyBorder="1"/>
    <xf numFmtId="0" fontId="10" fillId="5" borderId="219" xfId="0" applyFont="1" applyFill="1" applyBorder="1"/>
    <xf numFmtId="0" fontId="156" fillId="5" borderId="220" xfId="0" applyFont="1" applyFill="1" applyBorder="1"/>
    <xf numFmtId="0" fontId="156" fillId="5" borderId="220" xfId="0" applyFont="1" applyFill="1" applyBorder="1" applyAlignment="1">
      <alignment horizontal="right"/>
    </xf>
    <xf numFmtId="0" fontId="10" fillId="5" borderId="220" xfId="0" applyFont="1" applyFill="1" applyBorder="1"/>
    <xf numFmtId="0" fontId="193" fillId="5" borderId="220" xfId="0" applyFont="1" applyFill="1" applyBorder="1" applyAlignment="1">
      <alignment horizontal="right"/>
    </xf>
    <xf numFmtId="0" fontId="194" fillId="5" borderId="220" xfId="0" applyFont="1" applyFill="1" applyBorder="1"/>
    <xf numFmtId="164" fontId="195" fillId="5" borderId="220" xfId="0" applyNumberFormat="1" applyFont="1" applyFill="1" applyBorder="1" applyAlignment="1">
      <alignment horizontal="right"/>
    </xf>
    <xf numFmtId="165" fontId="195" fillId="5" borderId="220" xfId="0" applyNumberFormat="1" applyFont="1" applyFill="1" applyBorder="1" applyAlignment="1">
      <alignment horizontal="right"/>
    </xf>
    <xf numFmtId="0" fontId="10" fillId="5" borderId="221" xfId="0" applyFont="1" applyFill="1" applyBorder="1"/>
    <xf numFmtId="0" fontId="195" fillId="5" borderId="221" xfId="0" applyFont="1" applyFill="1" applyBorder="1" applyAlignment="1">
      <alignment horizontal="right"/>
    </xf>
    <xf numFmtId="0" fontId="194" fillId="5" borderId="221" xfId="0" applyFont="1" applyFill="1" applyBorder="1"/>
    <xf numFmtId="0" fontId="64" fillId="5" borderId="220" xfId="0" applyFont="1" applyFill="1" applyBorder="1"/>
    <xf numFmtId="174" fontId="195" fillId="5" borderId="220" xfId="0" applyNumberFormat="1" applyFont="1" applyFill="1" applyBorder="1" applyAlignment="1">
      <alignment horizontal="right"/>
    </xf>
    <xf numFmtId="164" fontId="195" fillId="5" borderId="221" xfId="0" applyNumberFormat="1" applyFont="1" applyFill="1" applyBorder="1" applyAlignment="1">
      <alignment horizontal="right"/>
    </xf>
    <xf numFmtId="168" fontId="195" fillId="5" borderId="220" xfId="0" applyNumberFormat="1" applyFont="1" applyFill="1" applyBorder="1" applyAlignment="1">
      <alignment horizontal="right"/>
    </xf>
    <xf numFmtId="9" fontId="10" fillId="5" borderId="1" xfId="0" applyNumberFormat="1" applyFont="1" applyFill="1" applyBorder="1"/>
    <xf numFmtId="0" fontId="60" fillId="5" borderId="1" xfId="0" applyFont="1" applyFill="1" applyBorder="1"/>
    <xf numFmtId="0" fontId="156" fillId="5" borderId="1" xfId="0" applyFont="1" applyFill="1" applyBorder="1"/>
    <xf numFmtId="181" fontId="156" fillId="5" borderId="1" xfId="0" applyNumberFormat="1" applyFont="1" applyFill="1" applyBorder="1" applyAlignment="1">
      <alignment horizontal="center"/>
    </xf>
    <xf numFmtId="174" fontId="195" fillId="5" borderId="1" xfId="0" applyNumberFormat="1" applyFont="1" applyFill="1" applyBorder="1"/>
    <xf numFmtId="174" fontId="193" fillId="5" borderId="1" xfId="0" applyNumberFormat="1" applyFont="1" applyFill="1" applyBorder="1"/>
    <xf numFmtId="201" fontId="195" fillId="5" borderId="1" xfId="0" applyNumberFormat="1" applyFont="1" applyFill="1" applyBorder="1"/>
    <xf numFmtId="184" fontId="195" fillId="5" borderId="1" xfId="0" applyNumberFormat="1" applyFont="1" applyFill="1" applyBorder="1"/>
    <xf numFmtId="202" fontId="195" fillId="5" borderId="1" xfId="0" applyNumberFormat="1" applyFont="1" applyFill="1" applyBorder="1"/>
    <xf numFmtId="202" fontId="193" fillId="5" borderId="1" xfId="0" applyNumberFormat="1" applyFont="1" applyFill="1" applyBorder="1"/>
    <xf numFmtId="0" fontId="156" fillId="5" borderId="1" xfId="0" applyFont="1" applyFill="1" applyBorder="1" applyAlignment="1">
      <alignment horizontal="center"/>
    </xf>
    <xf numFmtId="0" fontId="196" fillId="5" borderId="1" xfId="0" applyFont="1" applyFill="1" applyBorder="1" applyAlignment="1">
      <alignment horizontal="center"/>
    </xf>
    <xf numFmtId="10" fontId="67" fillId="5" borderId="1" xfId="0" applyNumberFormat="1" applyFont="1" applyFill="1" applyBorder="1" applyAlignment="1">
      <alignment horizontal="center"/>
    </xf>
    <xf numFmtId="168" fontId="195" fillId="5" borderId="1" xfId="0" applyNumberFormat="1" applyFont="1" applyFill="1" applyBorder="1" applyAlignment="1">
      <alignment horizontal="right"/>
    </xf>
    <xf numFmtId="10" fontId="91" fillId="5" borderId="1" xfId="0" applyNumberFormat="1" applyFont="1" applyFill="1" applyBorder="1" applyAlignment="1">
      <alignment horizontal="center"/>
    </xf>
    <xf numFmtId="168" fontId="193" fillId="5" borderId="1" xfId="0" applyNumberFormat="1" applyFont="1" applyFill="1" applyBorder="1" applyAlignment="1">
      <alignment horizontal="right"/>
    </xf>
    <xf numFmtId="9" fontId="67" fillId="5" borderId="1" xfId="0" applyNumberFormat="1" applyFont="1" applyFill="1" applyBorder="1" applyAlignment="1">
      <alignment horizontal="center"/>
    </xf>
    <xf numFmtId="164" fontId="195" fillId="5" borderId="1" xfId="0" applyNumberFormat="1" applyFont="1" applyFill="1" applyBorder="1" applyAlignment="1">
      <alignment horizontal="right"/>
    </xf>
    <xf numFmtId="0" fontId="91" fillId="5" borderId="1" xfId="0" applyFont="1" applyFill="1" applyBorder="1" applyAlignment="1">
      <alignment horizontal="center"/>
    </xf>
    <xf numFmtId="164" fontId="193" fillId="5" borderId="1" xfId="0" applyNumberFormat="1" applyFont="1" applyFill="1" applyBorder="1" applyAlignment="1">
      <alignment horizontal="right"/>
    </xf>
    <xf numFmtId="0" fontId="39" fillId="5" borderId="1" xfId="0" applyFont="1" applyFill="1" applyBorder="1"/>
    <xf numFmtId="203" fontId="195" fillId="5" borderId="1" xfId="0" applyNumberFormat="1" applyFont="1" applyFill="1" applyBorder="1"/>
    <xf numFmtId="203" fontId="195" fillId="0" borderId="0" xfId="0" applyNumberFormat="1" applyFont="1"/>
    <xf numFmtId="174" fontId="195" fillId="0" borderId="0" xfId="0" applyNumberFormat="1" applyFont="1"/>
    <xf numFmtId="0" fontId="156" fillId="0" borderId="0" xfId="0" applyFont="1"/>
    <xf numFmtId="175" fontId="195" fillId="0" borderId="0" xfId="0" applyNumberFormat="1" applyFont="1"/>
    <xf numFmtId="204" fontId="195" fillId="0" borderId="0" xfId="0" applyNumberFormat="1" applyFont="1"/>
    <xf numFmtId="205" fontId="195" fillId="0" borderId="0" xfId="0" applyNumberFormat="1" applyFont="1"/>
    <xf numFmtId="3" fontId="195" fillId="0" borderId="0" xfId="0" applyNumberFormat="1" applyFont="1"/>
    <xf numFmtId="164" fontId="195" fillId="0" borderId="0" xfId="0" applyNumberFormat="1" applyFont="1"/>
    <xf numFmtId="0" fontId="156" fillId="9" borderId="1" xfId="0" applyFont="1" applyFill="1" applyBorder="1"/>
    <xf numFmtId="0" fontId="67" fillId="0" borderId="116" xfId="0" applyFont="1" applyBorder="1"/>
    <xf numFmtId="203" fontId="156" fillId="0" borderId="116" xfId="0" applyNumberFormat="1" applyFont="1" applyBorder="1"/>
    <xf numFmtId="0" fontId="195" fillId="0" borderId="0" xfId="0" applyFont="1"/>
    <xf numFmtId="169" fontId="195" fillId="0" borderId="0" xfId="0" applyNumberFormat="1" applyFont="1"/>
    <xf numFmtId="170" fontId="195" fillId="0" borderId="0" xfId="0" applyNumberFormat="1" applyFont="1"/>
    <xf numFmtId="49" fontId="195" fillId="0" borderId="0" xfId="0" applyNumberFormat="1" applyFont="1"/>
    <xf numFmtId="168" fontId="195" fillId="0" borderId="0" xfId="0" applyNumberFormat="1" applyFont="1"/>
    <xf numFmtId="168" fontId="193" fillId="0" borderId="0" xfId="0" applyNumberFormat="1" applyFont="1"/>
    <xf numFmtId="168" fontId="193" fillId="30" borderId="1" xfId="0" applyNumberFormat="1" applyFont="1" applyFill="1" applyBorder="1"/>
    <xf numFmtId="165" fontId="195" fillId="0" borderId="0" xfId="0" applyNumberFormat="1" applyFont="1"/>
    <xf numFmtId="206" fontId="10" fillId="0" borderId="0" xfId="0" applyNumberFormat="1" applyFont="1"/>
    <xf numFmtId="0" fontId="10" fillId="12" borderId="121" xfId="0" applyFont="1" applyFill="1" applyBorder="1" applyAlignment="1">
      <alignment horizontal="right"/>
    </xf>
    <xf numFmtId="0" fontId="10" fillId="12" borderId="121" xfId="0" applyFont="1" applyFill="1" applyBorder="1"/>
    <xf numFmtId="0" fontId="10" fillId="0" borderId="121" xfId="0" applyFont="1" applyBorder="1" applyAlignment="1">
      <alignment horizontal="left"/>
    </xf>
    <xf numFmtId="174" fontId="67" fillId="0" borderId="121" xfId="0" applyNumberFormat="1" applyFont="1" applyBorder="1" applyAlignment="1">
      <alignment horizontal="right"/>
    </xf>
    <xf numFmtId="3" fontId="68" fillId="0" borderId="121" xfId="0" applyNumberFormat="1" applyFont="1" applyBorder="1" applyAlignment="1">
      <alignment horizontal="right"/>
    </xf>
    <xf numFmtId="3" fontId="67" fillId="0" borderId="121" xfId="0" applyNumberFormat="1" applyFont="1" applyBorder="1" applyAlignment="1">
      <alignment horizontal="right"/>
    </xf>
    <xf numFmtId="174" fontId="67" fillId="12" borderId="121" xfId="0" applyNumberFormat="1" applyFont="1" applyFill="1" applyBorder="1" applyAlignment="1">
      <alignment horizontal="right"/>
    </xf>
    <xf numFmtId="0" fontId="76" fillId="6" borderId="121" xfId="0" applyFont="1" applyFill="1" applyBorder="1" applyAlignment="1">
      <alignment horizontal="left"/>
    </xf>
    <xf numFmtId="0" fontId="10" fillId="0" borderId="222" xfId="0" applyFont="1" applyBorder="1" applyAlignment="1">
      <alignment horizontal="left"/>
    </xf>
    <xf numFmtId="174" fontId="68" fillId="0" borderId="222" xfId="0" applyNumberFormat="1" applyFont="1" applyBorder="1" applyAlignment="1">
      <alignment horizontal="right"/>
    </xf>
    <xf numFmtId="174" fontId="67" fillId="0" borderId="222" xfId="0" applyNumberFormat="1" applyFont="1" applyBorder="1" applyAlignment="1">
      <alignment horizontal="right"/>
    </xf>
    <xf numFmtId="0" fontId="10" fillId="5" borderId="121" xfId="0" applyFont="1" applyFill="1" applyBorder="1" applyAlignment="1">
      <alignment horizontal="left"/>
    </xf>
    <xf numFmtId="207" fontId="68" fillId="5" borderId="121" xfId="0" applyNumberFormat="1" applyFont="1" applyFill="1" applyBorder="1" applyAlignment="1">
      <alignment horizontal="right"/>
    </xf>
    <xf numFmtId="207" fontId="67" fillId="5" borderId="121" xfId="0" applyNumberFormat="1" applyFont="1" applyFill="1" applyBorder="1" applyAlignment="1">
      <alignment horizontal="right"/>
    </xf>
    <xf numFmtId="0" fontId="67" fillId="12" borderId="223" xfId="0" applyFont="1" applyFill="1" applyBorder="1" applyAlignment="1">
      <alignment horizontal="left"/>
    </xf>
    <xf numFmtId="174" fontId="67" fillId="12" borderId="223" xfId="0" applyNumberFormat="1" applyFont="1" applyFill="1" applyBorder="1" applyAlignment="1">
      <alignment horizontal="right"/>
    </xf>
    <xf numFmtId="168" fontId="10" fillId="0" borderId="0" xfId="0" applyNumberFormat="1" applyFont="1" applyAlignment="1">
      <alignment horizontal="right"/>
    </xf>
    <xf numFmtId="168" fontId="10" fillId="12" borderId="121" xfId="0" applyNumberFormat="1" applyFont="1" applyFill="1" applyBorder="1" applyAlignment="1">
      <alignment horizontal="right"/>
    </xf>
    <xf numFmtId="174" fontId="10" fillId="0" borderId="121" xfId="0" applyNumberFormat="1" applyFont="1" applyBorder="1" applyAlignment="1">
      <alignment horizontal="right"/>
    </xf>
    <xf numFmtId="174" fontId="72" fillId="0" borderId="121" xfId="0" applyNumberFormat="1" applyFont="1" applyBorder="1" applyAlignment="1">
      <alignment horizontal="right"/>
    </xf>
    <xf numFmtId="10" fontId="10" fillId="0" borderId="121" xfId="0" applyNumberFormat="1" applyFont="1" applyBorder="1" applyAlignment="1">
      <alignment horizontal="right"/>
    </xf>
    <xf numFmtId="0" fontId="67" fillId="0" borderId="121" xfId="0" applyFont="1" applyBorder="1" applyAlignment="1">
      <alignment horizontal="center"/>
    </xf>
    <xf numFmtId="3" fontId="10" fillId="0" borderId="121" xfId="0" applyNumberFormat="1" applyFont="1" applyBorder="1" applyAlignment="1">
      <alignment horizontal="right"/>
    </xf>
    <xf numFmtId="189" fontId="10" fillId="0" borderId="121" xfId="0" applyNumberFormat="1" applyFont="1" applyBorder="1" applyAlignment="1">
      <alignment horizontal="right"/>
    </xf>
    <xf numFmtId="194" fontId="10" fillId="0" borderId="0" xfId="0" applyNumberFormat="1" applyFont="1"/>
    <xf numFmtId="203" fontId="10" fillId="9" borderId="132" xfId="0" applyNumberFormat="1" applyFont="1" applyFill="1" applyBorder="1" applyAlignment="1">
      <alignment horizontal="right" vertical="center"/>
    </xf>
    <xf numFmtId="164" fontId="10" fillId="9" borderId="132" xfId="0" applyNumberFormat="1" applyFont="1" applyFill="1" applyBorder="1" applyAlignment="1">
      <alignment horizontal="right" vertical="center"/>
    </xf>
    <xf numFmtId="175" fontId="10" fillId="9" borderId="132" xfId="0" applyNumberFormat="1" applyFont="1" applyFill="1" applyBorder="1"/>
    <xf numFmtId="164" fontId="10" fillId="9" borderId="132" xfId="0" applyNumberFormat="1" applyFont="1" applyFill="1" applyBorder="1"/>
    <xf numFmtId="0" fontId="197" fillId="5" borderId="0" xfId="0" applyFont="1" applyFill="1"/>
    <xf numFmtId="0" fontId="198" fillId="5" borderId="0" xfId="0" applyFont="1" applyFill="1"/>
    <xf numFmtId="0" fontId="199" fillId="5" borderId="132" xfId="0" applyFont="1" applyFill="1" applyBorder="1" applyAlignment="1">
      <alignment horizontal="center" vertical="center"/>
    </xf>
    <xf numFmtId="0" fontId="200" fillId="5" borderId="132" xfId="0" applyFont="1" applyFill="1" applyBorder="1" applyAlignment="1">
      <alignment horizontal="left" vertical="center"/>
    </xf>
    <xf numFmtId="203" fontId="200" fillId="5" borderId="132" xfId="0" applyNumberFormat="1" applyFont="1" applyFill="1" applyBorder="1" applyAlignment="1">
      <alignment horizontal="right" vertical="center"/>
    </xf>
    <xf numFmtId="3" fontId="200" fillId="5" borderId="132" xfId="0" applyNumberFormat="1" applyFont="1" applyFill="1" applyBorder="1" applyAlignment="1">
      <alignment horizontal="right" vertical="center"/>
    </xf>
    <xf numFmtId="0" fontId="200" fillId="5" borderId="132" xfId="0" applyFont="1" applyFill="1" applyBorder="1"/>
    <xf numFmtId="10" fontId="200" fillId="5" borderId="132" xfId="0" applyNumberFormat="1" applyFont="1" applyFill="1" applyBorder="1" applyAlignment="1">
      <alignment horizontal="right" vertical="center"/>
    </xf>
    <xf numFmtId="164" fontId="200" fillId="5" borderId="132" xfId="0" applyNumberFormat="1" applyFont="1" applyFill="1" applyBorder="1" applyAlignment="1">
      <alignment horizontal="right" vertical="center"/>
    </xf>
    <xf numFmtId="4" fontId="200" fillId="5" borderId="132" xfId="0" applyNumberFormat="1" applyFont="1" applyFill="1" applyBorder="1" applyAlignment="1">
      <alignment horizontal="right" vertical="center"/>
    </xf>
    <xf numFmtId="174" fontId="200" fillId="5" borderId="132" xfId="0" applyNumberFormat="1" applyFont="1" applyFill="1" applyBorder="1" applyAlignment="1">
      <alignment horizontal="right" vertical="center"/>
    </xf>
    <xf numFmtId="203" fontId="200" fillId="5" borderId="132" xfId="0" applyNumberFormat="1" applyFont="1" applyFill="1" applyBorder="1"/>
    <xf numFmtId="208" fontId="200" fillId="5" borderId="132" xfId="0" applyNumberFormat="1" applyFont="1" applyFill="1" applyBorder="1"/>
    <xf numFmtId="164" fontId="200" fillId="5" borderId="132" xfId="0" applyNumberFormat="1" applyFont="1" applyFill="1" applyBorder="1"/>
    <xf numFmtId="175" fontId="200" fillId="5" borderId="132" xfId="0" applyNumberFormat="1" applyFont="1" applyFill="1" applyBorder="1"/>
    <xf numFmtId="168" fontId="200" fillId="5" borderId="132" xfId="0" applyNumberFormat="1" applyFont="1" applyFill="1" applyBorder="1" applyAlignment="1">
      <alignment horizontal="right"/>
    </xf>
    <xf numFmtId="209" fontId="200" fillId="5" borderId="132" xfId="0" applyNumberFormat="1" applyFont="1" applyFill="1" applyBorder="1" applyAlignment="1">
      <alignment horizontal="right" vertical="center"/>
    </xf>
    <xf numFmtId="0" fontId="197" fillId="5" borderId="132" xfId="0" applyFont="1" applyFill="1" applyBorder="1"/>
    <xf numFmtId="3" fontId="197" fillId="5" borderId="132" xfId="0" applyNumberFormat="1" applyFont="1" applyFill="1" applyBorder="1"/>
    <xf numFmtId="204" fontId="197" fillId="5" borderId="132" xfId="0" applyNumberFormat="1" applyFont="1" applyFill="1" applyBorder="1"/>
    <xf numFmtId="164" fontId="197" fillId="5" borderId="132" xfId="0" applyNumberFormat="1" applyFont="1" applyFill="1" applyBorder="1"/>
    <xf numFmtId="0" fontId="165" fillId="5" borderId="0" xfId="0" applyFont="1" applyFill="1"/>
    <xf numFmtId="0" fontId="200" fillId="5" borderId="0" xfId="0" applyFont="1" applyFill="1"/>
    <xf numFmtId="3" fontId="200" fillId="5" borderId="0" xfId="0" applyNumberFormat="1" applyFont="1" applyFill="1"/>
    <xf numFmtId="10" fontId="200" fillId="5" borderId="0" xfId="0" applyNumberFormat="1" applyFont="1" applyFill="1"/>
    <xf numFmtId="3" fontId="197" fillId="5" borderId="0" xfId="0" applyNumberFormat="1" applyFont="1" applyFill="1"/>
    <xf numFmtId="1" fontId="200" fillId="5" borderId="132" xfId="0" applyNumberFormat="1" applyFont="1" applyFill="1" applyBorder="1" applyAlignment="1">
      <alignment horizontal="right" vertical="center"/>
    </xf>
    <xf numFmtId="0" fontId="200" fillId="5" borderId="132" xfId="0" applyFont="1" applyFill="1" applyBorder="1" applyAlignment="1">
      <alignment horizontal="right" vertical="center"/>
    </xf>
    <xf numFmtId="0" fontId="83" fillId="5" borderId="0" xfId="0" applyFont="1" applyFill="1"/>
    <xf numFmtId="0" fontId="83" fillId="0" borderId="0" xfId="0" applyFont="1"/>
    <xf numFmtId="3" fontId="83" fillId="0" borderId="0" xfId="0" applyNumberFormat="1" applyFont="1"/>
    <xf numFmtId="174" fontId="197" fillId="5" borderId="132" xfId="0" applyNumberFormat="1" applyFont="1" applyFill="1" applyBorder="1" applyAlignment="1">
      <alignment vertical="top"/>
    </xf>
    <xf numFmtId="203" fontId="197" fillId="5" borderId="132" xfId="0" applyNumberFormat="1" applyFont="1" applyFill="1" applyBorder="1" applyAlignment="1">
      <alignment vertical="top"/>
    </xf>
    <xf numFmtId="0" fontId="197" fillId="5" borderId="132" xfId="0" applyFont="1" applyFill="1" applyBorder="1" applyAlignment="1">
      <alignment vertical="top"/>
    </xf>
    <xf numFmtId="0" fontId="199" fillId="5" borderId="132" xfId="0" applyFont="1" applyFill="1" applyBorder="1" applyAlignment="1">
      <alignment horizontal="left" vertical="center"/>
    </xf>
    <xf numFmtId="169" fontId="165" fillId="5" borderId="132" xfId="0" applyNumberFormat="1" applyFont="1" applyFill="1" applyBorder="1" applyAlignment="1">
      <alignment horizontal="center"/>
    </xf>
    <xf numFmtId="170" fontId="165" fillId="5" borderId="132" xfId="0" applyNumberFormat="1" applyFont="1" applyFill="1" applyBorder="1" applyAlignment="1">
      <alignment horizontal="center"/>
    </xf>
    <xf numFmtId="49" fontId="202" fillId="5" borderId="132" xfId="0" applyNumberFormat="1" applyFont="1" applyFill="1" applyBorder="1" applyAlignment="1">
      <alignment horizontal="center"/>
    </xf>
    <xf numFmtId="171" fontId="200" fillId="5" borderId="132" xfId="0" applyNumberFormat="1" applyFont="1" applyFill="1" applyBorder="1" applyAlignment="1">
      <alignment horizontal="center"/>
    </xf>
    <xf numFmtId="172" fontId="200" fillId="5" borderId="132" xfId="0" applyNumberFormat="1" applyFont="1" applyFill="1" applyBorder="1" applyAlignment="1">
      <alignment horizontal="center"/>
    </xf>
    <xf numFmtId="49" fontId="203" fillId="5" borderId="132" xfId="0" applyNumberFormat="1" applyFont="1" applyFill="1" applyBorder="1" applyAlignment="1">
      <alignment horizontal="center"/>
    </xf>
    <xf numFmtId="0" fontId="165" fillId="5" borderId="132" xfId="0" applyFont="1" applyFill="1" applyBorder="1" applyAlignment="1">
      <alignment horizontal="center" vertical="center"/>
    </xf>
    <xf numFmtId="49" fontId="165" fillId="5" borderId="132" xfId="0" applyNumberFormat="1" applyFont="1" applyFill="1" applyBorder="1" applyAlignment="1">
      <alignment horizontal="right"/>
    </xf>
    <xf numFmtId="203" fontId="165" fillId="5" borderId="132" xfId="0" applyNumberFormat="1" applyFont="1" applyFill="1" applyBorder="1" applyAlignment="1">
      <alignment horizontal="right"/>
    </xf>
    <xf numFmtId="165" fontId="165" fillId="5" borderId="52" xfId="0" applyNumberFormat="1" applyFont="1" applyFill="1" applyBorder="1" applyAlignment="1">
      <alignment horizontal="right"/>
    </xf>
    <xf numFmtId="0" fontId="204" fillId="5" borderId="132" xfId="0" applyFont="1" applyFill="1" applyBorder="1"/>
    <xf numFmtId="164" fontId="165" fillId="5" borderId="132" xfId="0" applyNumberFormat="1" applyFont="1" applyFill="1" applyBorder="1" applyAlignment="1">
      <alignment horizontal="right"/>
    </xf>
    <xf numFmtId="0" fontId="200" fillId="5" borderId="132" xfId="0" applyFont="1" applyFill="1" applyBorder="1" applyAlignment="1">
      <alignment horizontal="left" vertical="center" wrapText="1"/>
    </xf>
    <xf numFmtId="0" fontId="10" fillId="0" borderId="133" xfId="0" applyFont="1" applyBorder="1"/>
    <xf numFmtId="0" fontId="10" fillId="0" borderId="135" xfId="0" applyFont="1" applyBorder="1"/>
    <xf numFmtId="0" fontId="207" fillId="0" borderId="0" xfId="0" applyFont="1"/>
    <xf numFmtId="0" fontId="158" fillId="5" borderId="0" xfId="0" applyFont="1" applyFill="1"/>
    <xf numFmtId="0" fontId="208" fillId="0" borderId="0" xfId="0" applyFont="1"/>
    <xf numFmtId="0" fontId="148" fillId="5" borderId="0" xfId="0" applyFont="1" applyFill="1"/>
    <xf numFmtId="203" fontId="207" fillId="0" borderId="0" xfId="0" applyNumberFormat="1" applyFont="1" applyAlignment="1">
      <alignment horizontal="center"/>
    </xf>
    <xf numFmtId="0" fontId="148" fillId="0" borderId="0" xfId="0" applyFont="1"/>
    <xf numFmtId="164" fontId="207" fillId="0" borderId="0" xfId="0" applyNumberFormat="1" applyFont="1" applyAlignment="1">
      <alignment horizontal="center"/>
    </xf>
    <xf numFmtId="0" fontId="148" fillId="0" borderId="0" xfId="0" applyFont="1" applyAlignment="1">
      <alignment horizontal="center"/>
    </xf>
    <xf numFmtId="175" fontId="207" fillId="0" borderId="0" xfId="0" applyNumberFormat="1" applyFont="1" applyAlignment="1">
      <alignment horizontal="center"/>
    </xf>
    <xf numFmtId="0" fontId="207" fillId="0" borderId="0" xfId="0" applyFont="1" applyAlignment="1">
      <alignment horizontal="center"/>
    </xf>
    <xf numFmtId="9" fontId="208" fillId="0" borderId="0" xfId="0" applyNumberFormat="1" applyFont="1"/>
    <xf numFmtId="165" fontId="207" fillId="0" borderId="0" xfId="0" applyNumberFormat="1" applyFont="1" applyAlignment="1">
      <alignment horizontal="center"/>
    </xf>
    <xf numFmtId="203" fontId="207" fillId="0" borderId="0" xfId="0" applyNumberFormat="1" applyFont="1"/>
    <xf numFmtId="209" fontId="207" fillId="0" borderId="0" xfId="0" applyNumberFormat="1" applyFont="1"/>
    <xf numFmtId="0" fontId="209" fillId="5" borderId="1" xfId="0" applyFont="1" applyFill="1" applyBorder="1"/>
    <xf numFmtId="0" fontId="3" fillId="5" borderId="1" xfId="0" applyFont="1" applyFill="1" applyBorder="1"/>
    <xf numFmtId="0" fontId="210" fillId="66" borderId="238" xfId="0" applyFont="1" applyFill="1" applyBorder="1"/>
    <xf numFmtId="0" fontId="210" fillId="66" borderId="1" xfId="0" applyFont="1" applyFill="1" applyBorder="1"/>
    <xf numFmtId="0" fontId="211" fillId="66" borderId="239" xfId="0" applyFont="1" applyFill="1" applyBorder="1" applyAlignment="1">
      <alignment horizontal="center"/>
    </xf>
    <xf numFmtId="0" fontId="211" fillId="66" borderId="1" xfId="0" applyFont="1" applyFill="1" applyBorder="1" applyAlignment="1">
      <alignment horizontal="center"/>
    </xf>
    <xf numFmtId="0" fontId="212" fillId="5" borderId="240" xfId="0" applyFont="1" applyFill="1" applyBorder="1"/>
    <xf numFmtId="15" fontId="213" fillId="5" borderId="240" xfId="0" applyNumberFormat="1" applyFont="1" applyFill="1" applyBorder="1" applyAlignment="1">
      <alignment horizontal="center"/>
    </xf>
    <xf numFmtId="0" fontId="214" fillId="5" borderId="240" xfId="0" applyFont="1" applyFill="1" applyBorder="1" applyAlignment="1">
      <alignment horizontal="center"/>
    </xf>
    <xf numFmtId="0" fontId="215" fillId="5" borderId="240" xfId="0" applyFont="1" applyFill="1" applyBorder="1"/>
    <xf numFmtId="0" fontId="3" fillId="5" borderId="240" xfId="0" applyFont="1" applyFill="1" applyBorder="1"/>
    <xf numFmtId="0" fontId="216" fillId="5" borderId="241" xfId="0" applyFont="1" applyFill="1" applyBorder="1" applyAlignment="1">
      <alignment horizontal="center"/>
    </xf>
    <xf numFmtId="0" fontId="3" fillId="5" borderId="241" xfId="0" applyFont="1" applyFill="1" applyBorder="1" applyAlignment="1">
      <alignment horizontal="center"/>
    </xf>
    <xf numFmtId="0" fontId="3" fillId="5" borderId="240" xfId="0" applyFont="1" applyFill="1" applyBorder="1" applyAlignment="1">
      <alignment horizontal="center"/>
    </xf>
    <xf numFmtId="0" fontId="212" fillId="67" borderId="240" xfId="0" applyFont="1" applyFill="1" applyBorder="1"/>
    <xf numFmtId="15" fontId="213" fillId="67" borderId="240" xfId="0" applyNumberFormat="1" applyFont="1" applyFill="1" applyBorder="1" applyAlignment="1">
      <alignment horizontal="center"/>
    </xf>
    <xf numFmtId="0" fontId="214" fillId="67" borderId="240" xfId="0" applyFont="1" applyFill="1" applyBorder="1" applyAlignment="1">
      <alignment horizontal="center"/>
    </xf>
    <xf numFmtId="0" fontId="215" fillId="67" borderId="240" xfId="0" applyFont="1" applyFill="1" applyBorder="1"/>
    <xf numFmtId="0" fontId="3" fillId="67" borderId="240" xfId="0" applyFont="1" applyFill="1" applyBorder="1"/>
    <xf numFmtId="0" fontId="216" fillId="67" borderId="242" xfId="0" applyFont="1" applyFill="1" applyBorder="1" applyAlignment="1">
      <alignment horizontal="center"/>
    </xf>
    <xf numFmtId="0" fontId="216" fillId="67" borderId="243" xfId="0" applyFont="1" applyFill="1" applyBorder="1" applyAlignment="1">
      <alignment horizontal="center"/>
    </xf>
    <xf numFmtId="0" fontId="3" fillId="67" borderId="243" xfId="0" applyFont="1" applyFill="1" applyBorder="1" applyAlignment="1">
      <alignment horizontal="center"/>
    </xf>
    <xf numFmtId="0" fontId="3" fillId="67" borderId="240" xfId="0" applyFont="1" applyFill="1" applyBorder="1" applyAlignment="1">
      <alignment horizontal="center"/>
    </xf>
    <xf numFmtId="0" fontId="3" fillId="5" borderId="243" xfId="0" applyFont="1" applyFill="1" applyBorder="1" applyAlignment="1">
      <alignment horizontal="center"/>
    </xf>
    <xf numFmtId="0" fontId="217" fillId="5" borderId="243" xfId="0" applyFont="1" applyFill="1" applyBorder="1" applyAlignment="1">
      <alignment horizontal="center"/>
    </xf>
    <xf numFmtId="0" fontId="3" fillId="67" borderId="241" xfId="0" applyFont="1" applyFill="1" applyBorder="1" applyAlignment="1">
      <alignment horizontal="center"/>
    </xf>
    <xf numFmtId="0" fontId="218" fillId="5" borderId="243" xfId="0" applyFont="1" applyFill="1" applyBorder="1" applyAlignment="1">
      <alignment horizontal="center"/>
    </xf>
    <xf numFmtId="0" fontId="218" fillId="67" borderId="243" xfId="0" applyFont="1" applyFill="1" applyBorder="1" applyAlignment="1">
      <alignment horizontal="center"/>
    </xf>
    <xf numFmtId="0" fontId="212" fillId="5" borderId="1" xfId="0" applyFont="1" applyFill="1" applyBorder="1"/>
    <xf numFmtId="210" fontId="213" fillId="5" borderId="1" xfId="0" applyNumberFormat="1" applyFont="1" applyFill="1" applyBorder="1" applyAlignment="1">
      <alignment horizontal="center"/>
    </xf>
    <xf numFmtId="15" fontId="213" fillId="5" borderId="1" xfId="0" applyNumberFormat="1" applyFont="1" applyFill="1" applyBorder="1" applyAlignment="1">
      <alignment horizontal="center"/>
    </xf>
    <xf numFmtId="0" fontId="214" fillId="5" borderId="1" xfId="0" applyFont="1" applyFill="1" applyBorder="1" applyAlignment="1">
      <alignment horizontal="center"/>
    </xf>
    <xf numFmtId="0" fontId="215" fillId="5" borderId="1" xfId="0" applyFont="1" applyFill="1" applyBorder="1"/>
    <xf numFmtId="0" fontId="3" fillId="5" borderId="239" xfId="0" applyFont="1" applyFill="1" applyBorder="1" applyAlignment="1">
      <alignment horizontal="center"/>
    </xf>
    <xf numFmtId="0" fontId="219" fillId="5" borderId="244" xfId="0" applyFont="1" applyFill="1" applyBorder="1" applyAlignment="1">
      <alignment horizontal="center"/>
    </xf>
    <xf numFmtId="0" fontId="3" fillId="5" borderId="1" xfId="0" applyFont="1" applyFill="1" applyBorder="1" applyAlignment="1">
      <alignment horizontal="center"/>
    </xf>
    <xf numFmtId="0" fontId="212" fillId="67" borderId="245" xfId="0" applyFont="1" applyFill="1" applyBorder="1"/>
    <xf numFmtId="15" fontId="213" fillId="67" borderId="245" xfId="0" applyNumberFormat="1" applyFont="1" applyFill="1" applyBorder="1" applyAlignment="1">
      <alignment horizontal="center"/>
    </xf>
    <xf numFmtId="0" fontId="214" fillId="67" borderId="245" xfId="0" applyFont="1" applyFill="1" applyBorder="1" applyAlignment="1">
      <alignment horizontal="center"/>
    </xf>
    <xf numFmtId="0" fontId="215" fillId="67" borderId="245" xfId="0" applyFont="1" applyFill="1" applyBorder="1"/>
    <xf numFmtId="0" fontId="3" fillId="67" borderId="245" xfId="0" applyFont="1" applyFill="1" applyBorder="1"/>
    <xf numFmtId="0" fontId="3" fillId="67" borderId="246" xfId="0" applyFont="1" applyFill="1" applyBorder="1" applyAlignment="1">
      <alignment horizontal="center"/>
    </xf>
    <xf numFmtId="0" fontId="220" fillId="67" borderId="247" xfId="0" applyFont="1" applyFill="1" applyBorder="1" applyAlignment="1">
      <alignment horizontal="center"/>
    </xf>
    <xf numFmtId="0" fontId="3" fillId="67" borderId="245" xfId="0" applyFont="1" applyFill="1" applyBorder="1" applyAlignment="1">
      <alignment horizontal="center"/>
    </xf>
    <xf numFmtId="0" fontId="221" fillId="5" borderId="1" xfId="0" applyFont="1" applyFill="1" applyBorder="1"/>
    <xf numFmtId="0" fontId="222" fillId="5" borderId="1" xfId="0" applyFont="1" applyFill="1" applyBorder="1" applyAlignment="1">
      <alignment horizontal="center"/>
    </xf>
    <xf numFmtId="0" fontId="223" fillId="5" borderId="1" xfId="0" applyFont="1" applyFill="1" applyBorder="1"/>
    <xf numFmtId="0" fontId="224" fillId="5" borderId="1" xfId="0" applyFont="1" applyFill="1" applyBorder="1"/>
    <xf numFmtId="0" fontId="225" fillId="5" borderId="1" xfId="0" applyFont="1" applyFill="1" applyBorder="1"/>
    <xf numFmtId="0" fontId="226" fillId="5" borderId="1" xfId="0" applyFont="1" applyFill="1" applyBorder="1"/>
    <xf numFmtId="0" fontId="227" fillId="5" borderId="1" xfId="0" applyFont="1" applyFill="1" applyBorder="1"/>
    <xf numFmtId="0" fontId="228" fillId="5" borderId="1" xfId="0" applyFont="1" applyFill="1" applyBorder="1"/>
    <xf numFmtId="0" fontId="214" fillId="5" borderId="1" xfId="0" applyFont="1" applyFill="1" applyBorder="1"/>
    <xf numFmtId="0" fontId="229" fillId="5" borderId="1" xfId="0" applyFont="1" applyFill="1" applyBorder="1" applyAlignment="1">
      <alignment horizontal="right"/>
    </xf>
    <xf numFmtId="0" fontId="1" fillId="2" borderId="2" xfId="0" applyFont="1" applyFill="1" applyBorder="1" applyAlignment="1">
      <alignment horizontal="left"/>
    </xf>
    <xf numFmtId="0" fontId="2" fillId="0" borderId="3" xfId="0" applyFont="1" applyBorder="1"/>
    <xf numFmtId="0" fontId="4" fillId="0" borderId="0" xfId="0" applyFont="1"/>
    <xf numFmtId="0" fontId="0" fillId="0" borderId="0" xfId="0"/>
    <xf numFmtId="0" fontId="33" fillId="8" borderId="55" xfId="0" applyFont="1" applyFill="1" applyBorder="1" applyAlignment="1">
      <alignment horizontal="left" vertical="center"/>
    </xf>
    <xf numFmtId="0" fontId="2" fillId="0" borderId="56" xfId="0" applyFont="1" applyBorder="1"/>
    <xf numFmtId="0" fontId="33" fillId="8" borderId="57" xfId="0" applyFont="1" applyFill="1" applyBorder="1" applyAlignment="1">
      <alignment horizontal="left" vertical="center"/>
    </xf>
    <xf numFmtId="165" fontId="34" fillId="8" borderId="59" xfId="0" applyNumberFormat="1" applyFont="1" applyFill="1" applyBorder="1" applyAlignment="1">
      <alignment horizontal="left" vertical="center"/>
    </xf>
    <xf numFmtId="0" fontId="2" fillId="0" borderId="60" xfId="0" applyFont="1" applyBorder="1"/>
    <xf numFmtId="164" fontId="35" fillId="8" borderId="61" xfId="0" applyNumberFormat="1" applyFont="1" applyFill="1" applyBorder="1" applyAlignment="1">
      <alignment horizontal="left" vertical="center"/>
    </xf>
    <xf numFmtId="0" fontId="2" fillId="0" borderId="62" xfId="0" applyFont="1" applyBorder="1"/>
    <xf numFmtId="164" fontId="36" fillId="8" borderId="63" xfId="0" applyNumberFormat="1" applyFont="1" applyFill="1" applyBorder="1" applyAlignment="1">
      <alignment horizontal="left" vertical="center"/>
    </xf>
    <xf numFmtId="0" fontId="40" fillId="0" borderId="70" xfId="0" applyFont="1" applyBorder="1" applyAlignment="1">
      <alignment horizontal="center" vertical="center"/>
    </xf>
    <xf numFmtId="0" fontId="2" fillId="0" borderId="71" xfId="0" applyFont="1" applyBorder="1"/>
    <xf numFmtId="0" fontId="2" fillId="0" borderId="72" xfId="0" applyFont="1" applyBorder="1"/>
    <xf numFmtId="0" fontId="33" fillId="8" borderId="85" xfId="0" applyFont="1" applyFill="1" applyBorder="1" applyAlignment="1">
      <alignment horizontal="left" vertical="center"/>
    </xf>
    <xf numFmtId="0" fontId="2" fillId="0" borderId="83" xfId="0" applyFont="1" applyBorder="1"/>
    <xf numFmtId="0" fontId="2" fillId="0" borderId="86" xfId="0" applyFont="1" applyBorder="1"/>
    <xf numFmtId="168" fontId="44" fillId="8" borderId="94" xfId="0" applyNumberFormat="1" applyFont="1" applyFill="1" applyBorder="1" applyAlignment="1">
      <alignment horizontal="left" vertical="center"/>
    </xf>
    <xf numFmtId="0" fontId="2" fillId="0" borderId="92" xfId="0" applyFont="1" applyBorder="1"/>
    <xf numFmtId="0" fontId="2" fillId="0" borderId="95" xfId="0" applyFont="1" applyBorder="1"/>
    <xf numFmtId="0" fontId="66" fillId="0" borderId="0" xfId="0" applyFont="1" applyAlignment="1">
      <alignment horizontal="left" vertical="top"/>
    </xf>
    <xf numFmtId="0" fontId="33" fillId="8" borderId="82" xfId="0" applyFont="1" applyFill="1" applyBorder="1" applyAlignment="1">
      <alignment horizontal="left" vertical="center"/>
    </xf>
    <xf numFmtId="0" fontId="2" fillId="0" borderId="84" xfId="0" applyFont="1" applyBorder="1"/>
    <xf numFmtId="167" fontId="43" fillId="8" borderId="91" xfId="0" applyNumberFormat="1" applyFont="1" applyFill="1" applyBorder="1" applyAlignment="1">
      <alignment horizontal="left" vertical="center"/>
    </xf>
    <xf numFmtId="0" fontId="2" fillId="0" borderId="93" xfId="0" applyFont="1" applyBorder="1"/>
    <xf numFmtId="0" fontId="19" fillId="0" borderId="0" xfId="0" applyFont="1" applyAlignment="1">
      <alignment horizontal="left"/>
    </xf>
    <xf numFmtId="0" fontId="63" fillId="0" borderId="0" xfId="0" applyFont="1" applyAlignment="1">
      <alignment horizontal="left"/>
    </xf>
    <xf numFmtId="0" fontId="64" fillId="0" borderId="0" xfId="0" applyFont="1" applyAlignment="1">
      <alignment horizontal="left"/>
    </xf>
    <xf numFmtId="0" fontId="71" fillId="0" borderId="0" xfId="0" applyFont="1" applyAlignment="1">
      <alignment horizontal="left"/>
    </xf>
    <xf numFmtId="10" fontId="65" fillId="0" borderId="0" xfId="0" applyNumberFormat="1" applyFont="1" applyAlignment="1">
      <alignment horizontal="left"/>
    </xf>
    <xf numFmtId="168" fontId="65" fillId="0" borderId="0" xfId="0" applyNumberFormat="1" applyFont="1" applyAlignment="1">
      <alignment horizontal="left"/>
    </xf>
    <xf numFmtId="0" fontId="72" fillId="0" borderId="0" xfId="0" applyFont="1" applyAlignment="1">
      <alignment horizontal="left"/>
    </xf>
    <xf numFmtId="0" fontId="70" fillId="0" borderId="123" xfId="0" applyFont="1" applyBorder="1" applyAlignment="1">
      <alignment horizontal="left"/>
    </xf>
    <xf numFmtId="0" fontId="2" fillId="0" borderId="123" xfId="0" applyFont="1" applyBorder="1"/>
    <xf numFmtId="175" fontId="65" fillId="0" borderId="0" xfId="0" applyNumberFormat="1" applyFont="1" applyAlignment="1">
      <alignment horizontal="left"/>
    </xf>
    <xf numFmtId="3" fontId="65" fillId="0" borderId="0" xfId="0" applyNumberFormat="1" applyFont="1" applyAlignment="1">
      <alignment horizontal="left"/>
    </xf>
    <xf numFmtId="174" fontId="65" fillId="0" borderId="0" xfId="0" applyNumberFormat="1" applyFont="1" applyAlignment="1">
      <alignment horizontal="left"/>
    </xf>
    <xf numFmtId="0" fontId="65" fillId="0" borderId="0" xfId="0" applyFont="1" applyAlignment="1">
      <alignment horizontal="left"/>
    </xf>
    <xf numFmtId="0" fontId="13" fillId="6" borderId="2" xfId="0" applyFont="1" applyFill="1" applyBorder="1" applyAlignment="1">
      <alignment horizontal="left" vertical="center"/>
    </xf>
    <xf numFmtId="0" fontId="2" fillId="0" borderId="24" xfId="0" applyFont="1" applyBorder="1"/>
    <xf numFmtId="0" fontId="15" fillId="7" borderId="2" xfId="0" applyFont="1" applyFill="1" applyBorder="1" applyAlignment="1">
      <alignment horizontal="left" vertical="center"/>
    </xf>
    <xf numFmtId="0" fontId="21" fillId="5" borderId="30" xfId="0" applyFont="1" applyFill="1" applyBorder="1" applyAlignment="1">
      <alignment horizontal="center" vertical="center"/>
    </xf>
    <xf numFmtId="0" fontId="2" fillId="0" borderId="31" xfId="0" applyFont="1" applyBorder="1"/>
    <xf numFmtId="0" fontId="22" fillId="5" borderId="32" xfId="0" applyFont="1" applyFill="1" applyBorder="1" applyAlignment="1">
      <alignment horizontal="center" vertical="center"/>
    </xf>
    <xf numFmtId="0" fontId="2" fillId="0" borderId="33" xfId="0" applyFont="1" applyBorder="1"/>
    <xf numFmtId="0" fontId="23" fillId="5" borderId="34" xfId="0" applyFont="1" applyFill="1" applyBorder="1" applyAlignment="1">
      <alignment horizontal="center" vertical="center"/>
    </xf>
    <xf numFmtId="0" fontId="2" fillId="0" borderId="35" xfId="0" applyFont="1" applyBorder="1"/>
    <xf numFmtId="0" fontId="24" fillId="5" borderId="36" xfId="0" applyFont="1" applyFill="1" applyBorder="1" applyAlignment="1">
      <alignment horizontal="center" vertical="center"/>
    </xf>
    <xf numFmtId="0" fontId="2" fillId="0" borderId="37" xfId="0" applyFont="1" applyBorder="1"/>
    <xf numFmtId="0" fontId="25" fillId="5" borderId="38" xfId="0" applyFont="1" applyFill="1" applyBorder="1" applyAlignment="1">
      <alignment horizontal="center" vertical="center"/>
    </xf>
    <xf numFmtId="0" fontId="2" fillId="0" borderId="39" xfId="0" applyFont="1" applyBorder="1"/>
    <xf numFmtId="0" fontId="20" fillId="5" borderId="28" xfId="0" applyFont="1" applyFill="1" applyBorder="1" applyAlignment="1">
      <alignment horizontal="center" vertical="center"/>
    </xf>
    <xf numFmtId="0" fontId="2" fillId="0" borderId="29" xfId="0" applyFont="1" applyBorder="1"/>
    <xf numFmtId="164" fontId="26" fillId="5" borderId="40" xfId="0" applyNumberFormat="1" applyFont="1" applyFill="1" applyBorder="1" applyAlignment="1">
      <alignment horizontal="center" vertical="center"/>
    </xf>
    <xf numFmtId="0" fontId="2" fillId="0" borderId="41" xfId="0" applyFont="1" applyBorder="1"/>
    <xf numFmtId="0" fontId="2" fillId="0" borderId="44" xfId="0" applyFont="1" applyBorder="1"/>
    <xf numFmtId="0" fontId="2" fillId="0" borderId="45" xfId="0" applyFont="1" applyBorder="1"/>
    <xf numFmtId="164" fontId="27" fillId="5" borderId="42" xfId="0" applyNumberFormat="1" applyFont="1" applyFill="1" applyBorder="1" applyAlignment="1">
      <alignment horizontal="center" vertical="center"/>
    </xf>
    <xf numFmtId="0" fontId="2" fillId="0" borderId="46" xfId="0" applyFont="1" applyBorder="1"/>
    <xf numFmtId="165" fontId="28" fillId="5" borderId="42" xfId="0" applyNumberFormat="1" applyFont="1" applyFill="1" applyBorder="1" applyAlignment="1">
      <alignment horizontal="center" vertical="center"/>
    </xf>
    <xf numFmtId="166" fontId="29" fillId="5" borderId="42" xfId="0" applyNumberFormat="1" applyFont="1" applyFill="1" applyBorder="1" applyAlignment="1">
      <alignment horizontal="center" vertical="center"/>
    </xf>
    <xf numFmtId="166" fontId="30" fillId="5" borderId="42" xfId="0" applyNumberFormat="1" applyFont="1" applyFill="1" applyBorder="1" applyAlignment="1">
      <alignment horizontal="center" vertical="center"/>
    </xf>
    <xf numFmtId="49" fontId="31" fillId="5" borderId="42" xfId="0" applyNumberFormat="1" applyFont="1" applyFill="1" applyBorder="1" applyAlignment="1">
      <alignment horizontal="center" vertical="center"/>
    </xf>
    <xf numFmtId="0" fontId="2" fillId="0" borderId="43" xfId="0" applyFont="1" applyBorder="1"/>
    <xf numFmtId="0" fontId="2" fillId="0" borderId="47" xfId="0" applyFont="1" applyBorder="1"/>
    <xf numFmtId="0" fontId="32" fillId="5" borderId="48" xfId="0" applyFont="1" applyFill="1" applyBorder="1" applyAlignment="1">
      <alignment horizontal="center" vertical="center"/>
    </xf>
    <xf numFmtId="0" fontId="2" fillId="0" borderId="49" xfId="0" applyFont="1" applyBorder="1"/>
    <xf numFmtId="0" fontId="32" fillId="5" borderId="50" xfId="0" applyFont="1" applyFill="1" applyBorder="1" applyAlignment="1">
      <alignment horizontal="center" vertical="center"/>
    </xf>
    <xf numFmtId="0" fontId="2" fillId="0" borderId="51" xfId="0" applyFont="1" applyBorder="1"/>
    <xf numFmtId="0" fontId="33" fillId="8" borderId="53" xfId="0" applyFont="1" applyFill="1" applyBorder="1" applyAlignment="1">
      <alignment horizontal="left" vertical="center"/>
    </xf>
    <xf numFmtId="0" fontId="2" fillId="0" borderId="54" xfId="0" applyFont="1" applyBorder="1"/>
    <xf numFmtId="0" fontId="2" fillId="0" borderId="58" xfId="0" applyFont="1" applyBorder="1"/>
    <xf numFmtId="0" fontId="33" fillId="8" borderId="87" xfId="0" applyFont="1" applyFill="1" applyBorder="1" applyAlignment="1">
      <alignment horizontal="left" vertical="center"/>
    </xf>
    <xf numFmtId="0" fontId="2" fillId="0" borderId="88" xfId="0" applyFont="1" applyBorder="1"/>
    <xf numFmtId="164" fontId="45" fillId="8" borderId="96" xfId="0" applyNumberFormat="1" applyFont="1" applyFill="1" applyBorder="1" applyAlignment="1">
      <alignment horizontal="left" vertical="center"/>
    </xf>
    <xf numFmtId="0" fontId="2" fillId="0" borderId="97" xfId="0" applyFont="1" applyBorder="1"/>
    <xf numFmtId="165" fontId="36" fillId="8" borderId="63" xfId="0" applyNumberFormat="1" applyFont="1" applyFill="1" applyBorder="1" applyAlignment="1">
      <alignment horizontal="left" vertical="center"/>
    </xf>
    <xf numFmtId="166" fontId="37" fillId="8" borderId="63" xfId="0" applyNumberFormat="1" applyFont="1" applyFill="1" applyBorder="1" applyAlignment="1">
      <alignment horizontal="left" vertical="center"/>
    </xf>
    <xf numFmtId="164" fontId="38" fillId="8" borderId="63" xfId="0" applyNumberFormat="1" applyFont="1" applyFill="1" applyBorder="1" applyAlignment="1">
      <alignment horizontal="left" vertical="center"/>
    </xf>
    <xf numFmtId="0" fontId="2" fillId="0" borderId="64" xfId="0" applyFont="1" applyBorder="1"/>
    <xf numFmtId="0" fontId="33" fillId="8" borderId="89" xfId="0" applyFont="1" applyFill="1" applyBorder="1" applyAlignment="1">
      <alignment horizontal="left" vertical="center"/>
    </xf>
    <xf numFmtId="0" fontId="2" fillId="0" borderId="90" xfId="0" applyFont="1" applyBorder="1"/>
    <xf numFmtId="168" fontId="46" fillId="8" borderId="98" xfId="0" applyNumberFormat="1" applyFont="1" applyFill="1" applyBorder="1" applyAlignment="1">
      <alignment horizontal="left" vertical="center"/>
    </xf>
    <xf numFmtId="0" fontId="52" fillId="0" borderId="0" xfId="0" applyFont="1"/>
    <xf numFmtId="0" fontId="52" fillId="6" borderId="128" xfId="0" applyFont="1" applyFill="1" applyBorder="1"/>
    <xf numFmtId="0" fontId="2" fillId="0" borderId="129" xfId="0" applyFont="1" applyBorder="1"/>
    <xf numFmtId="0" fontId="2" fillId="0" borderId="130" xfId="0" applyFont="1" applyBorder="1"/>
    <xf numFmtId="0" fontId="78" fillId="0" borderId="119" xfId="0" applyFont="1" applyBorder="1"/>
    <xf numFmtId="0" fontId="2" fillId="0" borderId="120" xfId="0" applyFont="1" applyBorder="1"/>
    <xf numFmtId="0" fontId="52" fillId="25" borderId="2" xfId="0" applyFont="1" applyFill="1" applyBorder="1" applyAlignment="1">
      <alignment horizontal="center"/>
    </xf>
    <xf numFmtId="0" fontId="73" fillId="19" borderId="2" xfId="0" applyFont="1" applyFill="1" applyBorder="1"/>
    <xf numFmtId="0" fontId="52" fillId="19" borderId="128" xfId="0" applyFont="1" applyFill="1" applyBorder="1"/>
    <xf numFmtId="0" fontId="73" fillId="16" borderId="2" xfId="0" applyFont="1" applyFill="1" applyBorder="1" applyAlignment="1">
      <alignment horizontal="left" vertical="center"/>
    </xf>
    <xf numFmtId="0" fontId="63" fillId="12" borderId="2" xfId="0" applyFont="1" applyFill="1" applyBorder="1" applyAlignment="1">
      <alignment horizontal="left" vertical="center"/>
    </xf>
    <xf numFmtId="0" fontId="52" fillId="28" borderId="2" xfId="0" applyFont="1" applyFill="1" applyBorder="1" applyAlignment="1">
      <alignment horizontal="left" vertical="center"/>
    </xf>
    <xf numFmtId="0" fontId="78" fillId="12" borderId="138" xfId="0" applyFont="1" applyFill="1" applyBorder="1" applyAlignment="1">
      <alignment horizontal="left" vertical="center" wrapText="1"/>
    </xf>
    <xf numFmtId="0" fontId="2" fillId="0" borderId="139" xfId="0" applyFont="1" applyBorder="1"/>
    <xf numFmtId="0" fontId="2" fillId="0" borderId="140" xfId="0" applyFont="1" applyBorder="1"/>
    <xf numFmtId="0" fontId="76" fillId="29" borderId="138" xfId="0" applyFont="1" applyFill="1" applyBorder="1" applyAlignment="1">
      <alignment horizontal="center" vertical="center"/>
    </xf>
    <xf numFmtId="0" fontId="78" fillId="5" borderId="138" xfId="0" applyFont="1" applyFill="1" applyBorder="1" applyAlignment="1">
      <alignment horizontal="left" vertical="center"/>
    </xf>
    <xf numFmtId="0" fontId="52" fillId="19" borderId="2" xfId="0" applyFont="1" applyFill="1" applyBorder="1"/>
    <xf numFmtId="0" fontId="78" fillId="0" borderId="0" xfId="0" applyFont="1"/>
    <xf numFmtId="0" fontId="108" fillId="33" borderId="0" xfId="0" applyFont="1" applyFill="1" applyAlignment="1">
      <alignment horizontal="left"/>
    </xf>
    <xf numFmtId="0" fontId="91" fillId="0" borderId="0" xfId="0" applyFont="1"/>
    <xf numFmtId="0" fontId="91" fillId="0" borderId="0" xfId="0" applyFont="1" applyAlignment="1">
      <alignment horizontal="right"/>
    </xf>
    <xf numFmtId="0" fontId="52" fillId="19" borderId="142" xfId="0" applyFont="1" applyFill="1" applyBorder="1" applyAlignment="1">
      <alignment horizontal="center" vertical="center"/>
    </xf>
    <xf numFmtId="0" fontId="2" fillId="0" borderId="143" xfId="0" applyFont="1" applyBorder="1"/>
    <xf numFmtId="0" fontId="2" fillId="0" borderId="144" xfId="0" applyFont="1" applyBorder="1"/>
    <xf numFmtId="0" fontId="15" fillId="33" borderId="145" xfId="0" applyFont="1" applyFill="1" applyBorder="1" applyAlignment="1">
      <alignment horizontal="center" vertical="center"/>
    </xf>
    <xf numFmtId="0" fontId="2" fillId="0" borderId="146" xfId="0" applyFont="1" applyBorder="1"/>
    <xf numFmtId="0" fontId="52" fillId="19" borderId="149" xfId="0" applyFont="1" applyFill="1" applyBorder="1" applyAlignment="1">
      <alignment horizontal="left" vertical="center"/>
    </xf>
    <xf numFmtId="0" fontId="2" fillId="0" borderId="150" xfId="0" applyFont="1" applyBorder="1"/>
    <xf numFmtId="0" fontId="2" fillId="0" borderId="151" xfId="0" applyFont="1" applyBorder="1"/>
    <xf numFmtId="0" fontId="52" fillId="19" borderId="152" xfId="0" applyFont="1" applyFill="1" applyBorder="1" applyAlignment="1">
      <alignment vertical="center"/>
    </xf>
    <xf numFmtId="0" fontId="2" fillId="0" borderId="153" xfId="0" applyFont="1" applyBorder="1"/>
    <xf numFmtId="0" fontId="52" fillId="19" borderId="171" xfId="0" applyFont="1" applyFill="1" applyBorder="1" applyAlignment="1">
      <alignment horizontal="left" vertical="center"/>
    </xf>
    <xf numFmtId="0" fontId="2" fillId="0" borderId="172" xfId="0" applyFont="1" applyBorder="1"/>
    <xf numFmtId="0" fontId="2" fillId="0" borderId="173" xfId="0" applyFont="1" applyBorder="1"/>
    <xf numFmtId="0" fontId="52" fillId="19" borderId="44" xfId="0" applyFont="1" applyFill="1" applyBorder="1"/>
    <xf numFmtId="0" fontId="2" fillId="0" borderId="190" xfId="0" applyFont="1" applyBorder="1"/>
    <xf numFmtId="0" fontId="10" fillId="0" borderId="23" xfId="0" applyFont="1" applyBorder="1"/>
    <xf numFmtId="0" fontId="2" fillId="0" borderId="52" xfId="0" applyFont="1" applyBorder="1"/>
    <xf numFmtId="0" fontId="67" fillId="0" borderId="0" xfId="0" applyFont="1"/>
    <xf numFmtId="0" fontId="149" fillId="0" borderId="0" xfId="0" applyFont="1" applyAlignment="1">
      <alignment horizontal="left" vertical="center" wrapText="1"/>
    </xf>
    <xf numFmtId="191" fontId="86" fillId="51" borderId="2" xfId="0" applyNumberFormat="1" applyFont="1" applyFill="1" applyBorder="1" applyAlignment="1">
      <alignment horizontal="center"/>
    </xf>
    <xf numFmtId="174" fontId="10" fillId="0" borderId="0" xfId="0" applyNumberFormat="1" applyFont="1" applyAlignment="1">
      <alignment vertical="center"/>
    </xf>
    <xf numFmtId="0" fontId="10" fillId="0" borderId="0" xfId="0" applyFont="1" applyAlignment="1">
      <alignment vertical="center"/>
    </xf>
    <xf numFmtId="0" fontId="172" fillId="19" borderId="202" xfId="0" applyFont="1" applyFill="1" applyBorder="1"/>
    <xf numFmtId="0" fontId="2" fillId="0" borderId="203" xfId="0" applyFont="1" applyBorder="1"/>
    <xf numFmtId="0" fontId="2" fillId="0" borderId="204" xfId="0" applyFont="1" applyBorder="1"/>
    <xf numFmtId="0" fontId="10" fillId="0" borderId="0" xfId="0" applyFont="1" applyAlignment="1">
      <alignment horizontal="center" wrapText="1"/>
    </xf>
    <xf numFmtId="0" fontId="10" fillId="0" borderId="0" xfId="0" applyFont="1"/>
    <xf numFmtId="0" fontId="60" fillId="6" borderId="2" xfId="0" applyFont="1" applyFill="1" applyBorder="1"/>
    <xf numFmtId="0" fontId="60" fillId="6" borderId="2" xfId="0" applyFont="1" applyFill="1" applyBorder="1" applyAlignment="1">
      <alignment horizontal="left"/>
    </xf>
    <xf numFmtId="0" fontId="52" fillId="15" borderId="224" xfId="0" applyFont="1" applyFill="1" applyBorder="1" applyAlignment="1">
      <alignment horizontal="center"/>
    </xf>
    <xf numFmtId="0" fontId="2" fillId="0" borderId="211" xfId="0" applyFont="1" applyBorder="1"/>
    <xf numFmtId="0" fontId="2" fillId="0" borderId="225" xfId="0" applyFont="1" applyBorder="1"/>
    <xf numFmtId="174" fontId="67" fillId="0" borderId="224" xfId="0" applyNumberFormat="1" applyFont="1" applyBorder="1" applyAlignment="1">
      <alignment horizontal="right"/>
    </xf>
    <xf numFmtId="0" fontId="10" fillId="0" borderId="224" xfId="0" applyFont="1" applyBorder="1" applyAlignment="1">
      <alignment horizontal="left"/>
    </xf>
    <xf numFmtId="0" fontId="67" fillId="30" borderId="224" xfId="0" applyFont="1" applyFill="1" applyBorder="1" applyAlignment="1">
      <alignment horizontal="center"/>
    </xf>
    <xf numFmtId="0" fontId="199" fillId="5" borderId="133" xfId="0" applyFont="1" applyFill="1" applyBorder="1" applyAlignment="1">
      <alignment vertical="center"/>
    </xf>
    <xf numFmtId="0" fontId="2" fillId="0" borderId="135" xfId="0" applyFont="1" applyBorder="1"/>
    <xf numFmtId="0" fontId="2" fillId="0" borderId="134" xfId="0" applyFont="1" applyBorder="1"/>
    <xf numFmtId="0" fontId="201" fillId="5" borderId="0" xfId="0" applyFont="1" applyFill="1"/>
    <xf numFmtId="0" fontId="205" fillId="5" borderId="133" xfId="0" applyFont="1" applyFill="1" applyBorder="1" applyAlignment="1">
      <alignment horizontal="center" vertical="center"/>
    </xf>
    <xf numFmtId="0" fontId="32" fillId="5" borderId="228" xfId="0" applyFont="1" applyFill="1" applyBorder="1" applyAlignment="1">
      <alignment horizontal="center" vertical="center"/>
    </xf>
    <xf numFmtId="0" fontId="2" fillId="0" borderId="229" xfId="0" applyFont="1" applyBorder="1"/>
    <xf numFmtId="164" fontId="206" fillId="5" borderId="115" xfId="0" applyNumberFormat="1" applyFont="1" applyFill="1" applyBorder="1" applyAlignment="1">
      <alignment horizontal="center" vertical="center"/>
    </xf>
    <xf numFmtId="0" fontId="2" fillId="0" borderId="126" xfId="0" applyFont="1" applyBorder="1"/>
    <xf numFmtId="0" fontId="2" fillId="0" borderId="226" xfId="0" applyFont="1" applyBorder="1"/>
    <xf numFmtId="0" fontId="2" fillId="0" borderId="227" xfId="0" applyFont="1" applyBorder="1"/>
    <xf numFmtId="165" fontId="206" fillId="5" borderId="115" xfId="0" applyNumberFormat="1" applyFont="1" applyFill="1" applyBorder="1" applyAlignment="1">
      <alignment horizontal="center" vertical="center"/>
    </xf>
    <xf numFmtId="166" fontId="206" fillId="5" borderId="115" xfId="0" applyNumberFormat="1" applyFont="1" applyFill="1" applyBorder="1" applyAlignment="1">
      <alignment horizontal="center" vertical="center"/>
    </xf>
    <xf numFmtId="49" fontId="206" fillId="5" borderId="115" xfId="0" applyNumberFormat="1" applyFont="1" applyFill="1" applyBorder="1" applyAlignment="1">
      <alignment horizontal="center" vertical="center"/>
    </xf>
    <xf numFmtId="0" fontId="33" fillId="8" borderId="226" xfId="0" applyFont="1" applyFill="1" applyBorder="1" applyAlignment="1">
      <alignment horizontal="center" vertical="center"/>
    </xf>
    <xf numFmtId="0" fontId="2" fillId="0" borderId="230" xfId="0" applyFont="1" applyBorder="1"/>
    <xf numFmtId="165" fontId="34" fillId="8" borderId="228" xfId="0" applyNumberFormat="1" applyFont="1" applyFill="1" applyBorder="1" applyAlignment="1">
      <alignment horizontal="center" vertical="center"/>
    </xf>
    <xf numFmtId="0" fontId="2" fillId="0" borderId="234" xfId="0" applyFont="1" applyBorder="1"/>
    <xf numFmtId="164" fontId="35" fillId="8" borderId="235" xfId="0" applyNumberFormat="1" applyFont="1" applyFill="1" applyBorder="1" applyAlignment="1">
      <alignment horizontal="center" vertical="center"/>
    </xf>
    <xf numFmtId="0" fontId="2" fillId="0" borderId="236" xfId="0" applyFont="1" applyBorder="1"/>
    <xf numFmtId="164" fontId="36" fillId="8" borderId="237" xfId="0" applyNumberFormat="1" applyFont="1" applyFill="1" applyBorder="1" applyAlignment="1">
      <alignment horizontal="center" vertical="center"/>
    </xf>
    <xf numFmtId="165" fontId="36" fillId="8" borderId="237" xfId="0" applyNumberFormat="1" applyFont="1" applyFill="1" applyBorder="1" applyAlignment="1">
      <alignment horizontal="center" vertical="center"/>
    </xf>
    <xf numFmtId="166" fontId="37" fillId="8" borderId="237" xfId="0" applyNumberFormat="1" applyFont="1" applyFill="1" applyBorder="1" applyAlignment="1">
      <alignment horizontal="center" vertical="center"/>
    </xf>
    <xf numFmtId="164" fontId="38" fillId="8" borderId="237" xfId="0" applyNumberFormat="1" applyFont="1" applyFill="1" applyBorder="1" applyAlignment="1">
      <alignment horizontal="center" vertical="center"/>
    </xf>
    <xf numFmtId="0" fontId="33" fillId="8" borderId="231" xfId="0" applyFont="1" applyFill="1" applyBorder="1" applyAlignment="1">
      <alignment horizontal="center" vertical="center"/>
    </xf>
    <xf numFmtId="0" fontId="2" fillId="0" borderId="232" xfId="0" applyFont="1" applyBorder="1"/>
    <xf numFmtId="0" fontId="33" fillId="8" borderId="233" xfId="0" applyFont="1" applyFill="1" applyBorder="1" applyAlignment="1">
      <alignment horizontal="center" vertical="center"/>
    </xf>
    <xf numFmtId="0" fontId="76" fillId="19" borderId="131" xfId="0" applyFont="1" applyFill="1" applyBorder="1" applyAlignment="1">
      <alignment horizontal="center" vertical="center"/>
    </xf>
    <xf numFmtId="0" fontId="52" fillId="24" borderId="128" xfId="0" applyFont="1" applyFill="1" applyBorder="1" applyAlignment="1"/>
    <xf numFmtId="0" fontId="2" fillId="0" borderId="130" xfId="0" applyFont="1" applyBorder="1" applyAlignment="1"/>
    <xf numFmtId="0" fontId="2" fillId="0" borderId="129" xfId="0" applyFont="1" applyBorder="1" applyAlignment="1"/>
    <xf numFmtId="174" fontId="10" fillId="0" borderId="0" xfId="0" applyNumberFormat="1" applyFont="1" applyFill="1" applyAlignment="1">
      <alignment horizontal="right" vertical="center" wrapText="1"/>
    </xf>
    <xf numFmtId="0" fontId="50" fillId="68" borderId="191" xfId="0" applyFont="1" applyFill="1" applyBorder="1"/>
    <xf numFmtId="0" fontId="50" fillId="68" borderId="191" xfId="0" applyFont="1" applyFill="1" applyBorder="1" applyAlignment="1">
      <alignment horizontal="left" vertical="center" wrapText="1"/>
    </xf>
    <xf numFmtId="0" fontId="50" fillId="68" borderId="191" xfId="0" applyFont="1" applyFill="1" applyBorder="1" applyAlignment="1">
      <alignment horizontal="center" vertical="center" wrapText="1"/>
    </xf>
    <xf numFmtId="0" fontId="50" fillId="68" borderId="191" xfId="0" applyFont="1" applyFill="1" applyBorder="1" applyAlignment="1">
      <alignment horizontal="right"/>
    </xf>
    <xf numFmtId="168" fontId="50" fillId="68" borderId="191" xfId="0" applyNumberFormat="1" applyFont="1" applyFill="1" applyBorder="1"/>
    <xf numFmtId="181" fontId="50" fillId="68" borderId="191" xfId="0" applyNumberFormat="1" applyFont="1" applyFill="1" applyBorder="1" applyAlignment="1">
      <alignment horizontal="left" vertical="center" wrapText="1"/>
    </xf>
    <xf numFmtId="0" fontId="50" fillId="68" borderId="191" xfId="0" applyFont="1" applyFill="1" applyBorder="1" applyAlignment="1">
      <alignment horizontal="left" vertical="center"/>
    </xf>
    <xf numFmtId="181" fontId="50" fillId="68" borderId="191" xfId="0" applyNumberFormat="1" applyFont="1" applyFill="1" applyBorder="1" applyAlignment="1">
      <alignment horizontal="right" vertical="center" wrapText="1"/>
    </xf>
    <xf numFmtId="0" fontId="50" fillId="68" borderId="191" xfId="0" applyFont="1" applyFill="1" applyBorder="1" applyAlignment="1">
      <alignment horizontal="center"/>
    </xf>
    <xf numFmtId="174" fontId="50" fillId="68" borderId="191" xfId="0" applyNumberFormat="1" applyFont="1" applyFill="1" applyBorder="1" applyAlignment="1">
      <alignment vertical="center"/>
    </xf>
    <xf numFmtId="0" fontId="50" fillId="68" borderId="191" xfId="0" applyFont="1" applyFill="1" applyBorder="1" applyAlignment="1">
      <alignment horizontal="left"/>
    </xf>
    <xf numFmtId="174" fontId="50" fillId="68" borderId="191" xfId="0" applyNumberFormat="1" applyFont="1" applyFill="1" applyBorder="1" applyAlignment="1">
      <alignment horizontal="right" vertical="center"/>
    </xf>
    <xf numFmtId="178" fontId="50" fillId="68" borderId="191" xfId="0" applyNumberFormat="1" applyFont="1" applyFill="1" applyBorder="1" applyAlignment="1">
      <alignment horizontal="right"/>
    </xf>
    <xf numFmtId="0" fontId="73" fillId="69" borderId="248" xfId="0" applyFont="1" applyFill="1" applyBorder="1" applyAlignment="1">
      <alignment horizontal="left" vertical="center" indent="1"/>
    </xf>
    <xf numFmtId="0" fontId="50" fillId="68" borderId="248" xfId="0" applyFont="1" applyFill="1" applyBorder="1"/>
    <xf numFmtId="168" fontId="50" fillId="68" borderId="191" xfId="0" applyNumberFormat="1" applyFont="1" applyFill="1" applyBorder="1" applyAlignment="1">
      <alignment horizontal="right" vertical="center" wrapText="1"/>
    </xf>
    <xf numFmtId="0" fontId="50" fillId="68" borderId="191" xfId="0" applyFont="1" applyFill="1" applyBorder="1" applyAlignment="1">
      <alignment horizontal="right" vertical="center" wrapText="1"/>
    </xf>
    <xf numFmtId="10" fontId="50" fillId="68" borderId="191" xfId="0" applyNumberFormat="1" applyFont="1" applyFill="1" applyBorder="1" applyAlignment="1">
      <alignment horizontal="right" vertical="center" wrapText="1"/>
    </xf>
    <xf numFmtId="0" fontId="48" fillId="70" borderId="249" xfId="0" applyFont="1" applyFill="1" applyBorder="1" applyAlignment="1">
      <alignment horizontal="right" vertical="center" wrapText="1"/>
    </xf>
    <xf numFmtId="0" fontId="50" fillId="68" borderId="210" xfId="0" applyFont="1" applyFill="1" applyBorder="1" applyAlignment="1">
      <alignment horizontal="right" vertical="center" wrapText="1"/>
    </xf>
    <xf numFmtId="0" fontId="48" fillId="70" borderId="250" xfId="0" applyFont="1" applyFill="1" applyBorder="1" applyAlignment="1">
      <alignment horizontal="left" vertical="center" wrapText="1"/>
    </xf>
    <xf numFmtId="0" fontId="50" fillId="68" borderId="251" xfId="0" applyFont="1" applyFill="1" applyBorder="1" applyAlignment="1">
      <alignment horizontal="left"/>
    </xf>
    <xf numFmtId="164" fontId="50" fillId="68" borderId="251" xfId="0" applyNumberFormat="1" applyFont="1" applyFill="1" applyBorder="1" applyAlignment="1">
      <alignment horizontal="left" vertical="center" wrapText="1"/>
    </xf>
    <xf numFmtId="164" fontId="50" fillId="68" borderId="252" xfId="0" applyNumberFormat="1" applyFont="1" applyFill="1" applyBorder="1" applyAlignment="1">
      <alignment horizontal="left" vertical="center" wrapText="1"/>
    </xf>
    <xf numFmtId="0" fontId="48" fillId="70" borderId="253" xfId="0" applyFont="1" applyFill="1" applyBorder="1" applyAlignment="1">
      <alignment horizontal="right" vertical="center" wrapText="1"/>
    </xf>
    <xf numFmtId="168" fontId="50" fillId="68" borderId="254" xfId="0" applyNumberFormat="1" applyFont="1" applyFill="1" applyBorder="1" applyAlignment="1">
      <alignment horizontal="right" vertical="center" wrapText="1"/>
    </xf>
    <xf numFmtId="0" fontId="50" fillId="68" borderId="254" xfId="0" applyFont="1" applyFill="1" applyBorder="1" applyAlignment="1">
      <alignment horizontal="right" vertical="center" wrapText="1"/>
    </xf>
    <xf numFmtId="10" fontId="50" fillId="68" borderId="254" xfId="0" applyNumberFormat="1" applyFont="1" applyFill="1" applyBorder="1" applyAlignment="1">
      <alignment horizontal="right" vertical="center" wrapText="1"/>
    </xf>
    <xf numFmtId="181" fontId="50" fillId="68" borderId="254" xfId="0" applyNumberFormat="1" applyFont="1" applyFill="1" applyBorder="1" applyAlignment="1">
      <alignment horizontal="right" vertical="center" wrapText="1"/>
    </xf>
    <xf numFmtId="0" fontId="50" fillId="68" borderId="255" xfId="0" applyFont="1" applyFill="1" applyBorder="1" applyAlignment="1">
      <alignment horizontal="right" vertical="center" wrapText="1"/>
    </xf>
    <xf numFmtId="0" fontId="52" fillId="69" borderId="191" xfId="0" applyFont="1" applyFill="1" applyBorder="1" applyAlignment="1">
      <alignment horizontal="left" vertical="center" wrapText="1"/>
    </xf>
    <xf numFmtId="0" fontId="52" fillId="69" borderId="191" xfId="0" applyFont="1" applyFill="1" applyBorder="1" applyAlignment="1">
      <alignment horizontal="left" vertical="center"/>
    </xf>
    <xf numFmtId="181" fontId="232" fillId="68" borderId="191" xfId="0" applyNumberFormat="1" applyFont="1" applyFill="1" applyBorder="1" applyAlignment="1">
      <alignment horizontal="right" vertical="center" wrapText="1"/>
    </xf>
    <xf numFmtId="0" fontId="232" fillId="68" borderId="191" xfId="0" applyFont="1" applyFill="1" applyBorder="1" applyAlignment="1">
      <alignment horizontal="left" vertical="center" wrapText="1"/>
    </xf>
    <xf numFmtId="174" fontId="53" fillId="70" borderId="191" xfId="0" applyNumberFormat="1" applyFont="1" applyFill="1" applyBorder="1" applyAlignment="1">
      <alignment horizontal="right" vertical="center" wrapText="1"/>
    </xf>
    <xf numFmtId="211" fontId="233" fillId="68" borderId="191" xfId="0" applyNumberFormat="1" applyFont="1" applyFill="1" applyBorder="1" applyAlignment="1">
      <alignment horizontal="right" vertical="center"/>
    </xf>
    <xf numFmtId="212" fontId="50" fillId="68" borderId="191" xfId="0" applyNumberFormat="1" applyFont="1" applyFill="1" applyBorder="1" applyAlignment="1">
      <alignment horizontal="right" vertical="center"/>
    </xf>
    <xf numFmtId="0" fontId="48" fillId="68" borderId="191" xfId="0" applyFont="1" applyFill="1" applyBorder="1" applyAlignment="1">
      <alignment horizontal="left"/>
    </xf>
    <xf numFmtId="0" fontId="48" fillId="68" borderId="249" xfId="0" applyFont="1" applyFill="1" applyBorder="1" applyAlignment="1">
      <alignment horizontal="left" vertical="center" wrapText="1"/>
    </xf>
    <xf numFmtId="0" fontId="48" fillId="68" borderId="249" xfId="0" applyFont="1" applyFill="1" applyBorder="1" applyAlignment="1">
      <alignment horizontal="left"/>
    </xf>
    <xf numFmtId="178" fontId="48" fillId="68" borderId="249" xfId="0" applyNumberFormat="1" applyFont="1" applyFill="1" applyBorder="1"/>
    <xf numFmtId="212" fontId="48" fillId="68" borderId="249" xfId="0" applyNumberFormat="1" applyFont="1" applyFill="1" applyBorder="1" applyAlignment="1">
      <alignment horizontal="right" vertical="center"/>
    </xf>
    <xf numFmtId="0" fontId="52" fillId="69" borderId="191" xfId="0" applyFont="1" applyFill="1" applyBorder="1" applyAlignment="1">
      <alignment horizontal="left"/>
    </xf>
    <xf numFmtId="178" fontId="52" fillId="69" borderId="191" xfId="0" applyNumberFormat="1" applyFont="1" applyFill="1" applyBorder="1" applyAlignment="1">
      <alignment horizontal="left" vertical="center"/>
    </xf>
    <xf numFmtId="0" fontId="135" fillId="68" borderId="191" xfId="0" applyFont="1" applyFill="1" applyBorder="1" applyAlignment="1">
      <alignment horizontal="left"/>
    </xf>
    <xf numFmtId="0" fontId="53" fillId="68" borderId="191" xfId="0" applyFont="1" applyFill="1" applyBorder="1" applyAlignment="1">
      <alignment horizontal="left"/>
    </xf>
    <xf numFmtId="10" fontId="50" fillId="68" borderId="191" xfId="0" applyNumberFormat="1" applyFont="1" applyFill="1" applyBorder="1" applyAlignment="1">
      <alignment horizontal="right"/>
    </xf>
    <xf numFmtId="164" fontId="50" fillId="68" borderId="191" xfId="0" applyNumberFormat="1" applyFont="1" applyFill="1" applyBorder="1" applyAlignment="1">
      <alignment horizontal="right"/>
    </xf>
    <xf numFmtId="3" fontId="50" fillId="68" borderId="191" xfId="0" applyNumberFormat="1" applyFont="1" applyFill="1" applyBorder="1" applyAlignment="1">
      <alignment horizontal="right"/>
    </xf>
    <xf numFmtId="0" fontId="135" fillId="68" borderId="191" xfId="0" applyFont="1" applyFill="1" applyBorder="1"/>
    <xf numFmtId="178" fontId="53" fillId="70" borderId="191" xfId="0" applyNumberFormat="1" applyFont="1" applyFill="1" applyBorder="1" applyAlignment="1">
      <alignment horizontal="right"/>
    </xf>
    <xf numFmtId="0" fontId="53" fillId="70" borderId="191" xfId="0" applyFont="1" applyFill="1" applyBorder="1" applyAlignment="1">
      <alignment horizontal="right"/>
    </xf>
    <xf numFmtId="212" fontId="50" fillId="68" borderId="191" xfId="0" applyNumberFormat="1" applyFont="1" applyFill="1" applyBorder="1" applyAlignment="1">
      <alignment horizontal="right"/>
    </xf>
    <xf numFmtId="0" fontId="48" fillId="68" borderId="191" xfId="0" applyFont="1" applyFill="1" applyBorder="1"/>
    <xf numFmtId="212" fontId="48" fillId="68" borderId="191" xfId="0" applyNumberFormat="1" applyFont="1" applyFill="1" applyBorder="1" applyAlignment="1">
      <alignment horizontal="right"/>
    </xf>
    <xf numFmtId="0" fontId="48" fillId="68" borderId="249" xfId="0" applyFont="1" applyFill="1" applyBorder="1"/>
    <xf numFmtId="212" fontId="48" fillId="68" borderId="249" xfId="0" applyNumberFormat="1" applyFont="1" applyFill="1" applyBorder="1" applyAlignment="1">
      <alignment horizontal="right"/>
    </xf>
    <xf numFmtId="0" fontId="234" fillId="68" borderId="191" xfId="0" applyFont="1" applyFill="1" applyBorder="1" applyAlignment="1">
      <alignment horizontal="left"/>
    </xf>
    <xf numFmtId="0" fontId="234" fillId="68" borderId="191" xfId="0" applyFont="1" applyFill="1" applyBorder="1"/>
    <xf numFmtId="212" fontId="234" fillId="68" borderId="191" xfId="0" applyNumberFormat="1" applyFont="1" applyFill="1" applyBorder="1" applyAlignment="1">
      <alignment horizontal="right"/>
    </xf>
    <xf numFmtId="0" fontId="235" fillId="71" borderId="191" xfId="0" applyFont="1" applyFill="1" applyBorder="1" applyAlignment="1">
      <alignment horizontal="left" vertical="center" wrapText="1"/>
    </xf>
    <xf numFmtId="0" fontId="235" fillId="71" borderId="191" xfId="0" applyFont="1" applyFill="1" applyBorder="1" applyAlignment="1">
      <alignment horizontal="left" vertical="center"/>
    </xf>
    <xf numFmtId="179" fontId="235" fillId="71" borderId="191" xfId="0" applyNumberFormat="1" applyFont="1" applyFill="1" applyBorder="1" applyAlignment="1">
      <alignment horizontal="left" vertical="center" wrapText="1"/>
    </xf>
    <xf numFmtId="0" fontId="232" fillId="68" borderId="191" xfId="0" applyFont="1" applyFill="1" applyBorder="1"/>
    <xf numFmtId="0" fontId="232" fillId="68" borderId="191" xfId="0" applyFont="1" applyFill="1" applyBorder="1" applyAlignment="1">
      <alignment horizontal="left"/>
    </xf>
    <xf numFmtId="174" fontId="232" fillId="68" borderId="191" xfId="0" applyNumberFormat="1" applyFont="1" applyFill="1" applyBorder="1" applyAlignment="1">
      <alignment horizontal="right" vertical="center" wrapText="1"/>
    </xf>
    <xf numFmtId="178" fontId="232" fillId="68" borderId="191" xfId="0" applyNumberFormat="1" applyFont="1" applyFill="1" applyBorder="1" applyAlignment="1">
      <alignment horizontal="left" vertical="center" wrapText="1"/>
    </xf>
    <xf numFmtId="177" fontId="232" fillId="68" borderId="191" xfId="0" applyNumberFormat="1" applyFont="1" applyFill="1" applyBorder="1" applyAlignment="1">
      <alignment horizontal="right" vertical="center" wrapText="1"/>
    </xf>
    <xf numFmtId="174" fontId="236" fillId="68" borderId="191" xfId="0" applyNumberFormat="1" applyFont="1" applyFill="1" applyBorder="1" applyAlignment="1">
      <alignment horizontal="right" vertical="center" wrapText="1"/>
    </xf>
    <xf numFmtId="212" fontId="232" fillId="68" borderId="191" xfId="0" applyNumberFormat="1" applyFont="1" applyFill="1" applyBorder="1" applyAlignment="1">
      <alignment horizontal="right" vertical="center"/>
    </xf>
    <xf numFmtId="0" fontId="172" fillId="69" borderId="191" xfId="0" applyFont="1" applyFill="1" applyBorder="1" applyAlignment="1">
      <alignment horizontal="left" vertical="center" wrapText="1"/>
    </xf>
    <xf numFmtId="174" fontId="52" fillId="69" borderId="191" xfId="0" applyNumberFormat="1" applyFont="1" applyFill="1" applyBorder="1" applyAlignment="1">
      <alignment horizontal="left" vertical="center"/>
    </xf>
    <xf numFmtId="181" fontId="235" fillId="71" borderId="191" xfId="0" applyNumberFormat="1" applyFont="1" applyFill="1" applyBorder="1" applyAlignment="1">
      <alignment horizontal="left" vertical="center" wrapText="1"/>
    </xf>
    <xf numFmtId="183" fontId="232" fillId="68" borderId="191" xfId="0" applyNumberFormat="1" applyFont="1" applyFill="1" applyBorder="1"/>
    <xf numFmtId="181" fontId="236" fillId="68" borderId="191" xfId="0" applyNumberFormat="1" applyFont="1" applyFill="1" applyBorder="1" applyAlignment="1">
      <alignment horizontal="right" vertical="center" wrapText="1"/>
    </xf>
    <xf numFmtId="212" fontId="232" fillId="68" borderId="191" xfId="0" applyNumberFormat="1" applyFont="1" applyFill="1" applyBorder="1" applyAlignment="1">
      <alignment horizontal="right"/>
    </xf>
    <xf numFmtId="212" fontId="238" fillId="68" borderId="191" xfId="0" applyNumberFormat="1" applyFont="1" applyFill="1" applyBorder="1"/>
    <xf numFmtId="174" fontId="8" fillId="0" borderId="132" xfId="0" applyNumberFormat="1" applyFont="1" applyFill="1" applyBorder="1"/>
    <xf numFmtId="168" fontId="10" fillId="0" borderId="0" xfId="0" applyNumberFormat="1" applyFont="1" applyAlignment="1">
      <alignment horizontal="center" vertical="center"/>
    </xf>
    <xf numFmtId="10" fontId="10" fillId="0" borderId="0" xfId="0" applyNumberFormat="1" applyFont="1" applyAlignment="1">
      <alignment horizontal="center" vertical="center"/>
    </xf>
    <xf numFmtId="2" fontId="10" fillId="0" borderId="0" xfId="0" applyNumberFormat="1" applyFont="1" applyAlignment="1">
      <alignment horizontal="center" vertical="center"/>
    </xf>
    <xf numFmtId="0" fontId="67" fillId="22" borderId="1" xfId="0" applyFont="1" applyFill="1" applyBorder="1" applyAlignment="1">
      <alignment horizontal="center" vertical="center"/>
    </xf>
    <xf numFmtId="164" fontId="10" fillId="0" borderId="0" xfId="0" applyNumberFormat="1" applyFont="1" applyAlignment="1">
      <alignment horizontal="center" vertical="center"/>
    </xf>
    <xf numFmtId="0" fontId="50" fillId="0" borderId="0" xfId="0" applyFont="1" applyFill="1"/>
    <xf numFmtId="0" fontId="48" fillId="0" borderId="0" xfId="0" applyFont="1" applyFill="1"/>
    <xf numFmtId="0" fontId="48" fillId="0" borderId="0" xfId="0" applyFont="1" applyFill="1" applyAlignment="1">
      <alignment horizontal="left"/>
    </xf>
    <xf numFmtId="0" fontId="50" fillId="0" borderId="209" xfId="0" applyFont="1" applyFill="1" applyBorder="1" applyAlignment="1">
      <alignment horizontal="left"/>
    </xf>
    <xf numFmtId="0" fontId="48" fillId="0" borderId="209" xfId="0" applyFont="1" applyFill="1" applyBorder="1" applyAlignment="1">
      <alignment horizontal="left"/>
    </xf>
    <xf numFmtId="0" fontId="58" fillId="0" borderId="209" xfId="0" applyFont="1" applyFill="1" applyBorder="1" applyAlignment="1">
      <alignment horizontal="center"/>
    </xf>
    <xf numFmtId="0" fontId="58" fillId="0" borderId="0" xfId="0" applyFont="1" applyFill="1" applyAlignment="1">
      <alignment horizontal="center"/>
    </xf>
    <xf numFmtId="0" fontId="58" fillId="0" borderId="211" xfId="0" applyFont="1" applyFill="1" applyBorder="1" applyAlignment="1">
      <alignment horizontal="center"/>
    </xf>
    <xf numFmtId="0" fontId="58" fillId="0" borderId="0" xfId="0" applyFont="1" applyFill="1" applyAlignment="1">
      <alignment horizontal="left" vertical="top"/>
    </xf>
    <xf numFmtId="0" fontId="48" fillId="0" borderId="248" xfId="0" applyFont="1" applyFill="1" applyBorder="1" applyAlignment="1">
      <alignment horizontal="left"/>
    </xf>
    <xf numFmtId="0" fontId="48" fillId="0" borderId="256" xfId="0" applyFont="1" applyFill="1" applyBorder="1" applyAlignment="1">
      <alignment horizontal="left"/>
    </xf>
    <xf numFmtId="0" fontId="135" fillId="0" borderId="256" xfId="0" applyFont="1" applyFill="1" applyBorder="1" applyAlignment="1">
      <alignment horizontal="left" indent="1"/>
    </xf>
    <xf numFmtId="0" fontId="52" fillId="69" borderId="0" xfId="0" applyFont="1" applyFill="1" applyAlignment="1">
      <alignment horizontal="left" vertical="center"/>
    </xf>
    <xf numFmtId="0" fontId="52" fillId="69" borderId="0" xfId="0" applyFont="1" applyFill="1" applyAlignment="1">
      <alignment vertical="center"/>
    </xf>
    <xf numFmtId="0" fontId="52" fillId="69" borderId="210" xfId="0" applyFont="1" applyFill="1" applyBorder="1" applyAlignment="1">
      <alignment vertical="center"/>
    </xf>
    <xf numFmtId="0" fontId="53" fillId="70" borderId="211" xfId="0" applyFont="1" applyFill="1" applyBorder="1" applyAlignment="1">
      <alignment horizontal="right"/>
    </xf>
    <xf numFmtId="0" fontId="235" fillId="0" borderId="209" xfId="0" applyFont="1" applyFill="1" applyBorder="1" applyAlignment="1">
      <alignment horizontal="left"/>
    </xf>
    <xf numFmtId="0" fontId="50" fillId="0" borderId="0" xfId="0" applyFont="1" applyFill="1" applyAlignment="1">
      <alignment horizontal="left"/>
    </xf>
    <xf numFmtId="213" fontId="50" fillId="0" borderId="209" xfId="0" applyNumberFormat="1" applyFont="1" applyFill="1" applyBorder="1" applyAlignment="1">
      <alignment horizontal="right"/>
    </xf>
    <xf numFmtId="213" fontId="48" fillId="0" borderId="209" xfId="0" applyNumberFormat="1" applyFont="1" applyFill="1" applyBorder="1" applyAlignment="1">
      <alignment horizontal="right"/>
    </xf>
    <xf numFmtId="213" fontId="58" fillId="0" borderId="209" xfId="0" applyNumberFormat="1" applyFont="1" applyFill="1" applyBorder="1" applyAlignment="1">
      <alignment horizontal="right"/>
    </xf>
    <xf numFmtId="0" fontId="50" fillId="0" borderId="257" xfId="0" applyFont="1" applyFill="1" applyBorder="1" applyAlignment="1">
      <alignment horizontal="left"/>
    </xf>
    <xf numFmtId="213" fontId="50" fillId="0" borderId="257" xfId="0" applyNumberFormat="1" applyFont="1" applyFill="1" applyBorder="1" applyAlignment="1">
      <alignment horizontal="right"/>
    </xf>
    <xf numFmtId="0" fontId="48" fillId="0" borderId="258" xfId="0" applyFont="1" applyFill="1" applyBorder="1" applyAlignment="1">
      <alignment horizontal="left"/>
    </xf>
    <xf numFmtId="213" fontId="48" fillId="0" borderId="258" xfId="0" applyNumberFormat="1" applyFont="1" applyFill="1" applyBorder="1" applyAlignment="1">
      <alignment horizontal="right"/>
    </xf>
    <xf numFmtId="0" fontId="48" fillId="0" borderId="259" xfId="0" applyFont="1" applyFill="1" applyBorder="1" applyAlignment="1">
      <alignment horizontal="left"/>
    </xf>
    <xf numFmtId="213" fontId="48" fillId="0" borderId="259" xfId="0" applyNumberFormat="1" applyFont="1" applyFill="1" applyBorder="1" applyAlignment="1">
      <alignment horizontal="right"/>
    </xf>
    <xf numFmtId="0" fontId="50" fillId="0" borderId="258" xfId="0" applyFont="1" applyFill="1" applyBorder="1" applyAlignment="1">
      <alignment horizontal="left"/>
    </xf>
    <xf numFmtId="213" fontId="50" fillId="0" borderId="258" xfId="0" applyNumberFormat="1" applyFont="1" applyFill="1" applyBorder="1" applyAlignment="1">
      <alignment horizontal="right"/>
    </xf>
    <xf numFmtId="0" fontId="235" fillId="0" borderId="258" xfId="0" applyFont="1" applyFill="1" applyBorder="1" applyAlignment="1">
      <alignment horizontal="left"/>
    </xf>
    <xf numFmtId="213" fontId="58" fillId="0" borderId="258" xfId="0" applyNumberFormat="1" applyFont="1" applyFill="1" applyBorder="1" applyAlignment="1">
      <alignment horizontal="right"/>
    </xf>
    <xf numFmtId="0" fontId="58" fillId="0" borderId="260" xfId="0" applyFont="1" applyFill="1" applyBorder="1" applyAlignment="1">
      <alignment horizontal="left" vertical="top"/>
    </xf>
    <xf numFmtId="213" fontId="58" fillId="0" borderId="260" xfId="0" applyNumberFormat="1" applyFont="1" applyFill="1" applyBorder="1" applyAlignment="1">
      <alignment horizontal="right" vertical="top"/>
    </xf>
    <xf numFmtId="214" fontId="50" fillId="0" borderId="258" xfId="0" applyNumberFormat="1" applyFont="1" applyFill="1" applyBorder="1" applyAlignment="1">
      <alignment horizontal="right"/>
    </xf>
    <xf numFmtId="0" fontId="48" fillId="0" borderId="261" xfId="0" applyFont="1" applyFill="1" applyBorder="1" applyAlignment="1">
      <alignment horizontal="left"/>
    </xf>
    <xf numFmtId="213" fontId="48" fillId="0" borderId="261" xfId="0" applyNumberFormat="1" applyFont="1" applyFill="1" applyBorder="1" applyAlignment="1">
      <alignment horizontal="right"/>
    </xf>
    <xf numFmtId="0" fontId="237" fillId="0" borderId="258" xfId="0" applyFont="1" applyFill="1" applyBorder="1"/>
    <xf numFmtId="174" fontId="237" fillId="0" borderId="258" xfId="0" applyNumberFormat="1" applyFont="1" applyFill="1" applyBorder="1"/>
  </cellXfs>
  <cellStyles count="1">
    <cellStyle name="Normal" xfId="0" builtinId="0"/>
  </cellStyles>
  <dxfs count="8">
    <dxf>
      <font>
        <color rgb="FFA5A5A5"/>
      </font>
      <fill>
        <patternFill patternType="solid">
          <fgColor rgb="FFF1CEEE"/>
          <bgColor rgb="FFF1CEEE"/>
        </patternFill>
      </fill>
      <border>
        <left style="thin">
          <color rgb="FFA5A5A5"/>
        </left>
        <right style="thin">
          <color rgb="FFA5A5A5"/>
        </right>
        <top style="thin">
          <color rgb="FFA5A5A5"/>
        </top>
        <bottom style="thin">
          <color rgb="FFA5A5A5"/>
        </bottom>
      </border>
    </dxf>
    <dxf>
      <fill>
        <patternFill patternType="solid">
          <fgColor rgb="FFB7E1CD"/>
          <bgColor rgb="FFB7E1CD"/>
        </patternFill>
      </fill>
    </dxf>
    <dxf>
      <font>
        <color rgb="FF000000"/>
      </font>
      <fill>
        <patternFill patternType="solid">
          <fgColor rgb="FFF4CCCC"/>
          <bgColor rgb="FFF4CCCC"/>
        </patternFill>
      </fill>
    </dxf>
    <dxf>
      <font>
        <color rgb="FF000000"/>
      </font>
      <fill>
        <patternFill patternType="solid">
          <fgColor rgb="FFF4CCCC"/>
          <bgColor rgb="FFF4CCCC"/>
        </patternFill>
      </fill>
    </dxf>
    <dxf>
      <font>
        <b/>
        <color rgb="FF9C0006"/>
      </font>
      <fill>
        <patternFill patternType="solid">
          <fgColor rgb="FFFFC7CE"/>
          <bgColor rgb="FFFFC7CE"/>
        </patternFill>
      </fill>
    </dxf>
    <dxf>
      <fill>
        <patternFill patternType="solid">
          <fgColor rgb="FFF4CCCC"/>
          <bgColor rgb="FFF4CCCC"/>
        </patternFill>
      </fill>
    </dxf>
    <dxf>
      <fill>
        <patternFill patternType="solid">
          <fgColor rgb="FFF4CCCC"/>
          <bgColor rgb="FFF4CCCC"/>
        </patternFill>
      </fill>
    </dxf>
    <dxf>
      <fill>
        <patternFill patternType="solid">
          <fgColor rgb="FFD0E0E3"/>
          <bgColor rgb="FFD0E0E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microsoft.com/office/2017/10/relationships/person" Target="persons/person.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1100" b="1" i="0">
                <a:solidFill>
                  <a:srgbClr val="1F3864"/>
                </a:solidFill>
                <a:latin typeface="Aptos Narrow"/>
              </a:defRPr>
            </a:pPr>
            <a:r>
              <a:rPr lang="en-AU" sz="1100" b="1" i="0">
                <a:solidFill>
                  <a:srgbClr val="1F3864"/>
                </a:solidFill>
                <a:latin typeface="Aptos Narrow"/>
              </a:rPr>
              <a:t>Revenue Mix (FY30 Stabilised)</a:t>
            </a:r>
          </a:p>
        </c:rich>
      </c:tx>
      <c:overlay val="0"/>
    </c:title>
    <c:autoTitleDeleted val="0"/>
    <c:plotArea>
      <c:layout/>
      <c:doughnutChart>
        <c:varyColors val="1"/>
        <c:ser>
          <c:idx val="0"/>
          <c:order val="0"/>
          <c:dPt>
            <c:idx val="0"/>
            <c:bubble3D val="0"/>
            <c:spPr>
              <a:solidFill>
                <a:srgbClr val="156082"/>
              </a:solidFill>
            </c:spPr>
            <c:extLst>
              <c:ext xmlns:c16="http://schemas.microsoft.com/office/drawing/2014/chart" uri="{C3380CC4-5D6E-409C-BE32-E72D297353CC}">
                <c16:uniqueId val="{00000001-929F-47FB-BDAE-77297BA65817}"/>
              </c:ext>
            </c:extLst>
          </c:dPt>
          <c:dPt>
            <c:idx val="1"/>
            <c:bubble3D val="0"/>
            <c:spPr>
              <a:solidFill>
                <a:srgbClr val="E97132"/>
              </a:solidFill>
            </c:spPr>
            <c:extLst>
              <c:ext xmlns:c16="http://schemas.microsoft.com/office/drawing/2014/chart" uri="{C3380CC4-5D6E-409C-BE32-E72D297353CC}">
                <c16:uniqueId val="{00000003-929F-47FB-BDAE-77297BA65817}"/>
              </c:ext>
            </c:extLst>
          </c:dPt>
          <c:dPt>
            <c:idx val="2"/>
            <c:bubble3D val="0"/>
            <c:spPr>
              <a:solidFill>
                <a:srgbClr val="196B24"/>
              </a:solidFill>
            </c:spPr>
            <c:extLst>
              <c:ext xmlns:c16="http://schemas.microsoft.com/office/drawing/2014/chart" uri="{C3380CC4-5D6E-409C-BE32-E72D297353CC}">
                <c16:uniqueId val="{00000005-929F-47FB-BDAE-77297BA65817}"/>
              </c:ext>
            </c:extLst>
          </c:dPt>
          <c:dPt>
            <c:idx val="3"/>
            <c:bubble3D val="0"/>
            <c:spPr>
              <a:solidFill>
                <a:srgbClr val="0F9ED5"/>
              </a:solidFill>
            </c:spPr>
            <c:extLst>
              <c:ext xmlns:c16="http://schemas.microsoft.com/office/drawing/2014/chart" uri="{C3380CC4-5D6E-409C-BE32-E72D297353CC}">
                <c16:uniqueId val="{00000007-929F-47FB-BDAE-77297BA65817}"/>
              </c:ext>
            </c:extLst>
          </c:dPt>
          <c:dPt>
            <c:idx val="4"/>
            <c:bubble3D val="0"/>
            <c:spPr>
              <a:solidFill>
                <a:srgbClr val="A02B93"/>
              </a:solidFill>
            </c:spPr>
            <c:extLst>
              <c:ext xmlns:c16="http://schemas.microsoft.com/office/drawing/2014/chart" uri="{C3380CC4-5D6E-409C-BE32-E72D297353CC}">
                <c16:uniqueId val="{00000009-929F-47FB-BDAE-77297BA65817}"/>
              </c:ext>
            </c:extLst>
          </c:dPt>
          <c:dPt>
            <c:idx val="5"/>
            <c:bubble3D val="0"/>
            <c:spPr>
              <a:solidFill>
                <a:srgbClr val="4EA72E"/>
              </a:solidFill>
            </c:spPr>
            <c:extLst>
              <c:ext xmlns:c16="http://schemas.microsoft.com/office/drawing/2014/chart" uri="{C3380CC4-5D6E-409C-BE32-E72D297353CC}">
                <c16:uniqueId val="{0000000B-929F-47FB-BDAE-77297BA65817}"/>
              </c:ext>
            </c:extLst>
          </c:dPt>
          <c:dPt>
            <c:idx val="6"/>
            <c:bubble3D val="0"/>
            <c:spPr>
              <a:solidFill>
                <a:srgbClr val="5B90A8"/>
              </a:solidFill>
            </c:spPr>
            <c:extLst>
              <c:ext xmlns:c16="http://schemas.microsoft.com/office/drawing/2014/chart" uri="{C3380CC4-5D6E-409C-BE32-E72D297353CC}">
                <c16:uniqueId val="{0000000D-929F-47FB-BDAE-77297BA65817}"/>
              </c:ext>
            </c:extLst>
          </c:dPt>
          <c:dPt>
            <c:idx val="7"/>
            <c:bubble3D val="0"/>
            <c:spPr>
              <a:solidFill>
                <a:srgbClr val="E97132"/>
              </a:solidFill>
            </c:spPr>
            <c:extLst>
              <c:ext xmlns:c16="http://schemas.microsoft.com/office/drawing/2014/chart" uri="{C3380CC4-5D6E-409C-BE32-E72D297353CC}">
                <c16:uniqueId val="{0000000F-929F-47FB-BDAE-77297BA65817}"/>
              </c:ext>
            </c:extLst>
          </c:dPt>
          <c:dPt>
            <c:idx val="8"/>
            <c:bubble3D val="0"/>
            <c:spPr>
              <a:solidFill>
                <a:srgbClr val="196B24"/>
              </a:solidFill>
            </c:spPr>
            <c:extLst>
              <c:ext xmlns:c16="http://schemas.microsoft.com/office/drawing/2014/chart" uri="{C3380CC4-5D6E-409C-BE32-E72D297353CC}">
                <c16:uniqueId val="{00000011-929F-47FB-BDAE-77297BA65817}"/>
              </c:ext>
            </c:extLst>
          </c:dPt>
          <c:dLbls>
            <c:dLbl>
              <c:idx val="0"/>
              <c:spPr/>
              <c:txPr>
                <a:bodyPr/>
                <a:lstStyle/>
                <a:p>
                  <a:pPr lvl="0">
                    <a:defRPr sz="1000" b="0" i="0">
                      <a:solidFill>
                        <a:srgbClr val="000000"/>
                      </a:solidFill>
                      <a:latin typeface="Aptos Narrow"/>
                    </a:defRPr>
                  </a:pPr>
                  <a:endParaRPr lang="en-US"/>
                </a:p>
              </c:txPr>
              <c:showLegendKey val="0"/>
              <c:showVal val="0"/>
              <c:showCatName val="0"/>
              <c:showSerName val="0"/>
              <c:showPercent val="1"/>
              <c:showBubbleSize val="0"/>
              <c:extLst>
                <c:ext xmlns:c16="http://schemas.microsoft.com/office/drawing/2014/chart" uri="{C3380CC4-5D6E-409C-BE32-E72D297353CC}">
                  <c16:uniqueId val="{00000001-929F-47FB-BDAE-77297BA65817}"/>
                </c:ext>
              </c:extLst>
            </c:dLbl>
            <c:dLbl>
              <c:idx val="1"/>
              <c:spPr/>
              <c:txPr>
                <a:bodyPr/>
                <a:lstStyle/>
                <a:p>
                  <a:pPr lvl="0">
                    <a:defRPr sz="1000" b="0" i="0">
                      <a:solidFill>
                        <a:srgbClr val="000000"/>
                      </a:solidFill>
                      <a:latin typeface="Aptos Narrow"/>
                    </a:defRPr>
                  </a:pPr>
                  <a:endParaRPr lang="en-US"/>
                </a:p>
              </c:txPr>
              <c:showLegendKey val="0"/>
              <c:showVal val="0"/>
              <c:showCatName val="0"/>
              <c:showSerName val="0"/>
              <c:showPercent val="1"/>
              <c:showBubbleSize val="0"/>
              <c:extLst>
                <c:ext xmlns:c16="http://schemas.microsoft.com/office/drawing/2014/chart" uri="{C3380CC4-5D6E-409C-BE32-E72D297353CC}">
                  <c16:uniqueId val="{00000003-929F-47FB-BDAE-77297BA65817}"/>
                </c:ext>
              </c:extLst>
            </c:dLbl>
            <c:dLbl>
              <c:idx val="2"/>
              <c:spPr/>
              <c:txPr>
                <a:bodyPr/>
                <a:lstStyle/>
                <a:p>
                  <a:pPr lvl="0">
                    <a:defRPr sz="1000" b="0" i="0">
                      <a:solidFill>
                        <a:srgbClr val="000000"/>
                      </a:solidFill>
                      <a:latin typeface="Aptos Narrow"/>
                    </a:defRPr>
                  </a:pPr>
                  <a:endParaRPr lang="en-US"/>
                </a:p>
              </c:txPr>
              <c:showLegendKey val="0"/>
              <c:showVal val="0"/>
              <c:showCatName val="0"/>
              <c:showSerName val="0"/>
              <c:showPercent val="1"/>
              <c:showBubbleSize val="0"/>
              <c:extLst>
                <c:ext xmlns:c16="http://schemas.microsoft.com/office/drawing/2014/chart" uri="{C3380CC4-5D6E-409C-BE32-E72D297353CC}">
                  <c16:uniqueId val="{00000005-929F-47FB-BDAE-77297BA65817}"/>
                </c:ext>
              </c:extLst>
            </c:dLbl>
            <c:dLbl>
              <c:idx val="3"/>
              <c:spPr/>
              <c:txPr>
                <a:bodyPr/>
                <a:lstStyle/>
                <a:p>
                  <a:pPr lvl="0">
                    <a:defRPr sz="1000" b="0" i="0">
                      <a:solidFill>
                        <a:srgbClr val="000000"/>
                      </a:solidFill>
                      <a:latin typeface="Aptos Narrow"/>
                    </a:defRPr>
                  </a:pPr>
                  <a:endParaRPr lang="en-US"/>
                </a:p>
              </c:txPr>
              <c:showLegendKey val="0"/>
              <c:showVal val="0"/>
              <c:showCatName val="0"/>
              <c:showSerName val="0"/>
              <c:showPercent val="1"/>
              <c:showBubbleSize val="0"/>
              <c:extLst>
                <c:ext xmlns:c16="http://schemas.microsoft.com/office/drawing/2014/chart" uri="{C3380CC4-5D6E-409C-BE32-E72D297353CC}">
                  <c16:uniqueId val="{00000007-929F-47FB-BDAE-77297BA65817}"/>
                </c:ext>
              </c:extLst>
            </c:dLbl>
            <c:dLbl>
              <c:idx val="4"/>
              <c:spPr/>
              <c:txPr>
                <a:bodyPr/>
                <a:lstStyle/>
                <a:p>
                  <a:pPr lvl="0">
                    <a:defRPr sz="1000" b="0" i="0">
                      <a:solidFill>
                        <a:srgbClr val="000000"/>
                      </a:solidFill>
                      <a:latin typeface="Aptos Narrow"/>
                    </a:defRPr>
                  </a:pPr>
                  <a:endParaRPr lang="en-US"/>
                </a:p>
              </c:txPr>
              <c:showLegendKey val="0"/>
              <c:showVal val="0"/>
              <c:showCatName val="0"/>
              <c:showSerName val="0"/>
              <c:showPercent val="1"/>
              <c:showBubbleSize val="0"/>
              <c:extLst>
                <c:ext xmlns:c16="http://schemas.microsoft.com/office/drawing/2014/chart" uri="{C3380CC4-5D6E-409C-BE32-E72D297353CC}">
                  <c16:uniqueId val="{00000009-929F-47FB-BDAE-77297BA65817}"/>
                </c:ext>
              </c:extLst>
            </c:dLbl>
            <c:dLbl>
              <c:idx val="5"/>
              <c:spPr/>
              <c:txPr>
                <a:bodyPr/>
                <a:lstStyle/>
                <a:p>
                  <a:pPr lvl="0">
                    <a:defRPr sz="1000" b="0" i="0">
                      <a:solidFill>
                        <a:srgbClr val="000000"/>
                      </a:solidFill>
                      <a:latin typeface="Aptos Narrow"/>
                    </a:defRPr>
                  </a:pPr>
                  <a:endParaRPr lang="en-US"/>
                </a:p>
              </c:txPr>
              <c:showLegendKey val="0"/>
              <c:showVal val="0"/>
              <c:showCatName val="0"/>
              <c:showSerName val="0"/>
              <c:showPercent val="1"/>
              <c:showBubbleSize val="0"/>
              <c:extLst>
                <c:ext xmlns:c16="http://schemas.microsoft.com/office/drawing/2014/chart" uri="{C3380CC4-5D6E-409C-BE32-E72D297353CC}">
                  <c16:uniqueId val="{0000000B-929F-47FB-BDAE-77297BA65817}"/>
                </c:ext>
              </c:extLst>
            </c:dLbl>
            <c:dLbl>
              <c:idx val="6"/>
              <c:spPr/>
              <c:txPr>
                <a:bodyPr/>
                <a:lstStyle/>
                <a:p>
                  <a:pPr lvl="0">
                    <a:defRPr sz="1000" b="0" i="0">
                      <a:solidFill>
                        <a:srgbClr val="000000"/>
                      </a:solidFill>
                      <a:latin typeface="Aptos Narrow"/>
                    </a:defRPr>
                  </a:pPr>
                  <a:endParaRPr lang="en-US"/>
                </a:p>
              </c:txPr>
              <c:showLegendKey val="0"/>
              <c:showVal val="0"/>
              <c:showCatName val="0"/>
              <c:showSerName val="0"/>
              <c:showPercent val="1"/>
              <c:showBubbleSize val="0"/>
              <c:extLst>
                <c:ext xmlns:c16="http://schemas.microsoft.com/office/drawing/2014/chart" uri="{C3380CC4-5D6E-409C-BE32-E72D297353CC}">
                  <c16:uniqueId val="{0000000D-929F-47FB-BDAE-77297BA65817}"/>
                </c:ext>
              </c:extLst>
            </c:dLbl>
            <c:dLbl>
              <c:idx val="7"/>
              <c:spPr/>
              <c:txPr>
                <a:bodyPr/>
                <a:lstStyle/>
                <a:p>
                  <a:pPr lvl="0">
                    <a:defRPr sz="1000" b="0" i="0">
                      <a:solidFill>
                        <a:srgbClr val="000000"/>
                      </a:solidFill>
                      <a:latin typeface="Aptos Narrow"/>
                    </a:defRPr>
                  </a:pPr>
                  <a:endParaRPr lang="en-US"/>
                </a:p>
              </c:txPr>
              <c:showLegendKey val="0"/>
              <c:showVal val="0"/>
              <c:showCatName val="0"/>
              <c:showSerName val="0"/>
              <c:showPercent val="1"/>
              <c:showBubbleSize val="0"/>
              <c:extLst>
                <c:ext xmlns:c16="http://schemas.microsoft.com/office/drawing/2014/chart" uri="{C3380CC4-5D6E-409C-BE32-E72D297353CC}">
                  <c16:uniqueId val="{0000000F-929F-47FB-BDAE-77297BA65817}"/>
                </c:ext>
              </c:extLst>
            </c:dLbl>
            <c:dLbl>
              <c:idx val="8"/>
              <c:spPr/>
              <c:txPr>
                <a:bodyPr/>
                <a:lstStyle/>
                <a:p>
                  <a:pPr lvl="0">
                    <a:defRPr sz="1000" b="0" i="0">
                      <a:solidFill>
                        <a:srgbClr val="000000"/>
                      </a:solidFill>
                      <a:latin typeface="Aptos Narrow"/>
                    </a:defRPr>
                  </a:pPr>
                  <a:endParaRPr lang="en-US"/>
                </a:p>
              </c:txPr>
              <c:showLegendKey val="0"/>
              <c:showVal val="0"/>
              <c:showCatName val="0"/>
              <c:showSerName val="0"/>
              <c:showPercent val="1"/>
              <c:showBubbleSize val="0"/>
              <c:extLst>
                <c:ext xmlns:c16="http://schemas.microsoft.com/office/drawing/2014/chart" uri="{C3380CC4-5D6E-409C-BE32-E72D297353CC}">
                  <c16:uniqueId val="{00000011-929F-47FB-BDAE-77297BA65817}"/>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'Inputs for Dashboard'!$B$104:$B$112</c:f>
              <c:strCache>
                <c:ptCount val="9"/>
                <c:pt idx="0">
                  <c:v>VHA (Venue Hire)</c:v>
                </c:pt>
                <c:pt idx="1">
                  <c:v>Premium Sales</c:v>
                </c:pt>
                <c:pt idx="2">
                  <c:v>Premium F&amp;B</c:v>
                </c:pt>
                <c:pt idx="3">
                  <c:v>F&amp;B</c:v>
                </c:pt>
                <c:pt idx="4">
                  <c:v>Merchandise</c:v>
                </c:pt>
                <c:pt idx="5">
                  <c:v>Facilities Fee</c:v>
                </c:pt>
                <c:pt idx="6">
                  <c:v>Equipment Hire</c:v>
                </c:pt>
                <c:pt idx="7">
                  <c:v>Sponsorship</c:v>
                </c:pt>
                <c:pt idx="8">
                  <c:v>Advertising</c:v>
                </c:pt>
              </c:strCache>
            </c:strRef>
          </c:cat>
          <c:val>
            <c:numRef>
              <c:f>'Inputs for Dashboard'!$C$104:$C$112</c:f>
              <c:numCache>
                <c:formatCode>\$#,##0;"($"#,##0\);\-</c:formatCode>
                <c:ptCount val="9"/>
                <c:pt idx="0">
                  <c:v>5688599.726607901</c:v>
                </c:pt>
                <c:pt idx="1">
                  <c:v>798932.97085499985</c:v>
                </c:pt>
                <c:pt idx="2">
                  <c:v>170291.16000000003</c:v>
                </c:pt>
                <c:pt idx="3">
                  <c:v>6943848</c:v>
                </c:pt>
                <c:pt idx="4">
                  <c:v>777002.4</c:v>
                </c:pt>
                <c:pt idx="5">
                  <c:v>1253952.0000000002</c:v>
                </c:pt>
                <c:pt idx="6">
                  <c:v>2435130</c:v>
                </c:pt>
                <c:pt idx="7">
                  <c:v>1943656.25</c:v>
                </c:pt>
                <c:pt idx="8">
                  <c:v>604109.37499999977</c:v>
                </c:pt>
              </c:numCache>
            </c:numRef>
          </c:val>
          <c:extLst>
            <c:ext xmlns:c16="http://schemas.microsoft.com/office/drawing/2014/chart" uri="{C3380CC4-5D6E-409C-BE32-E72D297353CC}">
              <c16:uniqueId val="{00000012-929F-47FB-BDAE-77297BA65817}"/>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sz="800" b="0" i="0">
              <a:solidFill>
                <a:srgbClr val="1A1A1A"/>
              </a:solidFill>
              <a:latin typeface="Aptos Narrow"/>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1100" b="1" i="0">
                <a:solidFill>
                  <a:srgbClr val="1F3864"/>
                </a:solidFill>
                <a:latin typeface="Aptos Narrow"/>
              </a:defRPr>
            </a:pPr>
            <a:r>
              <a:rPr lang="en-AU" sz="1100" b="1" i="0">
                <a:solidFill>
                  <a:srgbClr val="1F3864"/>
                </a:solidFill>
                <a:latin typeface="Aptos Narrow"/>
              </a:rPr>
              <a:t>Debt vs Cash Balance (Deleveraging Profile)</a:t>
            </a:r>
          </a:p>
        </c:rich>
      </c:tx>
      <c:overlay val="0"/>
    </c:title>
    <c:autoTitleDeleted val="0"/>
    <c:plotArea>
      <c:layout/>
      <c:barChart>
        <c:barDir val="col"/>
        <c:grouping val="clustered"/>
        <c:varyColors val="1"/>
        <c:ser>
          <c:idx val="0"/>
          <c:order val="0"/>
          <c:spPr>
            <a:solidFill>
              <a:srgbClr val="C62828"/>
            </a:solidFill>
            <a:ln cmpd="sng">
              <a:noFill/>
            </a:ln>
          </c:spPr>
          <c:invertIfNegative val="1"/>
          <c:cat>
            <c:strRef>
              <c:f>'Inputs for Dashboard'!$D$115:$P$115</c:f>
              <c:strCache>
                <c:ptCount val="13"/>
                <c:pt idx="0">
                  <c:v>FY26</c:v>
                </c:pt>
                <c:pt idx="1">
                  <c:v>FY27</c:v>
                </c:pt>
                <c:pt idx="2">
                  <c:v>FY28</c:v>
                </c:pt>
                <c:pt idx="3">
                  <c:v>FY29</c:v>
                </c:pt>
                <c:pt idx="4">
                  <c:v>FY30</c:v>
                </c:pt>
                <c:pt idx="5">
                  <c:v>FY31</c:v>
                </c:pt>
                <c:pt idx="6">
                  <c:v>FY32</c:v>
                </c:pt>
                <c:pt idx="7">
                  <c:v>FY33</c:v>
                </c:pt>
                <c:pt idx="8">
                  <c:v>FY34</c:v>
                </c:pt>
                <c:pt idx="9">
                  <c:v>FY35</c:v>
                </c:pt>
                <c:pt idx="10">
                  <c:v>FY36</c:v>
                </c:pt>
                <c:pt idx="11">
                  <c:v>FY37</c:v>
                </c:pt>
                <c:pt idx="12">
                  <c:v>FY38</c:v>
                </c:pt>
              </c:strCache>
            </c:strRef>
          </c:cat>
          <c:val>
            <c:numRef>
              <c:f>'Inputs for Dashboard'!$D$116:$P$116</c:f>
              <c:numCache>
                <c:formatCode>\ \ \ \ \$0,,"M"</c:formatCode>
                <c:ptCount val="13"/>
                <c:pt idx="0">
                  <c:v>0</c:v>
                </c:pt>
                <c:pt idx="1">
                  <c:v>12675915</c:v>
                </c:pt>
                <c:pt idx="2">
                  <c:v>12675915</c:v>
                </c:pt>
                <c:pt idx="3">
                  <c:v>11091425.625</c:v>
                </c:pt>
                <c:pt idx="4">
                  <c:v>9506936.25</c:v>
                </c:pt>
                <c:pt idx="5">
                  <c:v>7922446.875</c:v>
                </c:pt>
                <c:pt idx="6">
                  <c:v>6337957.5</c:v>
                </c:pt>
                <c:pt idx="7">
                  <c:v>4753468.125</c:v>
                </c:pt>
                <c:pt idx="8">
                  <c:v>3168978.75</c:v>
                </c:pt>
                <c:pt idx="9">
                  <c:v>1584489.375</c:v>
                </c:pt>
                <c:pt idx="10">
                  <c:v>0</c:v>
                </c:pt>
                <c:pt idx="11">
                  <c:v>0</c:v>
                </c:pt>
                <c:pt idx="1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5EEF-420B-8AEB-1BCF76B320B7}"/>
            </c:ext>
          </c:extLst>
        </c:ser>
        <c:dLbls>
          <c:showLegendKey val="0"/>
          <c:showVal val="0"/>
          <c:showCatName val="0"/>
          <c:showSerName val="0"/>
          <c:showPercent val="0"/>
          <c:showBubbleSize val="0"/>
        </c:dLbls>
        <c:gapWidth val="150"/>
        <c:axId val="1424680029"/>
        <c:axId val="326120208"/>
      </c:barChart>
      <c:lineChart>
        <c:grouping val="standard"/>
        <c:varyColors val="0"/>
        <c:ser>
          <c:idx val="1"/>
          <c:order val="1"/>
          <c:spPr>
            <a:ln w="19050" cmpd="sng">
              <a:solidFill>
                <a:srgbClr val="2E7D32">
                  <a:alpha val="100000"/>
                </a:srgbClr>
              </a:solidFill>
            </a:ln>
          </c:spPr>
          <c:marker>
            <c:symbol val="none"/>
          </c:marker>
          <c:cat>
            <c:strRef>
              <c:f>'Inputs for Dashboard'!$D$115:$P$115</c:f>
              <c:strCache>
                <c:ptCount val="13"/>
                <c:pt idx="0">
                  <c:v>FY26</c:v>
                </c:pt>
                <c:pt idx="1">
                  <c:v>FY27</c:v>
                </c:pt>
                <c:pt idx="2">
                  <c:v>FY28</c:v>
                </c:pt>
                <c:pt idx="3">
                  <c:v>FY29</c:v>
                </c:pt>
                <c:pt idx="4">
                  <c:v>FY30</c:v>
                </c:pt>
                <c:pt idx="5">
                  <c:v>FY31</c:v>
                </c:pt>
                <c:pt idx="6">
                  <c:v>FY32</c:v>
                </c:pt>
                <c:pt idx="7">
                  <c:v>FY33</c:v>
                </c:pt>
                <c:pt idx="8">
                  <c:v>FY34</c:v>
                </c:pt>
                <c:pt idx="9">
                  <c:v>FY35</c:v>
                </c:pt>
                <c:pt idx="10">
                  <c:v>FY36</c:v>
                </c:pt>
                <c:pt idx="11">
                  <c:v>FY37</c:v>
                </c:pt>
                <c:pt idx="12">
                  <c:v>FY38</c:v>
                </c:pt>
              </c:strCache>
            </c:strRef>
          </c:cat>
          <c:val>
            <c:numRef>
              <c:f>'Inputs for Dashboard'!$D$117:$P$117</c:f>
              <c:numCache>
                <c:formatCode>\ \ \ \ \$0,,"M"</c:formatCode>
                <c:ptCount val="13"/>
                <c:pt idx="0">
                  <c:v>0</c:v>
                </c:pt>
                <c:pt idx="1">
                  <c:v>452228.39999999851</c:v>
                </c:pt>
                <c:pt idx="2">
                  <c:v>1724785.5788420234</c:v>
                </c:pt>
                <c:pt idx="3">
                  <c:v>2184190.0265896698</c:v>
                </c:pt>
                <c:pt idx="4">
                  <c:v>2729888.0048414734</c:v>
                </c:pt>
                <c:pt idx="5">
                  <c:v>3408438.9677277789</c:v>
                </c:pt>
                <c:pt idx="6">
                  <c:v>4135811.3744280911</c:v>
                </c:pt>
                <c:pt idx="7">
                  <c:v>4833789.0215595746</c:v>
                </c:pt>
                <c:pt idx="8">
                  <c:v>5560495.5688160015</c:v>
                </c:pt>
                <c:pt idx="9">
                  <c:v>6335431.2849013144</c:v>
                </c:pt>
                <c:pt idx="10">
                  <c:v>7159432.279050706</c:v>
                </c:pt>
                <c:pt idx="11">
                  <c:v>9596186.910685651</c:v>
                </c:pt>
                <c:pt idx="12">
                  <c:v>12278575.461596355</c:v>
                </c:pt>
              </c:numCache>
            </c:numRef>
          </c:val>
          <c:smooth val="0"/>
          <c:extLst>
            <c:ext xmlns:c16="http://schemas.microsoft.com/office/drawing/2014/chart" uri="{C3380CC4-5D6E-409C-BE32-E72D297353CC}">
              <c16:uniqueId val="{00000001-5EEF-420B-8AEB-1BCF76B320B7}"/>
            </c:ext>
          </c:extLst>
        </c:ser>
        <c:dLbls>
          <c:showLegendKey val="0"/>
          <c:showVal val="0"/>
          <c:showCatName val="0"/>
          <c:showSerName val="0"/>
          <c:showPercent val="0"/>
          <c:showBubbleSize val="0"/>
        </c:dLbls>
        <c:marker val="1"/>
        <c:smooth val="0"/>
        <c:axId val="1424680029"/>
        <c:axId val="326120208"/>
      </c:lineChart>
      <c:catAx>
        <c:axId val="1424680029"/>
        <c:scaling>
          <c:orientation val="minMax"/>
        </c:scaling>
        <c:delete val="0"/>
        <c:axPos val="b"/>
        <c:title>
          <c:tx>
            <c:rich>
              <a:bodyPr/>
              <a:lstStyle/>
              <a:p>
                <a:pPr lvl="0">
                  <a:defRPr sz="1000" b="0" i="0">
                    <a:solidFill>
                      <a:srgbClr val="000000"/>
                    </a:solidFill>
                    <a:latin typeface="Aptos Narrow"/>
                  </a:defRPr>
                </a:pPr>
                <a:r>
                  <a:rPr lang="en-AU" sz="1000" b="0" i="0">
                    <a:solidFill>
                      <a:srgbClr val="000000"/>
                    </a:solidFill>
                    <a:latin typeface="Aptos Narrow"/>
                  </a:rPr>
                  <a:t>FY</a:t>
                </a:r>
              </a:p>
            </c:rich>
          </c:tx>
          <c:overlay val="0"/>
        </c:title>
        <c:numFmt formatCode="General" sourceLinked="0"/>
        <c:majorTickMark val="none"/>
        <c:minorTickMark val="none"/>
        <c:tickLblPos val="nextTo"/>
        <c:spPr>
          <a:ln>
            <a:noFill/>
          </a:ln>
        </c:spPr>
        <c:txPr>
          <a:bodyPr/>
          <a:lstStyle/>
          <a:p>
            <a:pPr lvl="0">
              <a:defRPr sz="900" b="0" i="0">
                <a:solidFill>
                  <a:srgbClr val="595959"/>
                </a:solidFill>
                <a:latin typeface="Aptos Narrow"/>
              </a:defRPr>
            </a:pPr>
            <a:endParaRPr lang="en-US"/>
          </a:p>
        </c:txPr>
        <c:crossAx val="326120208"/>
        <c:crosses val="autoZero"/>
        <c:auto val="1"/>
        <c:lblAlgn val="ctr"/>
        <c:lblOffset val="100"/>
        <c:noMultiLvlLbl val="1"/>
      </c:catAx>
      <c:valAx>
        <c:axId val="326120208"/>
        <c:scaling>
          <c:orientation val="minMax"/>
        </c:scaling>
        <c:delete val="0"/>
        <c:axPos val="l"/>
        <c:title>
          <c:tx>
            <c:rich>
              <a:bodyPr/>
              <a:lstStyle/>
              <a:p>
                <a:pPr lvl="0">
                  <a:defRPr sz="1000" b="0" i="0">
                    <a:solidFill>
                      <a:srgbClr val="000000"/>
                    </a:solidFill>
                    <a:latin typeface="Aptos Narrow"/>
                  </a:defRPr>
                </a:pPr>
                <a:r>
                  <a:rPr lang="en-AU" sz="1000" b="0" i="0">
                    <a:solidFill>
                      <a:srgbClr val="000000"/>
                    </a:solidFill>
                    <a:latin typeface="Aptos Narrow"/>
                  </a:rPr>
                  <a:t>$ M</a:t>
                </a:r>
              </a:p>
            </c:rich>
          </c:tx>
          <c:overlay val="0"/>
        </c:title>
        <c:numFmt formatCode="\$#,##0,,\M" sourceLinked="0"/>
        <c:majorTickMark val="none"/>
        <c:minorTickMark val="none"/>
        <c:tickLblPos val="nextTo"/>
        <c:spPr>
          <a:ln>
            <a:noFill/>
          </a:ln>
        </c:spPr>
        <c:txPr>
          <a:bodyPr/>
          <a:lstStyle/>
          <a:p>
            <a:pPr lvl="0">
              <a:defRPr sz="900" b="0" i="0">
                <a:solidFill>
                  <a:srgbClr val="595959"/>
                </a:solidFill>
                <a:latin typeface="Aptos Narrow"/>
              </a:defRPr>
            </a:pPr>
            <a:endParaRPr lang="en-US"/>
          </a:p>
        </c:txPr>
        <c:crossAx val="1424680029"/>
        <c:crosses val="autoZero"/>
        <c:crossBetween val="between"/>
      </c:valAx>
    </c:plotArea>
    <c:legend>
      <c:legendPos val="t"/>
      <c:overlay val="0"/>
      <c:txPr>
        <a:bodyPr/>
        <a:lstStyle/>
        <a:p>
          <a:pPr lvl="0">
            <a:defRPr sz="900" b="0" i="0">
              <a:solidFill>
                <a:srgbClr val="1A1A1A"/>
              </a:solidFill>
              <a:latin typeface="Arial"/>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1100" b="1" i="0">
                <a:solidFill>
                  <a:srgbClr val="1F3864"/>
                </a:solidFill>
                <a:latin typeface="Aptos Narrow"/>
              </a:defRPr>
            </a:pPr>
            <a:r>
              <a:rPr lang="en-AU" sz="1100" b="1" i="0">
                <a:solidFill>
                  <a:srgbClr val="1F3864"/>
                </a:solidFill>
                <a:latin typeface="Aptos Narrow"/>
              </a:rPr>
              <a:t>DSCR Trend vs Covenant Minimum</a:t>
            </a:r>
          </a:p>
        </c:rich>
      </c:tx>
      <c:overlay val="0"/>
    </c:title>
    <c:autoTitleDeleted val="0"/>
    <c:plotArea>
      <c:layout/>
      <c:lineChart>
        <c:grouping val="standard"/>
        <c:varyColors val="1"/>
        <c:ser>
          <c:idx val="0"/>
          <c:order val="0"/>
          <c:tx>
            <c:v>DSCR</c:v>
          </c:tx>
          <c:spPr>
            <a:ln w="19050" cmpd="sng">
              <a:solidFill>
                <a:srgbClr val="1565C0">
                  <a:alpha val="100000"/>
                </a:srgbClr>
              </a:solidFill>
            </a:ln>
          </c:spPr>
          <c:marker>
            <c:symbol val="none"/>
          </c:marker>
          <c:cat>
            <c:strRef>
              <c:f>'Inputs for Dashboard'!$D$120:$N$120</c:f>
              <c:strCache>
                <c:ptCount val="11"/>
                <c:pt idx="0">
                  <c:v>FY26</c:v>
                </c:pt>
                <c:pt idx="1">
                  <c:v>FY27</c:v>
                </c:pt>
                <c:pt idx="2">
                  <c:v>FY28</c:v>
                </c:pt>
                <c:pt idx="3">
                  <c:v>FY29</c:v>
                </c:pt>
                <c:pt idx="4">
                  <c:v>FY30</c:v>
                </c:pt>
                <c:pt idx="5">
                  <c:v>FY31</c:v>
                </c:pt>
                <c:pt idx="6">
                  <c:v>FY32</c:v>
                </c:pt>
                <c:pt idx="7">
                  <c:v>FY33</c:v>
                </c:pt>
                <c:pt idx="8">
                  <c:v>FY34</c:v>
                </c:pt>
                <c:pt idx="9">
                  <c:v>FY35</c:v>
                </c:pt>
                <c:pt idx="10">
                  <c:v>FY36</c:v>
                </c:pt>
              </c:strCache>
            </c:strRef>
          </c:cat>
          <c:val>
            <c:numRef>
              <c:f>'Inputs for Dashboard'!$D$121:$N$121</c:f>
              <c:numCache>
                <c:formatCode>0.00\x</c:formatCode>
                <c:ptCount val="11"/>
                <c:pt idx="0">
                  <c:v>0</c:v>
                </c:pt>
                <c:pt idx="1">
                  <c:v>0</c:v>
                </c:pt>
                <c:pt idx="2">
                  <c:v>3.7480650108967009</c:v>
                </c:pt>
                <c:pt idx="3">
                  <c:v>3.0466904338978202</c:v>
                </c:pt>
                <c:pt idx="4">
                  <c:v>3.3189553617167831</c:v>
                </c:pt>
                <c:pt idx="5">
                  <c:v>3.7480418669249009</c:v>
                </c:pt>
                <c:pt idx="6">
                  <c:v>4.046953904892197</c:v>
                </c:pt>
                <c:pt idx="7">
                  <c:v>4.1874723826887088</c:v>
                </c:pt>
                <c:pt idx="8">
                  <c:v>4.4574720293004884</c:v>
                </c:pt>
                <c:pt idx="9">
                  <c:v>4.8337591413140704</c:v>
                </c:pt>
                <c:pt idx="10">
                  <c:v>5.2771194419729879</c:v>
                </c:pt>
              </c:numCache>
            </c:numRef>
          </c:val>
          <c:smooth val="0"/>
          <c:extLst>
            <c:ext xmlns:c16="http://schemas.microsoft.com/office/drawing/2014/chart" uri="{C3380CC4-5D6E-409C-BE32-E72D297353CC}">
              <c16:uniqueId val="{00000000-19A0-4751-988F-A6FF49374FAD}"/>
            </c:ext>
          </c:extLst>
        </c:ser>
        <c:ser>
          <c:idx val="1"/>
          <c:order val="1"/>
          <c:tx>
            <c:v>Minimum Covenant (1.20x)</c:v>
          </c:tx>
          <c:spPr>
            <a:ln w="19050" cmpd="sng">
              <a:solidFill>
                <a:srgbClr val="C62828">
                  <a:alpha val="100000"/>
                </a:srgbClr>
              </a:solidFill>
            </a:ln>
          </c:spPr>
          <c:marker>
            <c:symbol val="none"/>
          </c:marker>
          <c:cat>
            <c:strRef>
              <c:f>'Inputs for Dashboard'!$D$120:$N$120</c:f>
              <c:strCache>
                <c:ptCount val="11"/>
                <c:pt idx="0">
                  <c:v>FY26</c:v>
                </c:pt>
                <c:pt idx="1">
                  <c:v>FY27</c:v>
                </c:pt>
                <c:pt idx="2">
                  <c:v>FY28</c:v>
                </c:pt>
                <c:pt idx="3">
                  <c:v>FY29</c:v>
                </c:pt>
                <c:pt idx="4">
                  <c:v>FY30</c:v>
                </c:pt>
                <c:pt idx="5">
                  <c:v>FY31</c:v>
                </c:pt>
                <c:pt idx="6">
                  <c:v>FY32</c:v>
                </c:pt>
                <c:pt idx="7">
                  <c:v>FY33</c:v>
                </c:pt>
                <c:pt idx="8">
                  <c:v>FY34</c:v>
                </c:pt>
                <c:pt idx="9">
                  <c:v>FY35</c:v>
                </c:pt>
                <c:pt idx="10">
                  <c:v>FY36</c:v>
                </c:pt>
              </c:strCache>
            </c:strRef>
          </c:cat>
          <c:val>
            <c:numRef>
              <c:f>'Inputs for Dashboard'!$D$122:$N$122</c:f>
              <c:numCache>
                <c:formatCode>0.00\x</c:formatCode>
                <c:ptCount val="11"/>
                <c:pt idx="0">
                  <c:v>1.2</c:v>
                </c:pt>
                <c:pt idx="1">
                  <c:v>1.2</c:v>
                </c:pt>
                <c:pt idx="2">
                  <c:v>1.2</c:v>
                </c:pt>
                <c:pt idx="3">
                  <c:v>1.2</c:v>
                </c:pt>
                <c:pt idx="4">
                  <c:v>1.2</c:v>
                </c:pt>
                <c:pt idx="5">
                  <c:v>1.2</c:v>
                </c:pt>
                <c:pt idx="6">
                  <c:v>1.2</c:v>
                </c:pt>
                <c:pt idx="7">
                  <c:v>1.2</c:v>
                </c:pt>
                <c:pt idx="8">
                  <c:v>1.2</c:v>
                </c:pt>
                <c:pt idx="9">
                  <c:v>1.2</c:v>
                </c:pt>
                <c:pt idx="10">
                  <c:v>1.2</c:v>
                </c:pt>
              </c:numCache>
            </c:numRef>
          </c:val>
          <c:smooth val="0"/>
          <c:extLst>
            <c:ext xmlns:c16="http://schemas.microsoft.com/office/drawing/2014/chart" uri="{C3380CC4-5D6E-409C-BE32-E72D297353CC}">
              <c16:uniqueId val="{00000001-19A0-4751-988F-A6FF49374FAD}"/>
            </c:ext>
          </c:extLst>
        </c:ser>
        <c:dLbls>
          <c:showLegendKey val="0"/>
          <c:showVal val="0"/>
          <c:showCatName val="0"/>
          <c:showSerName val="0"/>
          <c:showPercent val="0"/>
          <c:showBubbleSize val="0"/>
        </c:dLbls>
        <c:smooth val="0"/>
        <c:axId val="986224733"/>
        <c:axId val="1364791882"/>
      </c:lineChart>
      <c:catAx>
        <c:axId val="986224733"/>
        <c:scaling>
          <c:orientation val="minMax"/>
        </c:scaling>
        <c:delete val="0"/>
        <c:axPos val="b"/>
        <c:title>
          <c:tx>
            <c:rich>
              <a:bodyPr/>
              <a:lstStyle/>
              <a:p>
                <a:pPr lvl="0">
                  <a:defRPr sz="1000" b="0" i="0">
                    <a:solidFill>
                      <a:srgbClr val="000000"/>
                    </a:solidFill>
                    <a:latin typeface="Aptos Narrow"/>
                  </a:defRPr>
                </a:pPr>
                <a:endParaRPr lang="en-AU"/>
              </a:p>
            </c:rich>
          </c:tx>
          <c:overlay val="0"/>
        </c:title>
        <c:numFmt formatCode="General" sourceLinked="0"/>
        <c:majorTickMark val="none"/>
        <c:minorTickMark val="none"/>
        <c:tickLblPos val="nextTo"/>
        <c:spPr>
          <a:ln>
            <a:noFill/>
          </a:ln>
        </c:spPr>
        <c:txPr>
          <a:bodyPr/>
          <a:lstStyle/>
          <a:p>
            <a:pPr lvl="0">
              <a:defRPr sz="900" b="0" i="0">
                <a:solidFill>
                  <a:srgbClr val="595959"/>
                </a:solidFill>
                <a:latin typeface="Aptos Narrow"/>
              </a:defRPr>
            </a:pPr>
            <a:endParaRPr lang="en-US"/>
          </a:p>
        </c:txPr>
        <c:crossAx val="1364791882"/>
        <c:crosses val="autoZero"/>
        <c:auto val="1"/>
        <c:lblAlgn val="ctr"/>
        <c:lblOffset val="100"/>
        <c:noMultiLvlLbl val="1"/>
      </c:catAx>
      <c:valAx>
        <c:axId val="1364791882"/>
        <c:scaling>
          <c:orientation val="minMax"/>
        </c:scaling>
        <c:delete val="0"/>
        <c:axPos val="l"/>
        <c:title>
          <c:tx>
            <c:rich>
              <a:bodyPr/>
              <a:lstStyle/>
              <a:p>
                <a:pPr lvl="0">
                  <a:defRPr b="0">
                    <a:solidFill>
                      <a:srgbClr val="000000"/>
                    </a:solidFill>
                    <a:latin typeface="+mn-lt"/>
                  </a:defRPr>
                </a:pPr>
                <a:endParaRPr lang="en-AU"/>
              </a:p>
            </c:rich>
          </c:tx>
          <c:overlay val="0"/>
        </c:title>
        <c:numFmt formatCode="0.0\x" sourceLinked="0"/>
        <c:majorTickMark val="none"/>
        <c:minorTickMark val="none"/>
        <c:tickLblPos val="nextTo"/>
        <c:spPr>
          <a:ln>
            <a:noFill/>
          </a:ln>
        </c:spPr>
        <c:txPr>
          <a:bodyPr/>
          <a:lstStyle/>
          <a:p>
            <a:pPr lvl="0">
              <a:defRPr sz="900" b="0" i="0">
                <a:solidFill>
                  <a:srgbClr val="595959"/>
                </a:solidFill>
                <a:latin typeface="Aptos Narrow"/>
              </a:defRPr>
            </a:pPr>
            <a:endParaRPr lang="en-US"/>
          </a:p>
        </c:txPr>
        <c:crossAx val="986224733"/>
        <c:crosses val="autoZero"/>
        <c:crossBetween val="between"/>
      </c:valAx>
    </c:plotArea>
    <c:legend>
      <c:legendPos val="b"/>
      <c:overlay val="0"/>
      <c:txPr>
        <a:bodyPr/>
        <a:lstStyle/>
        <a:p>
          <a:pPr lvl="0">
            <a:defRPr sz="900" b="0" i="0">
              <a:solidFill>
                <a:srgbClr val="1A1A1A"/>
              </a:solidFill>
              <a:latin typeface="Aptos Narrow"/>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1100" b="1" i="0">
                <a:solidFill>
                  <a:srgbClr val="1F3864"/>
                </a:solidFill>
                <a:latin typeface="Aptos Narrow"/>
              </a:defRPr>
            </a:pPr>
            <a:r>
              <a:rPr lang="en-AU" sz="1100" b="1" i="0">
                <a:solidFill>
                  <a:srgbClr val="1F3864"/>
                </a:solidFill>
                <a:latin typeface="Aptos Narrow"/>
              </a:rPr>
              <a:t>Annual Dividends &amp; Community Fund Contributions</a:t>
            </a:r>
          </a:p>
        </c:rich>
      </c:tx>
      <c:overlay val="0"/>
    </c:title>
    <c:autoTitleDeleted val="0"/>
    <c:plotArea>
      <c:layout/>
      <c:barChart>
        <c:barDir val="col"/>
        <c:grouping val="clustered"/>
        <c:varyColors val="1"/>
        <c:ser>
          <c:idx val="0"/>
          <c:order val="0"/>
          <c:tx>
            <c:v>Dividends</c:v>
          </c:tx>
          <c:spPr>
            <a:solidFill>
              <a:srgbClr val="6A1B9A"/>
            </a:solidFill>
            <a:ln cmpd="sng">
              <a:noFill/>
            </a:ln>
          </c:spPr>
          <c:invertIfNegative val="1"/>
          <c:cat>
            <c:strRef>
              <c:f>'Inputs for Dashboard'!$D$131:$N$131</c:f>
              <c:strCache>
                <c:ptCount val="11"/>
                <c:pt idx="0">
                  <c:v>FY26</c:v>
                </c:pt>
                <c:pt idx="1">
                  <c:v>FY27</c:v>
                </c:pt>
                <c:pt idx="2">
                  <c:v>FY28</c:v>
                </c:pt>
                <c:pt idx="3">
                  <c:v>FY29</c:v>
                </c:pt>
                <c:pt idx="4">
                  <c:v>FY30</c:v>
                </c:pt>
                <c:pt idx="5">
                  <c:v>FY31</c:v>
                </c:pt>
                <c:pt idx="6">
                  <c:v>FY32</c:v>
                </c:pt>
                <c:pt idx="7">
                  <c:v>FY33</c:v>
                </c:pt>
                <c:pt idx="8">
                  <c:v>FY34</c:v>
                </c:pt>
                <c:pt idx="9">
                  <c:v>FY35</c:v>
                </c:pt>
                <c:pt idx="10">
                  <c:v>FY36</c:v>
                </c:pt>
              </c:strCache>
            </c:strRef>
          </c:cat>
          <c:val>
            <c:numRef>
              <c:f>'Inputs for Dashboard'!$D$132:$N$132</c:f>
              <c:numCache>
                <c:formatCode>\ \ \ \ \$0,,"M"</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A903-40CE-AB99-9E79AB1435E9}"/>
            </c:ext>
          </c:extLst>
        </c:ser>
        <c:ser>
          <c:idx val="1"/>
          <c:order val="1"/>
          <c:invertIfNegative val="1"/>
          <c:cat>
            <c:strRef>
              <c:f>'Inputs for Dashboard'!$D$131:$N$131</c:f>
              <c:strCache>
                <c:ptCount val="11"/>
                <c:pt idx="0">
                  <c:v>FY26</c:v>
                </c:pt>
                <c:pt idx="1">
                  <c:v>FY27</c:v>
                </c:pt>
                <c:pt idx="2">
                  <c:v>FY28</c:v>
                </c:pt>
                <c:pt idx="3">
                  <c:v>FY29</c:v>
                </c:pt>
                <c:pt idx="4">
                  <c:v>FY30</c:v>
                </c:pt>
                <c:pt idx="5">
                  <c:v>FY31</c:v>
                </c:pt>
                <c:pt idx="6">
                  <c:v>FY32</c:v>
                </c:pt>
                <c:pt idx="7">
                  <c:v>FY33</c:v>
                </c:pt>
                <c:pt idx="8">
                  <c:v>FY34</c:v>
                </c:pt>
                <c:pt idx="9">
                  <c:v>FY35</c:v>
                </c:pt>
                <c:pt idx="10">
                  <c:v>FY36</c:v>
                </c:pt>
              </c:strCache>
            </c:strRef>
          </c:cat>
          <c:val>
            <c:numRef>
              <c:f>'Inputs for Dashboard'!$D$133:$N$133</c:f>
              <c:numCache>
                <c:formatCode>\$0,"K"</c:formatCode>
                <c:ptCount val="11"/>
                <c:pt idx="0">
                  <c:v>0</c:v>
                </c:pt>
                <c:pt idx="1">
                  <c:v>0</c:v>
                </c:pt>
                <c:pt idx="2">
                  <c:v>101622.77499999999</c:v>
                </c:pt>
                <c:pt idx="3">
                  <c:v>103780.13</c:v>
                </c:pt>
                <c:pt idx="4">
                  <c:v>105937.48500000002</c:v>
                </c:pt>
                <c:pt idx="5">
                  <c:v>113545</c:v>
                </c:pt>
                <c:pt idx="6">
                  <c:v>113545</c:v>
                </c:pt>
                <c:pt idx="7">
                  <c:v>113545</c:v>
                </c:pt>
                <c:pt idx="8">
                  <c:v>113545</c:v>
                </c:pt>
                <c:pt idx="9">
                  <c:v>113545</c:v>
                </c:pt>
                <c:pt idx="10">
                  <c:v>113545</c:v>
                </c:pt>
              </c:numCache>
            </c:numRef>
          </c:val>
          <c:extLst>
            <c:ext xmlns:c16="http://schemas.microsoft.com/office/drawing/2014/chart" uri="{C3380CC4-5D6E-409C-BE32-E72D297353CC}">
              <c16:uniqueId val="{00000001-A903-40CE-AB99-9E79AB1435E9}"/>
            </c:ext>
          </c:extLst>
        </c:ser>
        <c:dLbls>
          <c:showLegendKey val="0"/>
          <c:showVal val="0"/>
          <c:showCatName val="0"/>
          <c:showSerName val="0"/>
          <c:showPercent val="0"/>
          <c:showBubbleSize val="0"/>
        </c:dLbls>
        <c:gapWidth val="150"/>
        <c:axId val="901814213"/>
        <c:axId val="953423095"/>
      </c:barChart>
      <c:catAx>
        <c:axId val="901814213"/>
        <c:scaling>
          <c:orientation val="minMax"/>
        </c:scaling>
        <c:delete val="0"/>
        <c:axPos val="b"/>
        <c:title>
          <c:tx>
            <c:rich>
              <a:bodyPr/>
              <a:lstStyle/>
              <a:p>
                <a:pPr lvl="0">
                  <a:defRPr b="0">
                    <a:solidFill>
                      <a:srgbClr val="000000"/>
                    </a:solidFill>
                    <a:latin typeface="+mn-lt"/>
                  </a:defRPr>
                </a:pPr>
                <a:endParaRPr lang="en-AU"/>
              </a:p>
            </c:rich>
          </c:tx>
          <c:overlay val="0"/>
        </c:title>
        <c:numFmt formatCode="General" sourceLinked="0"/>
        <c:majorTickMark val="none"/>
        <c:minorTickMark val="none"/>
        <c:tickLblPos val="nextTo"/>
        <c:spPr>
          <a:ln>
            <a:noFill/>
          </a:ln>
        </c:spPr>
        <c:txPr>
          <a:bodyPr/>
          <a:lstStyle/>
          <a:p>
            <a:pPr lvl="0">
              <a:defRPr sz="900" b="0" i="0">
                <a:solidFill>
                  <a:srgbClr val="595959"/>
                </a:solidFill>
                <a:latin typeface="Aptos Narrow"/>
              </a:defRPr>
            </a:pPr>
            <a:endParaRPr lang="en-US"/>
          </a:p>
        </c:txPr>
        <c:crossAx val="953423095"/>
        <c:crosses val="autoZero"/>
        <c:auto val="1"/>
        <c:lblAlgn val="ctr"/>
        <c:lblOffset val="100"/>
        <c:noMultiLvlLbl val="1"/>
      </c:catAx>
      <c:valAx>
        <c:axId val="953423095"/>
        <c:scaling>
          <c:orientation val="minMax"/>
        </c:scaling>
        <c:delete val="0"/>
        <c:axPos val="l"/>
        <c:title>
          <c:tx>
            <c:rich>
              <a:bodyPr/>
              <a:lstStyle/>
              <a:p>
                <a:pPr lvl="0">
                  <a:defRPr b="0">
                    <a:solidFill>
                      <a:srgbClr val="000000"/>
                    </a:solidFill>
                    <a:latin typeface="+mn-lt"/>
                  </a:defRPr>
                </a:pPr>
                <a:endParaRPr lang="en-AU"/>
              </a:p>
            </c:rich>
          </c:tx>
          <c:overlay val="0"/>
        </c:title>
        <c:numFmt formatCode="\$#,##0,,\M" sourceLinked="0"/>
        <c:majorTickMark val="none"/>
        <c:minorTickMark val="none"/>
        <c:tickLblPos val="nextTo"/>
        <c:spPr>
          <a:ln>
            <a:noFill/>
          </a:ln>
        </c:spPr>
        <c:txPr>
          <a:bodyPr/>
          <a:lstStyle/>
          <a:p>
            <a:pPr lvl="0">
              <a:defRPr sz="900" b="0" i="0">
                <a:solidFill>
                  <a:srgbClr val="595959"/>
                </a:solidFill>
                <a:latin typeface="Aptos Narrow"/>
              </a:defRPr>
            </a:pPr>
            <a:endParaRPr lang="en-US"/>
          </a:p>
        </c:txPr>
        <c:crossAx val="901814213"/>
        <c:crosses val="autoZero"/>
        <c:crossBetween val="between"/>
      </c:valAx>
    </c:plotArea>
    <c:legend>
      <c:legendPos val="b"/>
      <c:overlay val="0"/>
      <c:txPr>
        <a:bodyPr/>
        <a:lstStyle/>
        <a:p>
          <a:pPr lvl="0">
            <a:defRPr sz="900" b="0" i="0">
              <a:solidFill>
                <a:srgbClr val="1A1A1A"/>
              </a:solidFill>
              <a:latin typeface="Aptos Narrow"/>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1100" b="1" i="0">
                <a:solidFill>
                  <a:srgbClr val="1F3864"/>
                </a:solidFill>
                <a:latin typeface="Aptos Narrow"/>
              </a:defRPr>
            </a:pPr>
            <a:r>
              <a:rPr lang="en-AU" sz="1100" b="1" i="0">
                <a:solidFill>
                  <a:srgbClr val="1F3864"/>
                </a:solidFill>
                <a:latin typeface="Aptos Narrow"/>
              </a:rPr>
              <a:t>Capital Structure at Close</a:t>
            </a:r>
          </a:p>
        </c:rich>
      </c:tx>
      <c:overlay val="0"/>
    </c:title>
    <c:autoTitleDeleted val="0"/>
    <c:plotArea>
      <c:layout/>
      <c:pieChart>
        <c:varyColors val="1"/>
        <c:ser>
          <c:idx val="0"/>
          <c:order val="0"/>
          <c:tx>
            <c:strRef>
              <c:f>'Inputs for Dashboard'!$C$136</c:f>
              <c:strCache>
                <c:ptCount val="1"/>
                <c:pt idx="0">
                  <c:v>Amount</c:v>
                </c:pt>
              </c:strCache>
            </c:strRef>
          </c:tx>
          <c:dPt>
            <c:idx val="0"/>
            <c:bubble3D val="0"/>
            <c:spPr>
              <a:solidFill>
                <a:srgbClr val="2E7D32"/>
              </a:solidFill>
            </c:spPr>
            <c:extLst>
              <c:ext xmlns:c16="http://schemas.microsoft.com/office/drawing/2014/chart" uri="{C3380CC4-5D6E-409C-BE32-E72D297353CC}">
                <c16:uniqueId val="{00000001-5CCC-48B7-965C-368CC278E717}"/>
              </c:ext>
            </c:extLst>
          </c:dPt>
          <c:dPt>
            <c:idx val="1"/>
            <c:bubble3D val="0"/>
            <c:spPr>
              <a:solidFill>
                <a:srgbClr val="6A1B9A"/>
              </a:solidFill>
            </c:spPr>
            <c:extLst>
              <c:ext xmlns:c16="http://schemas.microsoft.com/office/drawing/2014/chart" uri="{C3380CC4-5D6E-409C-BE32-E72D297353CC}">
                <c16:uniqueId val="{00000003-5CCC-48B7-965C-368CC278E717}"/>
              </c:ext>
            </c:extLst>
          </c:dPt>
          <c:dPt>
            <c:idx val="2"/>
            <c:bubble3D val="0"/>
            <c:spPr>
              <a:solidFill>
                <a:srgbClr val="C62828"/>
              </a:solidFill>
            </c:spPr>
            <c:extLst>
              <c:ext xmlns:c16="http://schemas.microsoft.com/office/drawing/2014/chart" uri="{C3380CC4-5D6E-409C-BE32-E72D297353CC}">
                <c16:uniqueId val="{00000005-5CCC-48B7-965C-368CC278E717}"/>
              </c:ext>
            </c:extLst>
          </c:dPt>
          <c:dPt>
            <c:idx val="3"/>
            <c:bubble3D val="0"/>
            <c:spPr>
              <a:solidFill>
                <a:srgbClr val="0F9ED5"/>
              </a:solidFill>
            </c:spPr>
            <c:extLst>
              <c:ext xmlns:c16="http://schemas.microsoft.com/office/drawing/2014/chart" uri="{C3380CC4-5D6E-409C-BE32-E72D297353CC}">
                <c16:uniqueId val="{00000007-5CCC-48B7-965C-368CC278E717}"/>
              </c:ext>
            </c:extLst>
          </c:dPt>
          <c:dLbls>
            <c:dLbl>
              <c:idx val="0"/>
              <c:spPr/>
              <c:txPr>
                <a:bodyPr/>
                <a:lstStyle/>
                <a:p>
                  <a:pPr lvl="0">
                    <a:defRPr sz="1000" b="1" i="0">
                      <a:solidFill>
                        <a:srgbClr val="FFFFFF"/>
                      </a:solidFill>
                      <a:latin typeface="Aptos Narrow"/>
                    </a:defRPr>
                  </a:pPr>
                  <a:endParaRPr lang="en-US"/>
                </a:p>
              </c:txPr>
              <c:showLegendKey val="0"/>
              <c:showVal val="0"/>
              <c:showCatName val="0"/>
              <c:showSerName val="0"/>
              <c:showPercent val="1"/>
              <c:showBubbleSize val="0"/>
              <c:extLst>
                <c:ext xmlns:c16="http://schemas.microsoft.com/office/drawing/2014/chart" uri="{C3380CC4-5D6E-409C-BE32-E72D297353CC}">
                  <c16:uniqueId val="{00000001-5CCC-48B7-965C-368CC278E717}"/>
                </c:ext>
              </c:extLst>
            </c:dLbl>
            <c:dLbl>
              <c:idx val="1"/>
              <c:spPr/>
              <c:txPr>
                <a:bodyPr/>
                <a:lstStyle/>
                <a:p>
                  <a:pPr lvl="0">
                    <a:defRPr sz="1000" b="0" i="0">
                      <a:solidFill>
                        <a:srgbClr val="FFFFFF"/>
                      </a:solidFill>
                      <a:latin typeface="Aptos Narrow"/>
                    </a:defRPr>
                  </a:pPr>
                  <a:endParaRPr lang="en-US"/>
                </a:p>
              </c:txPr>
              <c:showLegendKey val="0"/>
              <c:showVal val="0"/>
              <c:showCatName val="0"/>
              <c:showSerName val="0"/>
              <c:showPercent val="1"/>
              <c:showBubbleSize val="0"/>
              <c:extLst>
                <c:ext xmlns:c16="http://schemas.microsoft.com/office/drawing/2014/chart" uri="{C3380CC4-5D6E-409C-BE32-E72D297353CC}">
                  <c16:uniqueId val="{00000003-5CCC-48B7-965C-368CC278E717}"/>
                </c:ext>
              </c:extLst>
            </c:dLbl>
            <c:dLbl>
              <c:idx val="2"/>
              <c:spPr/>
              <c:txPr>
                <a:bodyPr/>
                <a:lstStyle/>
                <a:p>
                  <a:pPr lvl="0">
                    <a:defRPr sz="1000" b="1" i="0">
                      <a:solidFill>
                        <a:srgbClr val="FFFFFF"/>
                      </a:solidFill>
                      <a:latin typeface="Aptos Narrow"/>
                    </a:defRPr>
                  </a:pPr>
                  <a:endParaRPr lang="en-US"/>
                </a:p>
              </c:txPr>
              <c:showLegendKey val="0"/>
              <c:showVal val="0"/>
              <c:showCatName val="0"/>
              <c:showSerName val="0"/>
              <c:showPercent val="1"/>
              <c:showBubbleSize val="0"/>
              <c:extLst>
                <c:ext xmlns:c16="http://schemas.microsoft.com/office/drawing/2014/chart" uri="{C3380CC4-5D6E-409C-BE32-E72D297353CC}">
                  <c16:uniqueId val="{00000005-5CCC-48B7-965C-368CC278E717}"/>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'Inputs for Dashboard'!$B$137:$B$140</c:f>
              <c:strCache>
                <c:ptCount val="4"/>
                <c:pt idx="0">
                  <c:v>Initial Cash Inflow</c:v>
                </c:pt>
                <c:pt idx="1">
                  <c:v>PE Equity</c:v>
                </c:pt>
                <c:pt idx="2">
                  <c:v>Working Capital</c:v>
                </c:pt>
                <c:pt idx="3">
                  <c:v>Bank Term Debt</c:v>
                </c:pt>
              </c:strCache>
            </c:strRef>
          </c:cat>
          <c:val>
            <c:numRef>
              <c:f>'Inputs for Dashboard'!$C$137:$C$140</c:f>
              <c:numCache>
                <c:formatCode>\ \ \ \ \$0.0,,"M"</c:formatCode>
                <c:ptCount val="4"/>
                <c:pt idx="0">
                  <c:v>1500000</c:v>
                </c:pt>
                <c:pt idx="1">
                  <c:v>7470383.0899999999</c:v>
                </c:pt>
                <c:pt idx="2">
                  <c:v>850000</c:v>
                </c:pt>
                <c:pt idx="3">
                  <c:v>12675915</c:v>
                </c:pt>
              </c:numCache>
            </c:numRef>
          </c:val>
          <c:extLst>
            <c:ext xmlns:c16="http://schemas.microsoft.com/office/drawing/2014/chart" uri="{C3380CC4-5D6E-409C-BE32-E72D297353CC}">
              <c16:uniqueId val="{00000008-5CCC-48B7-965C-368CC278E717}"/>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sz="900" b="0" i="0">
              <a:solidFill>
                <a:srgbClr val="1A1A1A"/>
              </a:solidFill>
              <a:latin typeface="Aptos Narrow"/>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1100" b="1" i="0">
                <a:solidFill>
                  <a:srgbClr val="1F3864"/>
                </a:solidFill>
                <a:latin typeface="Aptos Narrow"/>
              </a:defRPr>
            </a:pPr>
            <a:r>
              <a:rPr lang="en-AU" sz="1100" b="1" i="0">
                <a:solidFill>
                  <a:srgbClr val="1F3864"/>
                </a:solidFill>
                <a:latin typeface="Aptos Narrow"/>
              </a:rPr>
              <a:t>Equity &amp; Asset Base Growth</a:t>
            </a:r>
          </a:p>
        </c:rich>
      </c:tx>
      <c:overlay val="0"/>
    </c:title>
    <c:autoTitleDeleted val="0"/>
    <c:plotArea>
      <c:layout/>
      <c:lineChart>
        <c:grouping val="standard"/>
        <c:varyColors val="1"/>
        <c:ser>
          <c:idx val="0"/>
          <c:order val="0"/>
          <c:tx>
            <c:v>Total Equity (Book Value)</c:v>
          </c:tx>
          <c:spPr>
            <a:ln w="19050" cmpd="sng">
              <a:solidFill>
                <a:srgbClr val="2E7D32">
                  <a:alpha val="100000"/>
                </a:srgbClr>
              </a:solidFill>
            </a:ln>
          </c:spPr>
          <c:marker>
            <c:symbol val="none"/>
          </c:marker>
          <c:cat>
            <c:strRef>
              <c:f>'Inputs for Dashboard'!$D$143:$N$143</c:f>
              <c:strCache>
                <c:ptCount val="11"/>
                <c:pt idx="0">
                  <c:v>FY26</c:v>
                </c:pt>
                <c:pt idx="1">
                  <c:v>FY27</c:v>
                </c:pt>
                <c:pt idx="2">
                  <c:v>FY28</c:v>
                </c:pt>
                <c:pt idx="3">
                  <c:v>FY29</c:v>
                </c:pt>
                <c:pt idx="4">
                  <c:v>FY30</c:v>
                </c:pt>
                <c:pt idx="5">
                  <c:v>FY31</c:v>
                </c:pt>
                <c:pt idx="6">
                  <c:v>FY32</c:v>
                </c:pt>
                <c:pt idx="7">
                  <c:v>FY33</c:v>
                </c:pt>
                <c:pt idx="8">
                  <c:v>FY34</c:v>
                </c:pt>
                <c:pt idx="9">
                  <c:v>FY35</c:v>
                </c:pt>
                <c:pt idx="10">
                  <c:v>FY36</c:v>
                </c:pt>
              </c:strCache>
            </c:strRef>
          </c:cat>
          <c:val>
            <c:numRef>
              <c:f>'Inputs for Dashboard'!$D$144:$N$144</c:f>
              <c:numCache>
                <c:formatCode>\ \ \ \ \$0,,"M"</c:formatCode>
                <c:ptCount val="11"/>
                <c:pt idx="0">
                  <c:v>0</c:v>
                </c:pt>
                <c:pt idx="1">
                  <c:v>7506838.4000000004</c:v>
                </c:pt>
                <c:pt idx="2">
                  <c:v>9839668.6858632565</c:v>
                </c:pt>
                <c:pt idx="3">
                  <c:v>11012106.983068733</c:v>
                </c:pt>
                <c:pt idx="4">
                  <c:v>12318957.987335462</c:v>
                </c:pt>
                <c:pt idx="5">
                  <c:v>13783489.267768661</c:v>
                </c:pt>
                <c:pt idx="6">
                  <c:v>15245161.452724159</c:v>
                </c:pt>
                <c:pt idx="7">
                  <c:v>16631702.322463522</c:v>
                </c:pt>
                <c:pt idx="8">
                  <c:v>18081283.997258518</c:v>
                </c:pt>
                <c:pt idx="9">
                  <c:v>19590737.217962582</c:v>
                </c:pt>
                <c:pt idx="10">
                  <c:v>21149946.483990319</c:v>
                </c:pt>
              </c:numCache>
            </c:numRef>
          </c:val>
          <c:smooth val="0"/>
          <c:extLst>
            <c:ext xmlns:c16="http://schemas.microsoft.com/office/drawing/2014/chart" uri="{C3380CC4-5D6E-409C-BE32-E72D297353CC}">
              <c16:uniqueId val="{00000000-E341-4F99-9E56-4EC375B01D26}"/>
            </c:ext>
          </c:extLst>
        </c:ser>
        <c:ser>
          <c:idx val="1"/>
          <c:order val="1"/>
          <c:tx>
            <c:v>Total Assets</c:v>
          </c:tx>
          <c:spPr>
            <a:ln w="19050" cmpd="sng">
              <a:solidFill>
                <a:srgbClr val="1565C0">
                  <a:alpha val="100000"/>
                </a:srgbClr>
              </a:solidFill>
            </a:ln>
          </c:spPr>
          <c:marker>
            <c:symbol val="none"/>
          </c:marker>
          <c:cat>
            <c:strRef>
              <c:f>'Inputs for Dashboard'!$D$143:$N$143</c:f>
              <c:strCache>
                <c:ptCount val="11"/>
                <c:pt idx="0">
                  <c:v>FY26</c:v>
                </c:pt>
                <c:pt idx="1">
                  <c:v>FY27</c:v>
                </c:pt>
                <c:pt idx="2">
                  <c:v>FY28</c:v>
                </c:pt>
                <c:pt idx="3">
                  <c:v>FY29</c:v>
                </c:pt>
                <c:pt idx="4">
                  <c:v>FY30</c:v>
                </c:pt>
                <c:pt idx="5">
                  <c:v>FY31</c:v>
                </c:pt>
                <c:pt idx="6">
                  <c:v>FY32</c:v>
                </c:pt>
                <c:pt idx="7">
                  <c:v>FY33</c:v>
                </c:pt>
                <c:pt idx="8">
                  <c:v>FY34</c:v>
                </c:pt>
                <c:pt idx="9">
                  <c:v>FY35</c:v>
                </c:pt>
                <c:pt idx="10">
                  <c:v>FY36</c:v>
                </c:pt>
              </c:strCache>
            </c:strRef>
          </c:cat>
          <c:val>
            <c:numRef>
              <c:f>'Inputs for Dashboard'!$D$145:$N$145</c:f>
              <c:numCache>
                <c:formatCode>\ \ \ \ \$0,,"M"</c:formatCode>
                <c:ptCount val="11"/>
                <c:pt idx="0">
                  <c:v>0</c:v>
                </c:pt>
                <c:pt idx="1">
                  <c:v>21032753.399999999</c:v>
                </c:pt>
                <c:pt idx="2">
                  <c:v>23140060.994663939</c:v>
                </c:pt>
                <c:pt idx="3">
                  <c:v>22802382.198823094</c:v>
                </c:pt>
                <c:pt idx="4">
                  <c:v>22556604.419235684</c:v>
                </c:pt>
                <c:pt idx="5">
                  <c:v>22462549.36932756</c:v>
                </c:pt>
                <c:pt idx="6">
                  <c:v>22361936.838663965</c:v>
                </c:pt>
                <c:pt idx="7">
                  <c:v>22233299.107744537</c:v>
                </c:pt>
                <c:pt idx="8">
                  <c:v>22134800.252290793</c:v>
                </c:pt>
                <c:pt idx="9">
                  <c:v>22085982.152746443</c:v>
                </c:pt>
                <c:pt idx="10">
                  <c:v>22087723.761250652</c:v>
                </c:pt>
              </c:numCache>
            </c:numRef>
          </c:val>
          <c:smooth val="0"/>
          <c:extLst>
            <c:ext xmlns:c16="http://schemas.microsoft.com/office/drawing/2014/chart" uri="{C3380CC4-5D6E-409C-BE32-E72D297353CC}">
              <c16:uniqueId val="{00000001-E341-4F99-9E56-4EC375B01D26}"/>
            </c:ext>
          </c:extLst>
        </c:ser>
        <c:dLbls>
          <c:showLegendKey val="0"/>
          <c:showVal val="0"/>
          <c:showCatName val="0"/>
          <c:showSerName val="0"/>
          <c:showPercent val="0"/>
          <c:showBubbleSize val="0"/>
        </c:dLbls>
        <c:smooth val="0"/>
        <c:axId val="932055752"/>
        <c:axId val="612518668"/>
      </c:lineChart>
      <c:catAx>
        <c:axId val="932055752"/>
        <c:scaling>
          <c:orientation val="minMax"/>
        </c:scaling>
        <c:delete val="0"/>
        <c:axPos val="b"/>
        <c:title>
          <c:tx>
            <c:rich>
              <a:bodyPr/>
              <a:lstStyle/>
              <a:p>
                <a:pPr lvl="0">
                  <a:defRPr sz="1000" b="0" i="0">
                    <a:solidFill>
                      <a:srgbClr val="000000"/>
                    </a:solidFill>
                    <a:latin typeface="Aptos Narrow"/>
                  </a:defRPr>
                </a:pPr>
                <a:endParaRPr lang="en-AU"/>
              </a:p>
            </c:rich>
          </c:tx>
          <c:overlay val="0"/>
        </c:title>
        <c:numFmt formatCode="General" sourceLinked="0"/>
        <c:majorTickMark val="none"/>
        <c:minorTickMark val="none"/>
        <c:tickLblPos val="nextTo"/>
        <c:spPr>
          <a:ln>
            <a:noFill/>
          </a:ln>
        </c:spPr>
        <c:txPr>
          <a:bodyPr/>
          <a:lstStyle/>
          <a:p>
            <a:pPr lvl="0">
              <a:defRPr sz="900" b="0" i="0">
                <a:solidFill>
                  <a:srgbClr val="595959"/>
                </a:solidFill>
                <a:latin typeface="Aptos Narrow"/>
              </a:defRPr>
            </a:pPr>
            <a:endParaRPr lang="en-US"/>
          </a:p>
        </c:txPr>
        <c:crossAx val="612518668"/>
        <c:crosses val="autoZero"/>
        <c:auto val="1"/>
        <c:lblAlgn val="ctr"/>
        <c:lblOffset val="100"/>
        <c:noMultiLvlLbl val="1"/>
      </c:catAx>
      <c:valAx>
        <c:axId val="612518668"/>
        <c:scaling>
          <c:orientation val="minMax"/>
        </c:scaling>
        <c:delete val="0"/>
        <c:axPos val="l"/>
        <c:title>
          <c:tx>
            <c:rich>
              <a:bodyPr/>
              <a:lstStyle/>
              <a:p>
                <a:pPr lvl="0">
                  <a:defRPr sz="1000" b="0" i="0">
                    <a:solidFill>
                      <a:srgbClr val="000000"/>
                    </a:solidFill>
                    <a:latin typeface="Aptos Narrow"/>
                  </a:defRPr>
                </a:pPr>
                <a:r>
                  <a:rPr lang="en-AU" sz="1000" b="0" i="0">
                    <a:solidFill>
                      <a:srgbClr val="000000"/>
                    </a:solidFill>
                    <a:latin typeface="Aptos Narrow"/>
                  </a:rPr>
                  <a:t>$M</a:t>
                </a:r>
              </a:p>
            </c:rich>
          </c:tx>
          <c:overlay val="0"/>
        </c:title>
        <c:numFmt formatCode="\$#,##0,,\M" sourceLinked="0"/>
        <c:majorTickMark val="none"/>
        <c:minorTickMark val="none"/>
        <c:tickLblPos val="nextTo"/>
        <c:spPr>
          <a:ln>
            <a:noFill/>
          </a:ln>
        </c:spPr>
        <c:txPr>
          <a:bodyPr/>
          <a:lstStyle/>
          <a:p>
            <a:pPr lvl="0">
              <a:defRPr sz="900" b="0" i="0">
                <a:solidFill>
                  <a:srgbClr val="595959"/>
                </a:solidFill>
                <a:latin typeface="Aptos Narrow"/>
              </a:defRPr>
            </a:pPr>
            <a:endParaRPr lang="en-US"/>
          </a:p>
        </c:txPr>
        <c:crossAx val="932055752"/>
        <c:crosses val="autoZero"/>
        <c:crossBetween val="between"/>
      </c:valAx>
    </c:plotArea>
    <c:legend>
      <c:legendPos val="b"/>
      <c:overlay val="0"/>
      <c:txPr>
        <a:bodyPr/>
        <a:lstStyle/>
        <a:p>
          <a:pPr lvl="0">
            <a:defRPr sz="900" b="0" i="0">
              <a:solidFill>
                <a:srgbClr val="1A1A1A"/>
              </a:solidFill>
              <a:latin typeface="Aptos Narrow"/>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1100" b="1" i="0">
                <a:solidFill>
                  <a:srgbClr val="1F3864"/>
                </a:solidFill>
                <a:latin typeface="Aptos Narrow"/>
              </a:defRPr>
            </a:pPr>
            <a:r>
              <a:rPr lang="en-AU" sz="1100" b="1" i="0">
                <a:solidFill>
                  <a:srgbClr val="1F3864"/>
                </a:solidFill>
                <a:latin typeface="Aptos Narrow"/>
              </a:rPr>
              <a:t>Cash Flow Profile — Unlevered, Equity &amp; Cumulative Equity</a:t>
            </a:r>
          </a:p>
        </c:rich>
      </c:tx>
      <c:overlay val="0"/>
    </c:title>
    <c:autoTitleDeleted val="0"/>
    <c:plotArea>
      <c:layout/>
      <c:barChart>
        <c:barDir val="col"/>
        <c:grouping val="clustered"/>
        <c:varyColors val="1"/>
        <c:ser>
          <c:idx val="0"/>
          <c:order val="0"/>
          <c:tx>
            <c:v>Unlevered FCF</c:v>
          </c:tx>
          <c:spPr>
            <a:solidFill>
              <a:srgbClr val="4472C4"/>
            </a:solidFill>
            <a:ln cmpd="sng">
              <a:noFill/>
            </a:ln>
          </c:spPr>
          <c:invertIfNegative val="1"/>
          <c:cat>
            <c:strRef>
              <c:f>'Inputs for Dashboard'!$D$125:$N$125</c:f>
              <c:strCache>
                <c:ptCount val="11"/>
                <c:pt idx="0">
                  <c:v>FY26</c:v>
                </c:pt>
                <c:pt idx="1">
                  <c:v>FY27</c:v>
                </c:pt>
                <c:pt idx="2">
                  <c:v>FY28</c:v>
                </c:pt>
                <c:pt idx="3">
                  <c:v>FY29</c:v>
                </c:pt>
                <c:pt idx="4">
                  <c:v>FY30</c:v>
                </c:pt>
                <c:pt idx="5">
                  <c:v>FY31</c:v>
                </c:pt>
                <c:pt idx="6">
                  <c:v>FY32</c:v>
                </c:pt>
                <c:pt idx="7">
                  <c:v>FY33</c:v>
                </c:pt>
                <c:pt idx="8">
                  <c:v>FY34</c:v>
                </c:pt>
                <c:pt idx="9">
                  <c:v>FY35</c:v>
                </c:pt>
                <c:pt idx="10">
                  <c:v>FY36</c:v>
                </c:pt>
              </c:strCache>
            </c:strRef>
          </c:cat>
          <c:val>
            <c:numRef>
              <c:f>'Inputs for Dashboard'!$D$126:$N$126</c:f>
              <c:numCache>
                <c:formatCode>\$#,##0;"($"#,##0\);\-</c:formatCode>
                <c:ptCount val="11"/>
                <c:pt idx="0">
                  <c:v>0</c:v>
                </c:pt>
                <c:pt idx="1">
                  <c:v>-20580525</c:v>
                </c:pt>
                <c:pt idx="2">
                  <c:v>9143626.5997075159</c:v>
                </c:pt>
                <c:pt idx="3">
                  <c:v>10208770.014453897</c:v>
                </c:pt>
                <c:pt idx="4">
                  <c:v>10667841.082212223</c:v>
                </c:pt>
                <c:pt idx="5">
                  <c:v>11527151.438783875</c:v>
                </c:pt>
                <c:pt idx="6">
                  <c:v>11800797.426747032</c:v>
                </c:pt>
                <c:pt idx="7">
                  <c:v>11509812.264045559</c:v>
                </c:pt>
                <c:pt idx="8">
                  <c:v>11553947.638578778</c:v>
                </c:pt>
                <c:pt idx="9">
                  <c:v>11760040.174562065</c:v>
                </c:pt>
                <c:pt idx="10">
                  <c:v>11983056.529188737</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4C74-469C-870D-E4DE2667153C}"/>
            </c:ext>
          </c:extLst>
        </c:ser>
        <c:ser>
          <c:idx val="1"/>
          <c:order val="1"/>
          <c:tx>
            <c:v>Equity CF</c:v>
          </c:tx>
          <c:spPr>
            <a:solidFill>
              <a:srgbClr val="EF6C00"/>
            </a:solidFill>
            <a:ln cmpd="sng">
              <a:noFill/>
            </a:ln>
          </c:spPr>
          <c:invertIfNegative val="1"/>
          <c:cat>
            <c:strRef>
              <c:f>'Inputs for Dashboard'!$D$125:$N$125</c:f>
              <c:strCache>
                <c:ptCount val="11"/>
                <c:pt idx="0">
                  <c:v>FY26</c:v>
                </c:pt>
                <c:pt idx="1">
                  <c:v>FY27</c:v>
                </c:pt>
                <c:pt idx="2">
                  <c:v>FY28</c:v>
                </c:pt>
                <c:pt idx="3">
                  <c:v>FY29</c:v>
                </c:pt>
                <c:pt idx="4">
                  <c:v>FY30</c:v>
                </c:pt>
                <c:pt idx="5">
                  <c:v>FY31</c:v>
                </c:pt>
                <c:pt idx="6">
                  <c:v>FY32</c:v>
                </c:pt>
                <c:pt idx="7">
                  <c:v>FY33</c:v>
                </c:pt>
                <c:pt idx="8">
                  <c:v>FY34</c:v>
                </c:pt>
                <c:pt idx="9">
                  <c:v>FY35</c:v>
                </c:pt>
                <c:pt idx="10">
                  <c:v>FY36</c:v>
                </c:pt>
              </c:strCache>
            </c:strRef>
          </c:cat>
          <c:val>
            <c:numRef>
              <c:f>'Inputs for Dashboard'!$D$127:$N$127</c:f>
              <c:numCache>
                <c:formatCode>\$#,##0;"($"#,##0\);\-</c:formatCode>
                <c:ptCount val="11"/>
                <c:pt idx="0">
                  <c:v>0</c:v>
                </c:pt>
                <c:pt idx="1">
                  <c:v>-8970383.0899999999</c:v>
                </c:pt>
                <c:pt idx="2">
                  <c:v>0</c:v>
                </c:pt>
                <c:pt idx="3">
                  <c:v>0</c:v>
                </c:pt>
                <c:pt idx="4">
                  <c:v>0</c:v>
                </c:pt>
                <c:pt idx="5">
                  <c:v>0</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4C74-469C-870D-E4DE2667153C}"/>
            </c:ext>
          </c:extLst>
        </c:ser>
        <c:dLbls>
          <c:showLegendKey val="0"/>
          <c:showVal val="0"/>
          <c:showCatName val="0"/>
          <c:showSerName val="0"/>
          <c:showPercent val="0"/>
          <c:showBubbleSize val="0"/>
        </c:dLbls>
        <c:gapWidth val="150"/>
        <c:axId val="1931351402"/>
        <c:axId val="1506050544"/>
      </c:barChart>
      <c:lineChart>
        <c:grouping val="standard"/>
        <c:varyColors val="0"/>
        <c:ser>
          <c:idx val="2"/>
          <c:order val="2"/>
          <c:tx>
            <c:v>Cumulative Equity CF</c:v>
          </c:tx>
          <c:spPr>
            <a:ln w="19050" cmpd="sng">
              <a:solidFill>
                <a:srgbClr val="2E7D32">
                  <a:alpha val="100000"/>
                </a:srgbClr>
              </a:solidFill>
            </a:ln>
          </c:spPr>
          <c:marker>
            <c:symbol val="none"/>
          </c:marker>
          <c:cat>
            <c:strRef>
              <c:f>'Inputs for Dashboard'!$D$125:$N$125</c:f>
              <c:strCache>
                <c:ptCount val="11"/>
                <c:pt idx="0">
                  <c:v>FY26</c:v>
                </c:pt>
                <c:pt idx="1">
                  <c:v>FY27</c:v>
                </c:pt>
                <c:pt idx="2">
                  <c:v>FY28</c:v>
                </c:pt>
                <c:pt idx="3">
                  <c:v>FY29</c:v>
                </c:pt>
                <c:pt idx="4">
                  <c:v>FY30</c:v>
                </c:pt>
                <c:pt idx="5">
                  <c:v>FY31</c:v>
                </c:pt>
                <c:pt idx="6">
                  <c:v>FY32</c:v>
                </c:pt>
                <c:pt idx="7">
                  <c:v>FY33</c:v>
                </c:pt>
                <c:pt idx="8">
                  <c:v>FY34</c:v>
                </c:pt>
                <c:pt idx="9">
                  <c:v>FY35</c:v>
                </c:pt>
                <c:pt idx="10">
                  <c:v>FY36</c:v>
                </c:pt>
              </c:strCache>
            </c:strRef>
          </c:cat>
          <c:val>
            <c:numRef>
              <c:f>'Inputs for Dashboard'!$D$128:$N$128</c:f>
              <c:numCache>
                <c:formatCode>\$#,##0;"($"#,##0\);\-</c:formatCode>
                <c:ptCount val="11"/>
                <c:pt idx="0">
                  <c:v>0</c:v>
                </c:pt>
                <c:pt idx="1">
                  <c:v>-8970383.0899999999</c:v>
                </c:pt>
                <c:pt idx="2">
                  <c:v>-8970383.0899999999</c:v>
                </c:pt>
                <c:pt idx="3">
                  <c:v>-8970383.0899999999</c:v>
                </c:pt>
                <c:pt idx="4">
                  <c:v>-8970383.0899999999</c:v>
                </c:pt>
                <c:pt idx="5">
                  <c:v>-8970383.0899999999</c:v>
                </c:pt>
                <c:pt idx="6">
                  <c:v>-8970383.0899999999</c:v>
                </c:pt>
                <c:pt idx="7">
                  <c:v>-8970383.0899999999</c:v>
                </c:pt>
                <c:pt idx="8">
                  <c:v>-8970383.0899999999</c:v>
                </c:pt>
                <c:pt idx="9">
                  <c:v>-8970383.0899999999</c:v>
                </c:pt>
                <c:pt idx="10">
                  <c:v>-8970383.0899999999</c:v>
                </c:pt>
              </c:numCache>
            </c:numRef>
          </c:val>
          <c:smooth val="0"/>
          <c:extLst>
            <c:ext xmlns:c16="http://schemas.microsoft.com/office/drawing/2014/chart" uri="{C3380CC4-5D6E-409C-BE32-E72D297353CC}">
              <c16:uniqueId val="{00000002-4C74-469C-870D-E4DE2667153C}"/>
            </c:ext>
          </c:extLst>
        </c:ser>
        <c:dLbls>
          <c:showLegendKey val="0"/>
          <c:showVal val="0"/>
          <c:showCatName val="0"/>
          <c:showSerName val="0"/>
          <c:showPercent val="0"/>
          <c:showBubbleSize val="0"/>
        </c:dLbls>
        <c:marker val="1"/>
        <c:smooth val="0"/>
        <c:axId val="1931351402"/>
        <c:axId val="1506050544"/>
      </c:lineChart>
      <c:catAx>
        <c:axId val="1931351402"/>
        <c:scaling>
          <c:orientation val="minMax"/>
        </c:scaling>
        <c:delete val="0"/>
        <c:axPos val="b"/>
        <c:title>
          <c:tx>
            <c:rich>
              <a:bodyPr/>
              <a:lstStyle/>
              <a:p>
                <a:pPr lvl="0">
                  <a:defRPr sz="1000" b="0" i="0">
                    <a:solidFill>
                      <a:srgbClr val="000000"/>
                    </a:solidFill>
                    <a:latin typeface="Aptos Narrow"/>
                  </a:defRPr>
                </a:pPr>
                <a:endParaRPr lang="en-AU"/>
              </a:p>
            </c:rich>
          </c:tx>
          <c:overlay val="0"/>
        </c:title>
        <c:numFmt formatCode="General" sourceLinked="0"/>
        <c:majorTickMark val="none"/>
        <c:minorTickMark val="none"/>
        <c:tickLblPos val="nextTo"/>
        <c:spPr>
          <a:ln>
            <a:noFill/>
          </a:ln>
        </c:spPr>
        <c:txPr>
          <a:bodyPr/>
          <a:lstStyle/>
          <a:p>
            <a:pPr lvl="0">
              <a:defRPr sz="900" b="0" i="0">
                <a:solidFill>
                  <a:srgbClr val="595959"/>
                </a:solidFill>
                <a:latin typeface="Aptos Narrow"/>
              </a:defRPr>
            </a:pPr>
            <a:endParaRPr lang="en-US"/>
          </a:p>
        </c:txPr>
        <c:crossAx val="1506050544"/>
        <c:crosses val="autoZero"/>
        <c:auto val="1"/>
        <c:lblAlgn val="ctr"/>
        <c:lblOffset val="100"/>
        <c:noMultiLvlLbl val="1"/>
      </c:catAx>
      <c:valAx>
        <c:axId val="1506050544"/>
        <c:scaling>
          <c:orientation val="minMax"/>
        </c:scaling>
        <c:delete val="0"/>
        <c:axPos val="l"/>
        <c:title>
          <c:tx>
            <c:rich>
              <a:bodyPr/>
              <a:lstStyle/>
              <a:p>
                <a:pPr lvl="0">
                  <a:defRPr sz="1000" b="0" i="0">
                    <a:solidFill>
                      <a:srgbClr val="000000"/>
                    </a:solidFill>
                    <a:latin typeface="Aptos Narrow"/>
                  </a:defRPr>
                </a:pPr>
                <a:r>
                  <a:rPr lang="en-AU" sz="1000" b="0" i="0">
                    <a:solidFill>
                      <a:srgbClr val="000000"/>
                    </a:solidFill>
                    <a:latin typeface="Aptos Narrow"/>
                  </a:rPr>
                  <a:t>$M</a:t>
                </a:r>
              </a:p>
            </c:rich>
          </c:tx>
          <c:overlay val="0"/>
        </c:title>
        <c:numFmt formatCode="\$#,##0,,\M" sourceLinked="0"/>
        <c:majorTickMark val="none"/>
        <c:minorTickMark val="none"/>
        <c:tickLblPos val="nextTo"/>
        <c:spPr>
          <a:ln>
            <a:noFill/>
          </a:ln>
        </c:spPr>
        <c:txPr>
          <a:bodyPr/>
          <a:lstStyle/>
          <a:p>
            <a:pPr lvl="0">
              <a:defRPr sz="900" b="0" i="0">
                <a:solidFill>
                  <a:srgbClr val="595959"/>
                </a:solidFill>
                <a:latin typeface="Aptos Narrow"/>
              </a:defRPr>
            </a:pPr>
            <a:endParaRPr lang="en-US"/>
          </a:p>
        </c:txPr>
        <c:crossAx val="1931351402"/>
        <c:crosses val="autoZero"/>
        <c:crossBetween val="between"/>
      </c:valAx>
    </c:plotArea>
    <c:legend>
      <c:legendPos val="b"/>
      <c:overlay val="0"/>
      <c:txPr>
        <a:bodyPr/>
        <a:lstStyle/>
        <a:p>
          <a:pPr lvl="0">
            <a:defRPr sz="900" b="0" i="0">
              <a:solidFill>
                <a:srgbClr val="1A1A1A"/>
              </a:solidFill>
              <a:latin typeface="Aptos Narrow"/>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1100" b="1" i="0">
                <a:solidFill>
                  <a:srgbClr val="1F3864"/>
                </a:solidFill>
                <a:latin typeface="Aptos Narrow"/>
              </a:defRPr>
            </a:pPr>
            <a:r>
              <a:rPr lang="en-AU" sz="1100" b="1" i="0">
                <a:solidFill>
                  <a:srgbClr val="1F3864"/>
                </a:solidFill>
                <a:latin typeface="Aptos Narrow"/>
              </a:rPr>
              <a:t>Annual Event Days &amp; Revenue per Event Day</a:t>
            </a:r>
          </a:p>
        </c:rich>
      </c:tx>
      <c:overlay val="0"/>
    </c:title>
    <c:autoTitleDeleted val="0"/>
    <c:plotArea>
      <c:layout/>
      <c:barChart>
        <c:barDir val="col"/>
        <c:grouping val="clustered"/>
        <c:varyColors val="1"/>
        <c:ser>
          <c:idx val="1"/>
          <c:order val="1"/>
          <c:tx>
            <c:v>Revenue per Event Day ($)</c:v>
          </c:tx>
          <c:spPr>
            <a:solidFill>
              <a:srgbClr val="4472C4"/>
            </a:solidFill>
            <a:ln cmpd="sng">
              <a:noFill/>
            </a:ln>
          </c:spPr>
          <c:invertIfNegative val="1"/>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'Inputs for Dashboard'!$D$150:$P$150</c:f>
              <c:strCache>
                <c:ptCount val="13"/>
                <c:pt idx="0">
                  <c:v>FY26</c:v>
                </c:pt>
                <c:pt idx="1">
                  <c:v>FY27</c:v>
                </c:pt>
                <c:pt idx="2">
                  <c:v>FY28</c:v>
                </c:pt>
                <c:pt idx="3">
                  <c:v>FY29</c:v>
                </c:pt>
                <c:pt idx="4">
                  <c:v>FY30</c:v>
                </c:pt>
                <c:pt idx="5">
                  <c:v>FY31</c:v>
                </c:pt>
                <c:pt idx="6">
                  <c:v>FY32</c:v>
                </c:pt>
                <c:pt idx="7">
                  <c:v>FY33</c:v>
                </c:pt>
                <c:pt idx="8">
                  <c:v>FY34</c:v>
                </c:pt>
                <c:pt idx="9">
                  <c:v>FY35</c:v>
                </c:pt>
                <c:pt idx="10">
                  <c:v>FY36</c:v>
                </c:pt>
                <c:pt idx="11">
                  <c:v>FY37</c:v>
                </c:pt>
                <c:pt idx="12">
                  <c:v>FY38</c:v>
                </c:pt>
              </c:strCache>
            </c:strRef>
          </c:cat>
          <c:val>
            <c:numRef>
              <c:f>'Inputs for Dashboard'!$D$152:$P$152</c:f>
              <c:numCache>
                <c:formatCode>\$0,"K"</c:formatCode>
                <c:ptCount val="13"/>
                <c:pt idx="0">
                  <c:v>0</c:v>
                </c:pt>
                <c:pt idx="1">
                  <c:v>0</c:v>
                </c:pt>
                <c:pt idx="2">
                  <c:v>120544.10463622936</c:v>
                </c:pt>
                <c:pt idx="3">
                  <c:v>123723.57383825042</c:v>
                </c:pt>
                <c:pt idx="4">
                  <c:v>126988.22167068842</c:v>
                </c:pt>
                <c:pt idx="5">
                  <c:v>125336.98019806897</c:v>
                </c:pt>
                <c:pt idx="6">
                  <c:v>128165.26834637816</c:v>
                </c:pt>
                <c:pt idx="7">
                  <c:v>131076.52909045437</c:v>
                </c:pt>
                <c:pt idx="8">
                  <c:v>134073.20470695363</c:v>
                </c:pt>
                <c:pt idx="9">
                  <c:v>137157.80956830113</c:v>
                </c:pt>
                <c:pt idx="10">
                  <c:v>140332.93227625117</c:v>
                </c:pt>
                <c:pt idx="11">
                  <c:v>143601.23785872088</c:v>
                </c:pt>
                <c:pt idx="12">
                  <c:v>146965.4700317778</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04DA-4D3F-B226-77AF4FB56E92}"/>
            </c:ext>
          </c:extLst>
        </c:ser>
        <c:dLbls>
          <c:showLegendKey val="0"/>
          <c:showVal val="0"/>
          <c:showCatName val="0"/>
          <c:showSerName val="0"/>
          <c:showPercent val="0"/>
          <c:showBubbleSize val="0"/>
        </c:dLbls>
        <c:gapWidth val="150"/>
        <c:axId val="1115772439"/>
        <c:axId val="1519146297"/>
      </c:barChart>
      <c:lineChart>
        <c:grouping val="standard"/>
        <c:varyColors val="0"/>
        <c:ser>
          <c:idx val="0"/>
          <c:order val="0"/>
          <c:tx>
            <c:v>Annual Event Days</c:v>
          </c:tx>
          <c:spPr>
            <a:ln cmpd="sng">
              <a:solidFill>
                <a:srgbClr val="00695C"/>
              </a:solidFill>
            </a:ln>
          </c:spPr>
          <c:marker>
            <c:symbol val="none"/>
          </c:marker>
          <c:cat>
            <c:strRef>
              <c:f>'Inputs for Dashboard'!$D$150:$P$150</c:f>
              <c:strCache>
                <c:ptCount val="13"/>
                <c:pt idx="0">
                  <c:v>FY26</c:v>
                </c:pt>
                <c:pt idx="1">
                  <c:v>FY27</c:v>
                </c:pt>
                <c:pt idx="2">
                  <c:v>FY28</c:v>
                </c:pt>
                <c:pt idx="3">
                  <c:v>FY29</c:v>
                </c:pt>
                <c:pt idx="4">
                  <c:v>FY30</c:v>
                </c:pt>
                <c:pt idx="5">
                  <c:v>FY31</c:v>
                </c:pt>
                <c:pt idx="6">
                  <c:v>FY32</c:v>
                </c:pt>
                <c:pt idx="7">
                  <c:v>FY33</c:v>
                </c:pt>
                <c:pt idx="8">
                  <c:v>FY34</c:v>
                </c:pt>
                <c:pt idx="9">
                  <c:v>FY35</c:v>
                </c:pt>
                <c:pt idx="10">
                  <c:v>FY36</c:v>
                </c:pt>
                <c:pt idx="11">
                  <c:v>FY37</c:v>
                </c:pt>
                <c:pt idx="12">
                  <c:v>FY38</c:v>
                </c:pt>
              </c:strCache>
            </c:strRef>
          </c:cat>
          <c:val>
            <c:numRef>
              <c:f>'Inputs for Dashboard'!$D$151:$P$151</c:f>
              <c:numCache>
                <c:formatCode>#,##0</c:formatCode>
                <c:ptCount val="13"/>
                <c:pt idx="0">
                  <c:v>0</c:v>
                </c:pt>
                <c:pt idx="1">
                  <c:v>0</c:v>
                </c:pt>
                <c:pt idx="2">
                  <c:v>155.73000000000002</c:v>
                </c:pt>
                <c:pt idx="3">
                  <c:v>159.03600000000003</c:v>
                </c:pt>
                <c:pt idx="4">
                  <c:v>162.34200000000004</c:v>
                </c:pt>
                <c:pt idx="5">
                  <c:v>174</c:v>
                </c:pt>
                <c:pt idx="6">
                  <c:v>174</c:v>
                </c:pt>
                <c:pt idx="7">
                  <c:v>174</c:v>
                </c:pt>
                <c:pt idx="8">
                  <c:v>174</c:v>
                </c:pt>
                <c:pt idx="9">
                  <c:v>174</c:v>
                </c:pt>
                <c:pt idx="10">
                  <c:v>174</c:v>
                </c:pt>
                <c:pt idx="11">
                  <c:v>174</c:v>
                </c:pt>
                <c:pt idx="12">
                  <c:v>174</c:v>
                </c:pt>
              </c:numCache>
            </c:numRef>
          </c:val>
          <c:smooth val="0"/>
          <c:extLst>
            <c:ext xmlns:c16="http://schemas.microsoft.com/office/drawing/2014/chart" uri="{C3380CC4-5D6E-409C-BE32-E72D297353CC}">
              <c16:uniqueId val="{00000001-04DA-4D3F-B226-77AF4FB56E92}"/>
            </c:ext>
          </c:extLst>
        </c:ser>
        <c:dLbls>
          <c:showLegendKey val="0"/>
          <c:showVal val="0"/>
          <c:showCatName val="0"/>
          <c:showSerName val="0"/>
          <c:showPercent val="0"/>
          <c:showBubbleSize val="0"/>
        </c:dLbls>
        <c:marker val="1"/>
        <c:smooth val="0"/>
        <c:axId val="699589426"/>
        <c:axId val="843685595"/>
      </c:lineChart>
      <c:catAx>
        <c:axId val="1115772439"/>
        <c:scaling>
          <c:orientation val="minMax"/>
        </c:scaling>
        <c:delete val="0"/>
        <c:axPos val="b"/>
        <c:title>
          <c:tx>
            <c:rich>
              <a:bodyPr/>
              <a:lstStyle/>
              <a:p>
                <a:pPr lvl="0">
                  <a:defRPr sz="1000" b="0" i="0">
                    <a:solidFill>
                      <a:srgbClr val="000000"/>
                    </a:solidFill>
                    <a:latin typeface="Aptos Narrow"/>
                  </a:defRPr>
                </a:pPr>
                <a:endParaRPr lang="en-AU"/>
              </a:p>
            </c:rich>
          </c:tx>
          <c:overlay val="0"/>
        </c:title>
        <c:numFmt formatCode="General" sourceLinked="0"/>
        <c:majorTickMark val="none"/>
        <c:minorTickMark val="none"/>
        <c:tickLblPos val="nextTo"/>
        <c:spPr>
          <a:ln>
            <a:noFill/>
          </a:ln>
        </c:spPr>
        <c:txPr>
          <a:bodyPr/>
          <a:lstStyle/>
          <a:p>
            <a:pPr lvl="0">
              <a:defRPr sz="900" b="0" i="0">
                <a:solidFill>
                  <a:srgbClr val="000000"/>
                </a:solidFill>
                <a:latin typeface="Aptos Narrow"/>
              </a:defRPr>
            </a:pPr>
            <a:endParaRPr lang="en-US"/>
          </a:p>
        </c:txPr>
        <c:crossAx val="1519146297"/>
        <c:crosses val="autoZero"/>
        <c:auto val="1"/>
        <c:lblAlgn val="ctr"/>
        <c:lblOffset val="100"/>
        <c:noMultiLvlLbl val="1"/>
      </c:catAx>
      <c:valAx>
        <c:axId val="1519146297"/>
        <c:scaling>
          <c:orientation val="minMax"/>
        </c:scaling>
        <c:delete val="0"/>
        <c:axPos val="l"/>
        <c:title>
          <c:tx>
            <c:rich>
              <a:bodyPr/>
              <a:lstStyle/>
              <a:p>
                <a:pPr lvl="0">
                  <a:defRPr b="0">
                    <a:solidFill>
                      <a:srgbClr val="000000"/>
                    </a:solidFill>
                    <a:latin typeface="+mn-lt"/>
                  </a:defRPr>
                </a:pPr>
                <a:endParaRPr lang="en-AU"/>
              </a:p>
            </c:rich>
          </c:tx>
          <c:overlay val="0"/>
        </c:title>
        <c:numFmt formatCode="#,##0" sourceLinked="0"/>
        <c:majorTickMark val="none"/>
        <c:minorTickMark val="none"/>
        <c:tickLblPos val="nextTo"/>
        <c:spPr>
          <a:ln>
            <a:noFill/>
          </a:ln>
        </c:spPr>
        <c:txPr>
          <a:bodyPr/>
          <a:lstStyle/>
          <a:p>
            <a:pPr lvl="0">
              <a:defRPr sz="900" b="0" i="0">
                <a:solidFill>
                  <a:srgbClr val="000000"/>
                </a:solidFill>
                <a:latin typeface="Aptos Narrow"/>
              </a:defRPr>
            </a:pPr>
            <a:endParaRPr lang="en-US"/>
          </a:p>
        </c:txPr>
        <c:crossAx val="1115772439"/>
        <c:crosses val="autoZero"/>
        <c:crossBetween val="between"/>
      </c:valAx>
      <c:catAx>
        <c:axId val="699589426"/>
        <c:scaling>
          <c:orientation val="minMax"/>
        </c:scaling>
        <c:delete val="1"/>
        <c:axPos val="b"/>
        <c:numFmt formatCode="General" sourceLinked="0"/>
        <c:majorTickMark val="none"/>
        <c:minorTickMark val="none"/>
        <c:tickLblPos val="nextTo"/>
        <c:crossAx val="843685595"/>
        <c:crosses val="autoZero"/>
        <c:auto val="1"/>
        <c:lblAlgn val="ctr"/>
        <c:lblOffset val="100"/>
        <c:noMultiLvlLbl val="1"/>
      </c:catAx>
      <c:valAx>
        <c:axId val="843685595"/>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AU"/>
              </a:p>
            </c:rich>
          </c:tx>
          <c:overlay val="0"/>
        </c:title>
        <c:numFmt formatCode="#,##0" sourceLinked="1"/>
        <c:majorTickMark val="none"/>
        <c:minorTickMark val="none"/>
        <c:tickLblPos val="nextTo"/>
        <c:spPr>
          <a:ln>
            <a:noFill/>
          </a:ln>
        </c:spPr>
        <c:txPr>
          <a:bodyPr/>
          <a:lstStyle/>
          <a:p>
            <a:pPr lvl="0">
              <a:defRPr b="0">
                <a:solidFill>
                  <a:srgbClr val="000000"/>
                </a:solidFill>
                <a:latin typeface="+mn-lt"/>
              </a:defRPr>
            </a:pPr>
            <a:endParaRPr lang="en-US"/>
          </a:p>
        </c:txPr>
        <c:crossAx val="699589426"/>
        <c:crosses val="max"/>
        <c:crossBetween val="between"/>
      </c:valAx>
    </c:plotArea>
    <c:legend>
      <c:legendPos val="b"/>
      <c:overlay val="0"/>
      <c:txPr>
        <a:bodyPr/>
        <a:lstStyle/>
        <a:p>
          <a:pPr lvl="0">
            <a:defRPr sz="900" b="0" i="0">
              <a:solidFill>
                <a:srgbClr val="1A1A1A"/>
              </a:solidFill>
              <a:latin typeface="Aptos Narrow"/>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1100" b="1" i="0">
                <a:solidFill>
                  <a:srgbClr val="666666"/>
                </a:solidFill>
                <a:latin typeface="Aptos Narrow"/>
              </a:defRPr>
            </a:pPr>
            <a:r>
              <a:rPr lang="en-AU" sz="1100" b="1" i="0">
                <a:solidFill>
                  <a:srgbClr val="666666"/>
                </a:solidFill>
                <a:latin typeface="Aptos Narrow"/>
              </a:rPr>
              <a:t>Capex by Category ($)</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bar"/>
        <c:grouping val="clustered"/>
        <c:varyColors val="1"/>
        <c:ser>
          <c:idx val="0"/>
          <c:order val="0"/>
          <c:spPr>
            <a:solidFill>
              <a:srgbClr val="93C47D"/>
            </a:solidFill>
            <a:ln cmpd="sng">
              <a:noFill/>
            </a:ln>
          </c:spPr>
          <c:invertIfNegative val="1"/>
          <c:dLbls>
            <c:spPr>
              <a:noFill/>
              <a:ln>
                <a:noFill/>
              </a:ln>
              <a:effectLst/>
            </c:spPr>
            <c:txPr>
              <a:bodyPr/>
              <a:lstStyle/>
              <a:p>
                <a:pPr lvl="0">
                  <a:defRPr sz="800" b="1" i="0">
                    <a:solidFill>
                      <a:srgbClr val="000000"/>
                    </a:solidFill>
                    <a:latin typeface="Aptos Narrow"/>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'Inputs for Dashboard'!$B$159:$B$167</c:f>
              <c:strCache>
                <c:ptCount val="9"/>
                <c:pt idx="0">
                  <c:v>Consultants </c:v>
                </c:pt>
                <c:pt idx="1">
                  <c:v>Structure</c:v>
                </c:pt>
                <c:pt idx="2">
                  <c:v>Civil</c:v>
                </c:pt>
                <c:pt idx="3">
                  <c:v>ICT</c:v>
                </c:pt>
                <c:pt idx="4">
                  <c:v>FF&amp;E</c:v>
                </c:pt>
                <c:pt idx="5">
                  <c:v>Services</c:v>
                </c:pt>
                <c:pt idx="6">
                  <c:v>Security </c:v>
                </c:pt>
                <c:pt idx="7">
                  <c:v>Custom Taxes</c:v>
                </c:pt>
                <c:pt idx="8">
                  <c:v>Miscellaneous</c:v>
                </c:pt>
              </c:strCache>
            </c:strRef>
          </c:cat>
          <c:val>
            <c:numRef>
              <c:f>'Inputs for Dashboard'!$C$159:$C$167</c:f>
              <c:numCache>
                <c:formatCode>\ \ \ \ \$0,,"M"</c:formatCode>
                <c:ptCount val="9"/>
                <c:pt idx="0">
                  <c:v>2045000</c:v>
                </c:pt>
                <c:pt idx="1">
                  <c:v>6580000</c:v>
                </c:pt>
                <c:pt idx="2">
                  <c:v>1500000</c:v>
                </c:pt>
                <c:pt idx="3">
                  <c:v>490000</c:v>
                </c:pt>
                <c:pt idx="4">
                  <c:v>1900000</c:v>
                </c:pt>
                <c:pt idx="5">
                  <c:v>5000000</c:v>
                </c:pt>
                <c:pt idx="6">
                  <c:v>520000</c:v>
                </c:pt>
                <c:pt idx="7">
                  <c:v>785500</c:v>
                </c:pt>
                <c:pt idx="8">
                  <c:v>941025</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B2A1-470E-9DB3-2DEBDFCCC707}"/>
            </c:ext>
          </c:extLst>
        </c:ser>
        <c:dLbls>
          <c:showLegendKey val="0"/>
          <c:showVal val="0"/>
          <c:showCatName val="0"/>
          <c:showSerName val="0"/>
          <c:showPercent val="0"/>
          <c:showBubbleSize val="0"/>
        </c:dLbls>
        <c:gapWidth val="150"/>
        <c:shape val="box"/>
        <c:axId val="1713467898"/>
        <c:axId val="1211975835"/>
        <c:axId val="0"/>
      </c:bar3DChart>
      <c:catAx>
        <c:axId val="1713467898"/>
        <c:scaling>
          <c:orientation val="maxMin"/>
        </c:scaling>
        <c:delete val="0"/>
        <c:axPos val="l"/>
        <c:title>
          <c:tx>
            <c:rich>
              <a:bodyPr/>
              <a:lstStyle/>
              <a:p>
                <a:pPr lvl="0">
                  <a:defRPr b="0">
                    <a:solidFill>
                      <a:srgbClr val="000000"/>
                    </a:solidFill>
                    <a:latin typeface="+mn-lt"/>
                  </a:defRPr>
                </a:pPr>
                <a:endParaRPr lang="en-AU"/>
              </a:p>
            </c:rich>
          </c:tx>
          <c:overlay val="0"/>
        </c:title>
        <c:numFmt formatCode="General" sourceLinked="0"/>
        <c:majorTickMark val="none"/>
        <c:minorTickMark val="none"/>
        <c:tickLblPos val="nextTo"/>
        <c:spPr>
          <a:ln>
            <a:noFill/>
          </a:ln>
        </c:spPr>
        <c:txPr>
          <a:bodyPr/>
          <a:lstStyle/>
          <a:p>
            <a:pPr lvl="0">
              <a:defRPr sz="900" b="0" i="0">
                <a:solidFill>
                  <a:srgbClr val="000000"/>
                </a:solidFill>
                <a:latin typeface="Aptos Narrow"/>
              </a:defRPr>
            </a:pPr>
            <a:endParaRPr lang="en-US"/>
          </a:p>
        </c:txPr>
        <c:crossAx val="1211975835"/>
        <c:crosses val="autoZero"/>
        <c:auto val="1"/>
        <c:lblAlgn val="ctr"/>
        <c:lblOffset val="100"/>
        <c:noMultiLvlLbl val="1"/>
      </c:catAx>
      <c:valAx>
        <c:axId val="1211975835"/>
        <c:scaling>
          <c:orientation val="minMax"/>
        </c:scaling>
        <c:delete val="0"/>
        <c:axPos val="b"/>
        <c:title>
          <c:tx>
            <c:rich>
              <a:bodyPr/>
              <a:lstStyle/>
              <a:p>
                <a:pPr lvl="0">
                  <a:defRPr sz="1000" b="0" i="0">
                    <a:solidFill>
                      <a:srgbClr val="000000"/>
                    </a:solidFill>
                    <a:latin typeface="Aptos Narrow"/>
                  </a:defRPr>
                </a:pPr>
                <a:endParaRPr lang="en-AU"/>
              </a:p>
            </c:rich>
          </c:tx>
          <c:overlay val="0"/>
        </c:title>
        <c:numFmt formatCode="\$#,##0,,\M" sourceLinked="0"/>
        <c:majorTickMark val="none"/>
        <c:minorTickMark val="none"/>
        <c:tickLblPos val="nextTo"/>
        <c:spPr>
          <a:ln>
            <a:noFill/>
          </a:ln>
        </c:spPr>
        <c:txPr>
          <a:bodyPr/>
          <a:lstStyle/>
          <a:p>
            <a:pPr lvl="0">
              <a:defRPr sz="900" b="0" i="0">
                <a:solidFill>
                  <a:srgbClr val="000000"/>
                </a:solidFill>
                <a:latin typeface="Aptos Narrow"/>
              </a:defRPr>
            </a:pPr>
            <a:endParaRPr lang="en-US"/>
          </a:p>
        </c:txPr>
        <c:crossAx val="1713467898"/>
        <c:crosses val="max"/>
        <c:crossBetween val="between"/>
      </c:valAx>
    </c:plotArea>
    <c:plotVisOnly val="1"/>
    <c:dispBlanksAs val="zero"/>
    <c:showDLblsOverMax val="1"/>
  </c:chart>
  <c:spPr>
    <a:solidFill>
      <a:srgbClr val="FFFFFF"/>
    </a:solidFill>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AU" b="0">
                <a:solidFill>
                  <a:srgbClr val="757575"/>
                </a:solidFill>
                <a:latin typeface="+mn-lt"/>
              </a:rPr>
              <a:t>Total Capex ($)</a:t>
            </a:r>
          </a:p>
        </c:rich>
      </c:tx>
      <c:overlay val="0"/>
    </c:title>
    <c:autoTitleDeleted val="0"/>
    <c:plotArea>
      <c:layout/>
      <c:doughnutChart>
        <c:varyColors val="1"/>
        <c:ser>
          <c:idx val="0"/>
          <c:order val="0"/>
          <c:tx>
            <c:strRef>
              <c:f>'Inputs for Dashboard'!$C$158</c:f>
              <c:strCache>
                <c:ptCount val="1"/>
                <c:pt idx="0">
                  <c:v>Total Capex ($)</c:v>
                </c:pt>
              </c:strCache>
            </c:strRef>
          </c:tx>
          <c:dPt>
            <c:idx val="0"/>
            <c:bubble3D val="0"/>
            <c:spPr>
              <a:solidFill>
                <a:srgbClr val="156082"/>
              </a:solidFill>
            </c:spPr>
            <c:extLst>
              <c:ext xmlns:c16="http://schemas.microsoft.com/office/drawing/2014/chart" uri="{C3380CC4-5D6E-409C-BE32-E72D297353CC}">
                <c16:uniqueId val="{00000001-74DD-4A65-9195-8D96AF676EBB}"/>
              </c:ext>
            </c:extLst>
          </c:dPt>
          <c:dPt>
            <c:idx val="1"/>
            <c:bubble3D val="0"/>
            <c:spPr>
              <a:solidFill>
                <a:srgbClr val="E97132"/>
              </a:solidFill>
            </c:spPr>
            <c:extLst>
              <c:ext xmlns:c16="http://schemas.microsoft.com/office/drawing/2014/chart" uri="{C3380CC4-5D6E-409C-BE32-E72D297353CC}">
                <c16:uniqueId val="{00000003-74DD-4A65-9195-8D96AF676EBB}"/>
              </c:ext>
            </c:extLst>
          </c:dPt>
          <c:dPt>
            <c:idx val="2"/>
            <c:bubble3D val="0"/>
            <c:spPr>
              <a:solidFill>
                <a:srgbClr val="196B24"/>
              </a:solidFill>
            </c:spPr>
            <c:extLst>
              <c:ext xmlns:c16="http://schemas.microsoft.com/office/drawing/2014/chart" uri="{C3380CC4-5D6E-409C-BE32-E72D297353CC}">
                <c16:uniqueId val="{00000005-74DD-4A65-9195-8D96AF676EBB}"/>
              </c:ext>
            </c:extLst>
          </c:dPt>
          <c:dPt>
            <c:idx val="3"/>
            <c:bubble3D val="0"/>
            <c:spPr>
              <a:solidFill>
                <a:srgbClr val="0F9ED5"/>
              </a:solidFill>
            </c:spPr>
            <c:extLst>
              <c:ext xmlns:c16="http://schemas.microsoft.com/office/drawing/2014/chart" uri="{C3380CC4-5D6E-409C-BE32-E72D297353CC}">
                <c16:uniqueId val="{00000007-74DD-4A65-9195-8D96AF676EBB}"/>
              </c:ext>
            </c:extLst>
          </c:dPt>
          <c:dPt>
            <c:idx val="4"/>
            <c:bubble3D val="0"/>
            <c:spPr>
              <a:solidFill>
                <a:srgbClr val="A02B93"/>
              </a:solidFill>
            </c:spPr>
            <c:extLst>
              <c:ext xmlns:c16="http://schemas.microsoft.com/office/drawing/2014/chart" uri="{C3380CC4-5D6E-409C-BE32-E72D297353CC}">
                <c16:uniqueId val="{00000009-74DD-4A65-9195-8D96AF676EBB}"/>
              </c:ext>
            </c:extLst>
          </c:dPt>
          <c:dPt>
            <c:idx val="5"/>
            <c:bubble3D val="0"/>
            <c:spPr>
              <a:solidFill>
                <a:srgbClr val="4EA72E"/>
              </a:solidFill>
            </c:spPr>
            <c:extLst>
              <c:ext xmlns:c16="http://schemas.microsoft.com/office/drawing/2014/chart" uri="{C3380CC4-5D6E-409C-BE32-E72D297353CC}">
                <c16:uniqueId val="{0000000B-74DD-4A65-9195-8D96AF676EBB}"/>
              </c:ext>
            </c:extLst>
          </c:dPt>
          <c:dPt>
            <c:idx val="6"/>
            <c:bubble3D val="0"/>
            <c:spPr>
              <a:solidFill>
                <a:srgbClr val="5B90A8"/>
              </a:solidFill>
            </c:spPr>
            <c:extLst>
              <c:ext xmlns:c16="http://schemas.microsoft.com/office/drawing/2014/chart" uri="{C3380CC4-5D6E-409C-BE32-E72D297353CC}">
                <c16:uniqueId val="{0000000D-74DD-4A65-9195-8D96AF676EBB}"/>
              </c:ext>
            </c:extLst>
          </c:dPt>
          <c:dPt>
            <c:idx val="7"/>
            <c:bubble3D val="0"/>
            <c:spPr>
              <a:solidFill>
                <a:srgbClr val="F09C70"/>
              </a:solidFill>
            </c:spPr>
            <c:extLst>
              <c:ext xmlns:c16="http://schemas.microsoft.com/office/drawing/2014/chart" uri="{C3380CC4-5D6E-409C-BE32-E72D297353CC}">
                <c16:uniqueId val="{0000000F-74DD-4A65-9195-8D96AF676EBB}"/>
              </c:ext>
            </c:extLst>
          </c:dPt>
          <c:dPt>
            <c:idx val="8"/>
            <c:bubble3D val="0"/>
            <c:spPr>
              <a:solidFill>
                <a:srgbClr val="5E9766"/>
              </a:solidFill>
            </c:spPr>
            <c:extLst>
              <c:ext xmlns:c16="http://schemas.microsoft.com/office/drawing/2014/chart" uri="{C3380CC4-5D6E-409C-BE32-E72D297353CC}">
                <c16:uniqueId val="{00000011-74DD-4A65-9195-8D96AF676EBB}"/>
              </c:ext>
            </c:extLst>
          </c:dPt>
          <c:cat>
            <c:strRef>
              <c:f>'Inputs for Dashboard'!$B$159:$B$167</c:f>
              <c:strCache>
                <c:ptCount val="9"/>
                <c:pt idx="0">
                  <c:v>Consultants </c:v>
                </c:pt>
                <c:pt idx="1">
                  <c:v>Structure</c:v>
                </c:pt>
                <c:pt idx="2">
                  <c:v>Civil</c:v>
                </c:pt>
                <c:pt idx="3">
                  <c:v>ICT</c:v>
                </c:pt>
                <c:pt idx="4">
                  <c:v>FF&amp;E</c:v>
                </c:pt>
                <c:pt idx="5">
                  <c:v>Services</c:v>
                </c:pt>
                <c:pt idx="6">
                  <c:v>Security </c:v>
                </c:pt>
                <c:pt idx="7">
                  <c:v>Custom Taxes</c:v>
                </c:pt>
                <c:pt idx="8">
                  <c:v>Miscellaneous</c:v>
                </c:pt>
              </c:strCache>
            </c:strRef>
          </c:cat>
          <c:val>
            <c:numRef>
              <c:f>'Inputs for Dashboard'!$C$159:$C$167</c:f>
              <c:numCache>
                <c:formatCode>\ \ \ \ \$0,,"M"</c:formatCode>
                <c:ptCount val="9"/>
                <c:pt idx="0">
                  <c:v>2045000</c:v>
                </c:pt>
                <c:pt idx="1">
                  <c:v>6580000</c:v>
                </c:pt>
                <c:pt idx="2">
                  <c:v>1500000</c:v>
                </c:pt>
                <c:pt idx="3">
                  <c:v>490000</c:v>
                </c:pt>
                <c:pt idx="4">
                  <c:v>1900000</c:v>
                </c:pt>
                <c:pt idx="5">
                  <c:v>5000000</c:v>
                </c:pt>
                <c:pt idx="6">
                  <c:v>520000</c:v>
                </c:pt>
                <c:pt idx="7">
                  <c:v>785500</c:v>
                </c:pt>
                <c:pt idx="8">
                  <c:v>941025</c:v>
                </c:pt>
              </c:numCache>
            </c:numRef>
          </c:val>
          <c:extLst>
            <c:ext xmlns:c16="http://schemas.microsoft.com/office/drawing/2014/chart" uri="{C3380CC4-5D6E-409C-BE32-E72D297353CC}">
              <c16:uniqueId val="{00000012-74DD-4A65-9195-8D96AF676EBB}"/>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1100" b="1" i="0">
                <a:solidFill>
                  <a:srgbClr val="1F3864"/>
                </a:solidFill>
                <a:latin typeface="Aptos Narrow"/>
              </a:defRPr>
            </a:pPr>
            <a:r>
              <a:rPr lang="en-AU" sz="1100" b="1" i="0">
                <a:solidFill>
                  <a:srgbClr val="1F3864"/>
                </a:solidFill>
                <a:latin typeface="Aptos Narrow"/>
              </a:rPr>
              <a:t>EV → Equity Value Waterfall</a:t>
            </a:r>
          </a:p>
        </c:rich>
      </c:tx>
      <c:overlay val="0"/>
    </c:title>
    <c:autoTitleDeleted val="0"/>
    <c:plotArea>
      <c:layout/>
      <c:barChart>
        <c:barDir val="col"/>
        <c:grouping val="stacked"/>
        <c:varyColors val="1"/>
        <c:ser>
          <c:idx val="0"/>
          <c:order val="0"/>
          <c:tx>
            <c:v>(hidden)</c:v>
          </c:tx>
          <c:spPr>
            <a:solidFill>
              <a:srgbClr val="FFFFFF"/>
            </a:solidFill>
            <a:ln cmpd="sng">
              <a:noFill/>
            </a:ln>
          </c:spPr>
          <c:invertIfNegative val="1"/>
          <c:dPt>
            <c:idx val="5"/>
            <c:invertIfNegative val="1"/>
            <c:bubble3D val="0"/>
            <c:extLst>
              <c:ext xmlns:c16="http://schemas.microsoft.com/office/drawing/2014/chart" uri="{C3380CC4-5D6E-409C-BE32-E72D297353CC}">
                <c16:uniqueId val="{00000000-E860-433C-8937-C13434A9F912}"/>
              </c:ext>
            </c:extLst>
          </c:dPt>
          <c:cat>
            <c:strRef>
              <c:f>'Inputs for Dashboard'!$B$218:$B$224</c:f>
              <c:strCache>
                <c:ptCount val="7"/>
                <c:pt idx="0">
                  <c:v>Category</c:v>
                </c:pt>
                <c:pt idx="1">
                  <c:v>PV FCF</c:v>
                </c:pt>
                <c:pt idx="2">
                  <c:v>PV TV</c:v>
                </c:pt>
                <c:pt idx="3">
                  <c:v>EV</c:v>
                </c:pt>
                <c:pt idx="4">
                  <c:v>Less Debt</c:v>
                </c:pt>
                <c:pt idx="5">
                  <c:v>Add Cash</c:v>
                </c:pt>
                <c:pt idx="6">
                  <c:v>Equity Value</c:v>
                </c:pt>
              </c:strCache>
            </c:strRef>
          </c:cat>
          <c:val>
            <c:numRef>
              <c:f>'Inputs for Dashboard'!$C$218:$C$224</c:f>
              <c:numCache>
                <c:formatCode>\$#,##0</c:formatCode>
                <c:ptCount val="7"/>
                <c:pt idx="0" formatCode="General">
                  <c:v>0</c:v>
                </c:pt>
                <c:pt idx="1">
                  <c:v>0</c:v>
                </c:pt>
                <c:pt idx="2">
                  <c:v>30048862.997447755</c:v>
                </c:pt>
                <c:pt idx="3">
                  <c:v>0</c:v>
                </c:pt>
                <c:pt idx="4">
                  <c:v>49625691.637933955</c:v>
                </c:pt>
                <c:pt idx="5">
                  <c:v>49625691.637933955</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E860-433C-8937-C13434A9F912}"/>
            </c:ext>
          </c:extLst>
        </c:ser>
        <c:ser>
          <c:idx val="1"/>
          <c:order val="1"/>
          <c:tx>
            <c:v>Positive</c:v>
          </c:tx>
          <c:spPr>
            <a:solidFill>
              <a:srgbClr val="2E7D32"/>
            </a:solidFill>
            <a:ln cmpd="sng">
              <a:noFill/>
            </a:ln>
          </c:spPr>
          <c:invertIfNegative val="1"/>
          <c:cat>
            <c:strRef>
              <c:f>'Inputs for Dashboard'!$B$218:$B$224</c:f>
              <c:strCache>
                <c:ptCount val="7"/>
                <c:pt idx="0">
                  <c:v>Category</c:v>
                </c:pt>
                <c:pt idx="1">
                  <c:v>PV FCF</c:v>
                </c:pt>
                <c:pt idx="2">
                  <c:v>PV TV</c:v>
                </c:pt>
                <c:pt idx="3">
                  <c:v>EV</c:v>
                </c:pt>
                <c:pt idx="4">
                  <c:v>Less Debt</c:v>
                </c:pt>
                <c:pt idx="5">
                  <c:v>Add Cash</c:v>
                </c:pt>
                <c:pt idx="6">
                  <c:v>Equity Value</c:v>
                </c:pt>
              </c:strCache>
            </c:strRef>
          </c:cat>
          <c:val>
            <c:numRef>
              <c:f>'Inputs for Dashboard'!$D$218:$D$224</c:f>
              <c:numCache>
                <c:formatCode>\$#,##0</c:formatCode>
                <c:ptCount val="7"/>
                <c:pt idx="0" formatCode="General">
                  <c:v>0</c:v>
                </c:pt>
                <c:pt idx="1">
                  <c:v>30048862.997447755</c:v>
                </c:pt>
                <c:pt idx="2">
                  <c:v>32252743.640486203</c:v>
                </c:pt>
                <c:pt idx="3">
                  <c:v>0</c:v>
                </c:pt>
                <c:pt idx="4">
                  <c:v>0</c:v>
                </c:pt>
                <c:pt idx="5">
                  <c:v>-452228.39999999851</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2-E860-433C-8937-C13434A9F912}"/>
            </c:ext>
          </c:extLst>
        </c:ser>
        <c:ser>
          <c:idx val="2"/>
          <c:order val="2"/>
          <c:tx>
            <c:v>Negative</c:v>
          </c:tx>
          <c:spPr>
            <a:solidFill>
              <a:srgbClr val="C62828"/>
            </a:solidFill>
            <a:ln cmpd="sng">
              <a:noFill/>
            </a:ln>
          </c:spPr>
          <c:invertIfNegative val="1"/>
          <c:cat>
            <c:strRef>
              <c:f>'Inputs for Dashboard'!$B$218:$B$224</c:f>
              <c:strCache>
                <c:ptCount val="7"/>
                <c:pt idx="0">
                  <c:v>Category</c:v>
                </c:pt>
                <c:pt idx="1">
                  <c:v>PV FCF</c:v>
                </c:pt>
                <c:pt idx="2">
                  <c:v>PV TV</c:v>
                </c:pt>
                <c:pt idx="3">
                  <c:v>EV</c:v>
                </c:pt>
                <c:pt idx="4">
                  <c:v>Less Debt</c:v>
                </c:pt>
                <c:pt idx="5">
                  <c:v>Add Cash</c:v>
                </c:pt>
                <c:pt idx="6">
                  <c:v>Equity Value</c:v>
                </c:pt>
              </c:strCache>
            </c:strRef>
          </c:cat>
          <c:val>
            <c:numRef>
              <c:f>'Inputs for Dashboard'!$E$218:$E$224</c:f>
              <c:numCache>
                <c:formatCode>\$#,##0</c:formatCode>
                <c:ptCount val="7"/>
                <c:pt idx="0" formatCode="General">
                  <c:v>0</c:v>
                </c:pt>
                <c:pt idx="1">
                  <c:v>0</c:v>
                </c:pt>
                <c:pt idx="2">
                  <c:v>0</c:v>
                </c:pt>
                <c:pt idx="3">
                  <c:v>0</c:v>
                </c:pt>
                <c:pt idx="4">
                  <c:v>12675915</c:v>
                </c:pt>
                <c:pt idx="5">
                  <c:v>0</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3-E860-433C-8937-C13434A9F912}"/>
            </c:ext>
          </c:extLst>
        </c:ser>
        <c:ser>
          <c:idx val="3"/>
          <c:order val="3"/>
          <c:tx>
            <c:v>Total</c:v>
          </c:tx>
          <c:spPr>
            <a:solidFill>
              <a:srgbClr val="1F3864"/>
            </a:solidFill>
            <a:ln cmpd="sng">
              <a:noFill/>
            </a:ln>
          </c:spPr>
          <c:invertIfNegative val="1"/>
          <c:dPt>
            <c:idx val="6"/>
            <c:invertIfNegative val="1"/>
            <c:bubble3D val="0"/>
            <c:spPr>
              <a:solidFill>
                <a:srgbClr val="4A86E8"/>
              </a:solidFill>
              <a:ln cmpd="sng">
                <a:noFill/>
              </a:ln>
            </c:spPr>
            <c:extLst>
              <c:ext xmlns:c16="http://schemas.microsoft.com/office/drawing/2014/chart" uri="{C3380CC4-5D6E-409C-BE32-E72D297353CC}">
                <c16:uniqueId val="{00000005-E860-433C-8937-C13434A9F912}"/>
              </c:ext>
            </c:extLst>
          </c:dPt>
          <c:cat>
            <c:strRef>
              <c:f>'Inputs for Dashboard'!$B$218:$B$224</c:f>
              <c:strCache>
                <c:ptCount val="7"/>
                <c:pt idx="0">
                  <c:v>Category</c:v>
                </c:pt>
                <c:pt idx="1">
                  <c:v>PV FCF</c:v>
                </c:pt>
                <c:pt idx="2">
                  <c:v>PV TV</c:v>
                </c:pt>
                <c:pt idx="3">
                  <c:v>EV</c:v>
                </c:pt>
                <c:pt idx="4">
                  <c:v>Less Debt</c:v>
                </c:pt>
                <c:pt idx="5">
                  <c:v>Add Cash</c:v>
                </c:pt>
                <c:pt idx="6">
                  <c:v>Equity Value</c:v>
                </c:pt>
              </c:strCache>
            </c:strRef>
          </c:cat>
          <c:val>
            <c:numRef>
              <c:f>'Inputs for Dashboard'!$F$218:$F$224</c:f>
              <c:numCache>
                <c:formatCode>\$#,##0</c:formatCode>
                <c:ptCount val="7"/>
                <c:pt idx="0" formatCode="General">
                  <c:v>0</c:v>
                </c:pt>
                <c:pt idx="1">
                  <c:v>0</c:v>
                </c:pt>
                <c:pt idx="2">
                  <c:v>0</c:v>
                </c:pt>
                <c:pt idx="3">
                  <c:v>62301606.637933955</c:v>
                </c:pt>
                <c:pt idx="4">
                  <c:v>0</c:v>
                </c:pt>
                <c:pt idx="5">
                  <c:v>0</c:v>
                </c:pt>
                <c:pt idx="6">
                  <c:v>50077920.037933953</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6-E860-433C-8937-C13434A9F912}"/>
            </c:ext>
          </c:extLst>
        </c:ser>
        <c:dLbls>
          <c:showLegendKey val="0"/>
          <c:showVal val="0"/>
          <c:showCatName val="0"/>
          <c:showSerName val="0"/>
          <c:showPercent val="0"/>
          <c:showBubbleSize val="0"/>
        </c:dLbls>
        <c:gapWidth val="150"/>
        <c:overlap val="100"/>
        <c:axId val="703594412"/>
        <c:axId val="1055702664"/>
      </c:barChart>
      <c:catAx>
        <c:axId val="703594412"/>
        <c:scaling>
          <c:orientation val="minMax"/>
        </c:scaling>
        <c:delete val="0"/>
        <c:axPos val="b"/>
        <c:title>
          <c:tx>
            <c:rich>
              <a:bodyPr/>
              <a:lstStyle/>
              <a:p>
                <a:pPr lvl="0">
                  <a:defRPr b="0">
                    <a:solidFill>
                      <a:srgbClr val="000000"/>
                    </a:solidFill>
                    <a:latin typeface="+mn-lt"/>
                  </a:defRPr>
                </a:pPr>
                <a:endParaRPr lang="en-AU"/>
              </a:p>
            </c:rich>
          </c:tx>
          <c:overlay val="0"/>
        </c:title>
        <c:numFmt formatCode="General" sourceLinked="0"/>
        <c:majorTickMark val="none"/>
        <c:minorTickMark val="none"/>
        <c:tickLblPos val="nextTo"/>
        <c:spPr>
          <a:ln>
            <a:noFill/>
          </a:ln>
        </c:spPr>
        <c:txPr>
          <a:bodyPr/>
          <a:lstStyle/>
          <a:p>
            <a:pPr lvl="0">
              <a:defRPr sz="900" b="0" i="0">
                <a:solidFill>
                  <a:srgbClr val="000000"/>
                </a:solidFill>
                <a:latin typeface="Aptos Narrow"/>
              </a:defRPr>
            </a:pPr>
            <a:endParaRPr lang="en-US"/>
          </a:p>
        </c:txPr>
        <c:crossAx val="1055702664"/>
        <c:crosses val="autoZero"/>
        <c:auto val="1"/>
        <c:lblAlgn val="ctr"/>
        <c:lblOffset val="100"/>
        <c:noMultiLvlLbl val="1"/>
      </c:catAx>
      <c:valAx>
        <c:axId val="1055702664"/>
        <c:scaling>
          <c:orientation val="minMax"/>
        </c:scaling>
        <c:delete val="0"/>
        <c:axPos val="l"/>
        <c:title>
          <c:tx>
            <c:rich>
              <a:bodyPr/>
              <a:lstStyle/>
              <a:p>
                <a:pPr lvl="0">
                  <a:defRPr sz="1000" b="0" i="0">
                    <a:solidFill>
                      <a:srgbClr val="000000"/>
                    </a:solidFill>
                    <a:latin typeface="Aptos Narrow"/>
                  </a:defRPr>
                </a:pPr>
                <a:r>
                  <a:rPr lang="en-AU" sz="1000" b="0" i="0">
                    <a:solidFill>
                      <a:srgbClr val="000000"/>
                    </a:solidFill>
                    <a:latin typeface="Aptos Narrow"/>
                  </a:rPr>
                  <a:t>$M</a:t>
                </a:r>
              </a:p>
            </c:rich>
          </c:tx>
          <c:overlay val="0"/>
        </c:title>
        <c:numFmt formatCode="\$#,##0,,\M" sourceLinked="0"/>
        <c:majorTickMark val="none"/>
        <c:minorTickMark val="none"/>
        <c:tickLblPos val="nextTo"/>
        <c:spPr>
          <a:ln>
            <a:noFill/>
          </a:ln>
        </c:spPr>
        <c:txPr>
          <a:bodyPr/>
          <a:lstStyle/>
          <a:p>
            <a:pPr lvl="0">
              <a:defRPr sz="900" b="0" i="0">
                <a:solidFill>
                  <a:srgbClr val="000000"/>
                </a:solidFill>
                <a:latin typeface="Aptos Narrow"/>
              </a:defRPr>
            </a:pPr>
            <a:endParaRPr lang="en-US"/>
          </a:p>
        </c:txPr>
        <c:crossAx val="703594412"/>
        <c:crosses val="autoZero"/>
        <c:crossBetween val="between"/>
      </c:valAx>
    </c:plotArea>
    <c:plotVisOnly val="1"/>
    <c:dispBlanksAs val="zero"/>
    <c:showDLblsOverMax val="1"/>
  </c:chart>
  <c:spPr>
    <a:solidFill>
      <a:srgbClr val="FFFFFF"/>
    </a:solidFill>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1200" b="1" i="0">
                <a:solidFill>
                  <a:srgbClr val="999999"/>
                </a:solidFill>
                <a:latin typeface="Aptos Narrow"/>
              </a:defRPr>
            </a:pPr>
            <a:r>
              <a:rPr lang="en-AU" sz="1200" b="1" i="0">
                <a:solidFill>
                  <a:srgbClr val="999999"/>
                </a:solidFill>
                <a:latin typeface="Aptos Narrow"/>
              </a:rPr>
              <a:t>IRR Impact by Scenario (percentage points)</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bar"/>
        <c:grouping val="clustered"/>
        <c:varyColors val="1"/>
        <c:ser>
          <c:idx val="0"/>
          <c:order val="0"/>
          <c:tx>
            <c:v>IRR Delta (pp)</c:v>
          </c:tx>
          <c:spPr>
            <a:solidFill>
              <a:srgbClr val="93C47D"/>
            </a:solidFill>
            <a:ln cmpd="sng">
              <a:noFill/>
            </a:ln>
          </c:spPr>
          <c:invertIfNegative val="1"/>
          <c:dPt>
            <c:idx val="1"/>
            <c:invertIfNegative val="1"/>
            <c:bubble3D val="0"/>
            <c:extLst>
              <c:ext xmlns:c16="http://schemas.microsoft.com/office/drawing/2014/chart" uri="{C3380CC4-5D6E-409C-BE32-E72D297353CC}">
                <c16:uniqueId val="{00000000-1224-4EB4-906F-AC7BEB45CA92}"/>
              </c:ext>
            </c:extLst>
          </c:dPt>
          <c:cat>
            <c:strRef>
              <c:f>'Inputs for Dashboard'!$B$206:$B$213</c:f>
              <c:strCache>
                <c:ptCount val="8"/>
                <c:pt idx="0">
                  <c:v>Base</c:v>
                </c:pt>
                <c:pt idx="1">
                  <c:v>Optimistic</c:v>
                </c:pt>
                <c:pt idx="2">
                  <c:v>Pessimistic</c:v>
                </c:pt>
                <c:pt idx="3">
                  <c:v>Delayed +3m</c:v>
                </c:pt>
                <c:pt idx="4">
                  <c:v>Delayed +6m</c:v>
                </c:pt>
                <c:pt idx="5">
                  <c:v>Capex +10%</c:v>
                </c:pt>
                <c:pt idx="6">
                  <c:v>Capex +20%</c:v>
                </c:pt>
                <c:pt idx="7">
                  <c:v>Sponsorship Under</c:v>
                </c:pt>
              </c:strCache>
            </c:strRef>
          </c:cat>
          <c:val>
            <c:numRef>
              <c:f>'Inputs for Dashboard'!$C$206:$C$213</c:f>
              <c:numCache>
                <c:formatCode>\+0.00;\-0.00;\-</c:formatCode>
                <c:ptCount val="8"/>
                <c:pt idx="0">
                  <c:v>0</c:v>
                </c:pt>
                <c:pt idx="1">
                  <c:v>2.95</c:v>
                </c:pt>
                <c:pt idx="2">
                  <c:v>-5.08</c:v>
                </c:pt>
                <c:pt idx="3">
                  <c:v>-1.02</c:v>
                </c:pt>
                <c:pt idx="4">
                  <c:v>-2.04</c:v>
                </c:pt>
                <c:pt idx="5">
                  <c:v>-2.0299999999999998</c:v>
                </c:pt>
                <c:pt idx="6">
                  <c:v>-4.05</c:v>
                </c:pt>
                <c:pt idx="7">
                  <c:v>-2.0299999999999998</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1224-4EB4-906F-AC7BEB45CA92}"/>
            </c:ext>
          </c:extLst>
        </c:ser>
        <c:dLbls>
          <c:showLegendKey val="0"/>
          <c:showVal val="0"/>
          <c:showCatName val="0"/>
          <c:showSerName val="0"/>
          <c:showPercent val="0"/>
          <c:showBubbleSize val="0"/>
        </c:dLbls>
        <c:gapWidth val="150"/>
        <c:shape val="box"/>
        <c:axId val="499690080"/>
        <c:axId val="293129358"/>
        <c:axId val="0"/>
      </c:bar3DChart>
      <c:catAx>
        <c:axId val="499690080"/>
        <c:scaling>
          <c:orientation val="maxMin"/>
        </c:scaling>
        <c:delete val="0"/>
        <c:axPos val="l"/>
        <c:title>
          <c:tx>
            <c:rich>
              <a:bodyPr/>
              <a:lstStyle/>
              <a:p>
                <a:pPr lvl="0">
                  <a:defRPr b="0">
                    <a:solidFill>
                      <a:srgbClr val="000000"/>
                    </a:solidFill>
                    <a:latin typeface="+mn-lt"/>
                  </a:defRPr>
                </a:pPr>
                <a:endParaRPr lang="en-AU"/>
              </a:p>
            </c:rich>
          </c:tx>
          <c:overlay val="0"/>
        </c:title>
        <c:numFmt formatCode="General" sourceLinked="0"/>
        <c:majorTickMark val="none"/>
        <c:minorTickMark val="none"/>
        <c:tickLblPos val="nextTo"/>
        <c:spPr>
          <a:ln>
            <a:noFill/>
          </a:ln>
        </c:spPr>
        <c:txPr>
          <a:bodyPr/>
          <a:lstStyle/>
          <a:p>
            <a:pPr lvl="0">
              <a:defRPr sz="900" b="0" i="0">
                <a:solidFill>
                  <a:srgbClr val="000000"/>
                </a:solidFill>
                <a:latin typeface="Aptos Narrow"/>
              </a:defRPr>
            </a:pPr>
            <a:endParaRPr lang="en-US"/>
          </a:p>
        </c:txPr>
        <c:crossAx val="293129358"/>
        <c:crosses val="autoZero"/>
        <c:auto val="1"/>
        <c:lblAlgn val="ctr"/>
        <c:lblOffset val="100"/>
        <c:noMultiLvlLbl val="1"/>
      </c:catAx>
      <c:valAx>
        <c:axId val="293129358"/>
        <c:scaling>
          <c:orientation val="minMax"/>
        </c:scaling>
        <c:delete val="0"/>
        <c:axPos val="b"/>
        <c:title>
          <c:tx>
            <c:rich>
              <a:bodyPr/>
              <a:lstStyle/>
              <a:p>
                <a:pPr lvl="0">
                  <a:defRPr sz="1000" b="0" i="0">
                    <a:solidFill>
                      <a:srgbClr val="000000"/>
                    </a:solidFill>
                    <a:latin typeface="Aptos Narrow"/>
                  </a:defRPr>
                </a:pPr>
                <a:endParaRPr lang="en-AU"/>
              </a:p>
            </c:rich>
          </c:tx>
          <c:overlay val="0"/>
        </c:title>
        <c:numFmt formatCode="General" sourceLinked="0"/>
        <c:majorTickMark val="none"/>
        <c:minorTickMark val="none"/>
        <c:tickLblPos val="nextTo"/>
        <c:spPr>
          <a:ln>
            <a:noFill/>
          </a:ln>
        </c:spPr>
        <c:txPr>
          <a:bodyPr/>
          <a:lstStyle/>
          <a:p>
            <a:pPr lvl="0">
              <a:defRPr sz="900" b="0" i="0">
                <a:solidFill>
                  <a:srgbClr val="000000"/>
                </a:solidFill>
                <a:latin typeface="Aptos Narrow"/>
              </a:defRPr>
            </a:pPr>
            <a:endParaRPr lang="en-US"/>
          </a:p>
        </c:txPr>
        <c:crossAx val="499690080"/>
        <c:crosses val="max"/>
        <c:crossBetween val="between"/>
      </c:valAx>
    </c:plotArea>
    <c:plotVisOnly val="1"/>
    <c:dispBlanksAs val="zero"/>
    <c:showDLblsOverMax val="1"/>
  </c:chart>
  <c:spPr>
    <a:solidFill>
      <a:srgbClr val="FFFFFF"/>
    </a:solidFill>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1200" b="1" i="0">
                <a:solidFill>
                  <a:srgbClr val="1F3864"/>
                </a:solidFill>
                <a:latin typeface="Aptos Narrow"/>
              </a:defRPr>
            </a:pPr>
            <a:r>
              <a:rPr lang="en-AU" sz="1200" b="1" i="0">
                <a:solidFill>
                  <a:srgbClr val="1F3864"/>
                </a:solidFill>
                <a:latin typeface="Aptos Narrow"/>
              </a:rPr>
              <a:t>Revenue, EBITDA &amp; NPAT (FY25–FY36, AUD)</a:t>
            </a:r>
          </a:p>
        </c:rich>
      </c:tx>
      <c:overlay val="0"/>
    </c:title>
    <c:autoTitleDeleted val="0"/>
    <c:plotArea>
      <c:layout/>
      <c:barChart>
        <c:barDir val="col"/>
        <c:grouping val="clustered"/>
        <c:varyColors val="1"/>
        <c:ser>
          <c:idx val="0"/>
          <c:order val="0"/>
          <c:spPr>
            <a:solidFill>
              <a:srgbClr val="4472C4"/>
            </a:solidFill>
            <a:ln cmpd="sng">
              <a:noFill/>
            </a:ln>
          </c:spPr>
          <c:invertIfNegative val="1"/>
          <c:cat>
            <c:strRef>
              <c:f>'Inputs for Dashboard'!$D$98:$P$98</c:f>
              <c:strCache>
                <c:ptCount val="13"/>
                <c:pt idx="0">
                  <c:v>FY26</c:v>
                </c:pt>
                <c:pt idx="1">
                  <c:v>FY27</c:v>
                </c:pt>
                <c:pt idx="2">
                  <c:v>FY28</c:v>
                </c:pt>
                <c:pt idx="3">
                  <c:v>FY29</c:v>
                </c:pt>
                <c:pt idx="4">
                  <c:v>FY30</c:v>
                </c:pt>
                <c:pt idx="5">
                  <c:v>FY31</c:v>
                </c:pt>
                <c:pt idx="6">
                  <c:v>FY32</c:v>
                </c:pt>
                <c:pt idx="7">
                  <c:v>FY33</c:v>
                </c:pt>
                <c:pt idx="8">
                  <c:v>FY34</c:v>
                </c:pt>
                <c:pt idx="9">
                  <c:v>FY35</c:v>
                </c:pt>
                <c:pt idx="10">
                  <c:v>FY36</c:v>
                </c:pt>
                <c:pt idx="11">
                  <c:v>FY37</c:v>
                </c:pt>
                <c:pt idx="12">
                  <c:v>FY38</c:v>
                </c:pt>
              </c:strCache>
            </c:strRef>
          </c:cat>
          <c:val>
            <c:numRef>
              <c:f>'Inputs for Dashboard'!$D$99:$P$99</c:f>
              <c:numCache>
                <c:formatCode>\ \ \ \ \$0,,"M"</c:formatCode>
                <c:ptCount val="13"/>
                <c:pt idx="0">
                  <c:v>0</c:v>
                </c:pt>
                <c:pt idx="1">
                  <c:v>0</c:v>
                </c:pt>
                <c:pt idx="2">
                  <c:v>18772333.414999999</c:v>
                </c:pt>
                <c:pt idx="3">
                  <c:v>19676502.288939998</c:v>
                </c:pt>
                <c:pt idx="4">
                  <c:v>20615521.882462904</c:v>
                </c:pt>
                <c:pt idx="5">
                  <c:v>21808634.554464001</c:v>
                </c:pt>
                <c:pt idx="6">
                  <c:v>22300756.692269798</c:v>
                </c:pt>
                <c:pt idx="7">
                  <c:v>22807316.061739061</c:v>
                </c:pt>
                <c:pt idx="8">
                  <c:v>23328737.619009934</c:v>
                </c:pt>
                <c:pt idx="9">
                  <c:v>23865458.864884399</c:v>
                </c:pt>
                <c:pt idx="10">
                  <c:v>24417930.216067705</c:v>
                </c:pt>
                <c:pt idx="11">
                  <c:v>24986615.387417436</c:v>
                </c:pt>
                <c:pt idx="12">
                  <c:v>25571991.785529338</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2B90-4669-9739-74BB31B36C69}"/>
            </c:ext>
          </c:extLst>
        </c:ser>
        <c:dLbls>
          <c:showLegendKey val="0"/>
          <c:showVal val="0"/>
          <c:showCatName val="0"/>
          <c:showSerName val="0"/>
          <c:showPercent val="0"/>
          <c:showBubbleSize val="0"/>
        </c:dLbls>
        <c:gapWidth val="150"/>
        <c:axId val="313658677"/>
        <c:axId val="540681779"/>
      </c:barChart>
      <c:lineChart>
        <c:grouping val="standard"/>
        <c:varyColors val="1"/>
        <c:ser>
          <c:idx val="1"/>
          <c:order val="1"/>
          <c:spPr>
            <a:ln w="19050" cmpd="sng">
              <a:solidFill>
                <a:srgbClr val="2E7D32">
                  <a:alpha val="100000"/>
                </a:srgbClr>
              </a:solidFill>
            </a:ln>
          </c:spPr>
          <c:marker>
            <c:symbol val="none"/>
          </c:marker>
          <c:cat>
            <c:strRef>
              <c:f>'Inputs for Dashboard'!$D$98:$P$98</c:f>
              <c:strCache>
                <c:ptCount val="13"/>
                <c:pt idx="0">
                  <c:v>FY26</c:v>
                </c:pt>
                <c:pt idx="1">
                  <c:v>FY27</c:v>
                </c:pt>
                <c:pt idx="2">
                  <c:v>FY28</c:v>
                </c:pt>
                <c:pt idx="3">
                  <c:v>FY29</c:v>
                </c:pt>
                <c:pt idx="4">
                  <c:v>FY30</c:v>
                </c:pt>
                <c:pt idx="5">
                  <c:v>FY31</c:v>
                </c:pt>
                <c:pt idx="6">
                  <c:v>FY32</c:v>
                </c:pt>
                <c:pt idx="7">
                  <c:v>FY33</c:v>
                </c:pt>
                <c:pt idx="8">
                  <c:v>FY34</c:v>
                </c:pt>
                <c:pt idx="9">
                  <c:v>FY35</c:v>
                </c:pt>
                <c:pt idx="10">
                  <c:v>FY36</c:v>
                </c:pt>
                <c:pt idx="11">
                  <c:v>FY37</c:v>
                </c:pt>
                <c:pt idx="12">
                  <c:v>FY38</c:v>
                </c:pt>
              </c:strCache>
            </c:strRef>
          </c:cat>
          <c:val>
            <c:numRef>
              <c:f>'Inputs for Dashboard'!$D$100:$P$100</c:f>
              <c:numCache>
                <c:formatCode>\ \ \ \ \$0,,"M"</c:formatCode>
                <c:ptCount val="13"/>
                <c:pt idx="0">
                  <c:v>0</c:v>
                </c:pt>
                <c:pt idx="1">
                  <c:v>0</c:v>
                </c:pt>
                <c:pt idx="2">
                  <c:v>10240353.181728749</c:v>
                </c:pt>
                <c:pt idx="3">
                  <c:v>10221610.60891173</c:v>
                </c:pt>
                <c:pt idx="4">
                  <c:v>10726643.498227151</c:v>
                </c:pt>
                <c:pt idx="5">
                  <c:v>11603173.631330766</c:v>
                </c:pt>
                <c:pt idx="6">
                  <c:v>11825139.08000222</c:v>
                </c:pt>
                <c:pt idx="7">
                  <c:v>11488417.36165344</c:v>
                </c:pt>
                <c:pt idx="8">
                  <c:v>11566864.641117346</c:v>
                </c:pt>
                <c:pt idx="9">
                  <c:v>11784599.554180816</c:v>
                </c:pt>
                <c:pt idx="10">
                  <c:v>12008306.676067084</c:v>
                </c:pt>
                <c:pt idx="11">
                  <c:v>12146814.69024964</c:v>
                </c:pt>
                <c:pt idx="12">
                  <c:v>13901342.685076447</c:v>
                </c:pt>
              </c:numCache>
            </c:numRef>
          </c:val>
          <c:smooth val="0"/>
          <c:extLst>
            <c:ext xmlns:c16="http://schemas.microsoft.com/office/drawing/2014/chart" uri="{C3380CC4-5D6E-409C-BE32-E72D297353CC}">
              <c16:uniqueId val="{00000001-2B90-4669-9739-74BB31B36C69}"/>
            </c:ext>
          </c:extLst>
        </c:ser>
        <c:ser>
          <c:idx val="2"/>
          <c:order val="2"/>
          <c:spPr>
            <a:ln w="19050" cmpd="sng">
              <a:solidFill>
                <a:srgbClr val="C62828">
                  <a:alpha val="100000"/>
                </a:srgbClr>
              </a:solidFill>
            </a:ln>
          </c:spPr>
          <c:marker>
            <c:symbol val="none"/>
          </c:marker>
          <c:cat>
            <c:strRef>
              <c:f>'Inputs for Dashboard'!$D$98:$P$98</c:f>
              <c:strCache>
                <c:ptCount val="13"/>
                <c:pt idx="0">
                  <c:v>FY26</c:v>
                </c:pt>
                <c:pt idx="1">
                  <c:v>FY27</c:v>
                </c:pt>
                <c:pt idx="2">
                  <c:v>FY28</c:v>
                </c:pt>
                <c:pt idx="3">
                  <c:v>FY29</c:v>
                </c:pt>
                <c:pt idx="4">
                  <c:v>FY30</c:v>
                </c:pt>
                <c:pt idx="5">
                  <c:v>FY31</c:v>
                </c:pt>
                <c:pt idx="6">
                  <c:v>FY32</c:v>
                </c:pt>
                <c:pt idx="7">
                  <c:v>FY33</c:v>
                </c:pt>
                <c:pt idx="8">
                  <c:v>FY34</c:v>
                </c:pt>
                <c:pt idx="9">
                  <c:v>FY35</c:v>
                </c:pt>
                <c:pt idx="10">
                  <c:v>FY36</c:v>
                </c:pt>
                <c:pt idx="11">
                  <c:v>FY37</c:v>
                </c:pt>
                <c:pt idx="12">
                  <c:v>FY38</c:v>
                </c:pt>
              </c:strCache>
            </c:strRef>
          </c:cat>
          <c:val>
            <c:numRef>
              <c:f>'Inputs for Dashboard'!$D$101:$P$101</c:f>
              <c:numCache>
                <c:formatCode>\ \ \ \ \$0,,"M"</c:formatCode>
                <c:ptCount val="13"/>
                <c:pt idx="0">
                  <c:v>0</c:v>
                </c:pt>
                <c:pt idx="1">
                  <c:v>-1463544.69</c:v>
                </c:pt>
                <c:pt idx="2">
                  <c:v>6180518.5192101244</c:v>
                </c:pt>
                <c:pt idx="3">
                  <c:v>5797988.5137382112</c:v>
                </c:pt>
                <c:pt idx="4">
                  <c:v>6240242.941259006</c:v>
                </c:pt>
                <c:pt idx="5">
                  <c:v>6942545.4394315369</c:v>
                </c:pt>
                <c:pt idx="6">
                  <c:v>7186652.6585015543</c:v>
                </c:pt>
                <c:pt idx="7">
                  <c:v>7039678.860657407</c:v>
                </c:pt>
                <c:pt idx="8">
                  <c:v>7183323.3612821419</c:v>
                </c:pt>
                <c:pt idx="9">
                  <c:v>7424469.2054265719</c:v>
                </c:pt>
                <c:pt idx="10">
                  <c:v>7669795.5957469596</c:v>
                </c:pt>
                <c:pt idx="11">
                  <c:v>7811116.9081747485</c:v>
                </c:pt>
                <c:pt idx="12">
                  <c:v>9039286.5045535136</c:v>
                </c:pt>
              </c:numCache>
            </c:numRef>
          </c:val>
          <c:smooth val="0"/>
          <c:extLst>
            <c:ext xmlns:c16="http://schemas.microsoft.com/office/drawing/2014/chart" uri="{C3380CC4-5D6E-409C-BE32-E72D297353CC}">
              <c16:uniqueId val="{00000002-2B90-4669-9739-74BB31B36C69}"/>
            </c:ext>
          </c:extLst>
        </c:ser>
        <c:dLbls>
          <c:showLegendKey val="0"/>
          <c:showVal val="0"/>
          <c:showCatName val="0"/>
          <c:showSerName val="0"/>
          <c:showPercent val="0"/>
          <c:showBubbleSize val="0"/>
        </c:dLbls>
        <c:marker val="1"/>
        <c:smooth val="0"/>
        <c:axId val="313658677"/>
        <c:axId val="540681779"/>
      </c:lineChart>
      <c:catAx>
        <c:axId val="313658677"/>
        <c:scaling>
          <c:orientation val="minMax"/>
        </c:scaling>
        <c:delete val="0"/>
        <c:axPos val="b"/>
        <c:title>
          <c:tx>
            <c:rich>
              <a:bodyPr/>
              <a:lstStyle/>
              <a:p>
                <a:pPr lvl="0">
                  <a:defRPr sz="1000" b="0" i="0">
                    <a:solidFill>
                      <a:srgbClr val="000000"/>
                    </a:solidFill>
                    <a:latin typeface="Aptos Narrow"/>
                  </a:defRPr>
                </a:pPr>
                <a:endParaRPr lang="en-AU"/>
              </a:p>
            </c:rich>
          </c:tx>
          <c:overlay val="0"/>
        </c:title>
        <c:numFmt formatCode="General" sourceLinked="0"/>
        <c:majorTickMark val="none"/>
        <c:minorTickMark val="none"/>
        <c:tickLblPos val="nextTo"/>
        <c:spPr>
          <a:ln>
            <a:noFill/>
          </a:ln>
        </c:spPr>
        <c:txPr>
          <a:bodyPr/>
          <a:lstStyle/>
          <a:p>
            <a:pPr lvl="0">
              <a:defRPr sz="900" b="0" i="0">
                <a:solidFill>
                  <a:srgbClr val="595959"/>
                </a:solidFill>
                <a:latin typeface="Aptos Narrow"/>
              </a:defRPr>
            </a:pPr>
            <a:endParaRPr lang="en-US"/>
          </a:p>
        </c:txPr>
        <c:crossAx val="540681779"/>
        <c:crosses val="autoZero"/>
        <c:auto val="1"/>
        <c:lblAlgn val="ctr"/>
        <c:lblOffset val="100"/>
        <c:noMultiLvlLbl val="1"/>
      </c:catAx>
      <c:valAx>
        <c:axId val="540681779"/>
        <c:scaling>
          <c:orientation val="minMax"/>
        </c:scaling>
        <c:delete val="0"/>
        <c:axPos val="l"/>
        <c:title>
          <c:tx>
            <c:rich>
              <a:bodyPr/>
              <a:lstStyle/>
              <a:p>
                <a:pPr lvl="0">
                  <a:defRPr sz="1000" b="0" i="0">
                    <a:solidFill>
                      <a:srgbClr val="000000"/>
                    </a:solidFill>
                    <a:latin typeface="Aptos Narrow"/>
                  </a:defRPr>
                </a:pPr>
                <a:endParaRPr lang="en-AU"/>
              </a:p>
            </c:rich>
          </c:tx>
          <c:overlay val="0"/>
        </c:title>
        <c:numFmt formatCode="\$#,##0,,\M" sourceLinked="0"/>
        <c:majorTickMark val="none"/>
        <c:minorTickMark val="none"/>
        <c:tickLblPos val="nextTo"/>
        <c:spPr>
          <a:ln>
            <a:noFill/>
          </a:ln>
        </c:spPr>
        <c:txPr>
          <a:bodyPr/>
          <a:lstStyle/>
          <a:p>
            <a:pPr lvl="0">
              <a:defRPr sz="900" b="0" i="0">
                <a:solidFill>
                  <a:srgbClr val="595959"/>
                </a:solidFill>
                <a:latin typeface="Aptos Narrow"/>
              </a:defRPr>
            </a:pPr>
            <a:endParaRPr lang="en-US"/>
          </a:p>
        </c:txPr>
        <c:crossAx val="313658677"/>
        <c:crosses val="autoZero"/>
        <c:crossBetween val="between"/>
      </c:valAx>
    </c:plotArea>
    <c:legend>
      <c:legendPos val="b"/>
      <c:overlay val="0"/>
      <c:txPr>
        <a:bodyPr/>
        <a:lstStyle/>
        <a:p>
          <a:pPr lvl="0">
            <a:defRPr sz="900" b="0" i="0">
              <a:solidFill>
                <a:srgbClr val="1A1A1A"/>
              </a:solidFill>
              <a:latin typeface="Aptos Narrow"/>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1600" b="1" i="0">
                <a:solidFill>
                  <a:srgbClr val="757575"/>
                </a:solidFill>
                <a:latin typeface="Aptos Narrow"/>
              </a:defRPr>
            </a:pPr>
            <a:r>
              <a:rPr lang="en-AU" sz="1600" b="1" i="0">
                <a:solidFill>
                  <a:srgbClr val="757575"/>
                </a:solidFill>
                <a:latin typeface="Aptos Narrow"/>
              </a:rPr>
              <a:t>Revenue &amp; EBITDA</a:t>
            </a:r>
          </a:p>
        </c:rich>
      </c:tx>
      <c:overlay val="0"/>
    </c:title>
    <c:autoTitleDeleted val="0"/>
    <c:plotArea>
      <c:layout>
        <c:manualLayout>
          <c:xMode val="edge"/>
          <c:yMode val="edge"/>
          <c:x val="0.14332981344597001"/>
          <c:y val="0.15055685411797101"/>
          <c:w val="0.85399507215769099"/>
          <c:h val="0.79238278564553799"/>
        </c:manualLayout>
      </c:layout>
      <c:lineChart>
        <c:grouping val="standard"/>
        <c:varyColors val="1"/>
        <c:ser>
          <c:idx val="0"/>
          <c:order val="0"/>
          <c:tx>
            <c:v>Revenue</c:v>
          </c:tx>
          <c:spPr>
            <a:ln w="19050" cmpd="sng">
              <a:solidFill>
                <a:srgbClr val="156082">
                  <a:alpha val="100000"/>
                </a:srgbClr>
              </a:solidFill>
            </a:ln>
          </c:spPr>
          <c:marker>
            <c:symbol val="none"/>
          </c:marker>
          <c:cat>
            <c:strRef>
              <c:f>Dashboard!$C$6:$N$6</c:f>
              <c:strCache>
                <c:ptCount val="12"/>
                <c:pt idx="0">
                  <c:v>FY25</c:v>
                </c:pt>
                <c:pt idx="1">
                  <c:v>FY26</c:v>
                </c:pt>
                <c:pt idx="2">
                  <c:v>FY27</c:v>
                </c:pt>
                <c:pt idx="3">
                  <c:v>FY28</c:v>
                </c:pt>
                <c:pt idx="4">
                  <c:v>FY29</c:v>
                </c:pt>
                <c:pt idx="5">
                  <c:v>FY30</c:v>
                </c:pt>
                <c:pt idx="6">
                  <c:v>FY31</c:v>
                </c:pt>
                <c:pt idx="7">
                  <c:v>FY32</c:v>
                </c:pt>
                <c:pt idx="8">
                  <c:v>FY33</c:v>
                </c:pt>
                <c:pt idx="9">
                  <c:v>FY34</c:v>
                </c:pt>
                <c:pt idx="10">
                  <c:v>FY35</c:v>
                </c:pt>
                <c:pt idx="11">
                  <c:v>FY36</c:v>
                </c:pt>
              </c:strCache>
            </c:strRef>
          </c:cat>
          <c:val>
            <c:numRef>
              <c:f>Dashboard!$B$7:$N$7</c:f>
              <c:numCache>
                <c:formatCode>\$#,##0;"($"#,##0\);\-</c:formatCode>
                <c:ptCount val="13"/>
                <c:pt idx="0" formatCode="General">
                  <c:v>0</c:v>
                </c:pt>
                <c:pt idx="1">
                  <c:v>0</c:v>
                </c:pt>
                <c:pt idx="2">
                  <c:v>0</c:v>
                </c:pt>
                <c:pt idx="3">
                  <c:v>0</c:v>
                </c:pt>
                <c:pt idx="4">
                  <c:v>18772333.414999999</c:v>
                </c:pt>
                <c:pt idx="5">
                  <c:v>19676502.288939998</c:v>
                </c:pt>
                <c:pt idx="6">
                  <c:v>20615521.882462904</c:v>
                </c:pt>
                <c:pt idx="7">
                  <c:v>21808634.554464001</c:v>
                </c:pt>
                <c:pt idx="8">
                  <c:v>22300756.692269798</c:v>
                </c:pt>
                <c:pt idx="9">
                  <c:v>22807316.061739061</c:v>
                </c:pt>
                <c:pt idx="10">
                  <c:v>23328737.619009934</c:v>
                </c:pt>
                <c:pt idx="11">
                  <c:v>23865458.864884399</c:v>
                </c:pt>
                <c:pt idx="12">
                  <c:v>24417930.216067705</c:v>
                </c:pt>
              </c:numCache>
            </c:numRef>
          </c:val>
          <c:smooth val="1"/>
          <c:extLst>
            <c:ext xmlns:c16="http://schemas.microsoft.com/office/drawing/2014/chart" uri="{C3380CC4-5D6E-409C-BE32-E72D297353CC}">
              <c16:uniqueId val="{00000000-1959-4553-A3DA-B29AD2C5158C}"/>
            </c:ext>
          </c:extLst>
        </c:ser>
        <c:ser>
          <c:idx val="1"/>
          <c:order val="1"/>
          <c:tx>
            <c:v>EBITDA</c:v>
          </c:tx>
          <c:spPr>
            <a:ln w="19050" cmpd="sng">
              <a:solidFill>
                <a:srgbClr val="E97132">
                  <a:alpha val="100000"/>
                </a:srgbClr>
              </a:solidFill>
            </a:ln>
          </c:spPr>
          <c:marker>
            <c:symbol val="none"/>
          </c:marker>
          <c:cat>
            <c:strRef>
              <c:f>Dashboard!$C$6:$N$6</c:f>
              <c:strCache>
                <c:ptCount val="12"/>
                <c:pt idx="0">
                  <c:v>FY25</c:v>
                </c:pt>
                <c:pt idx="1">
                  <c:v>FY26</c:v>
                </c:pt>
                <c:pt idx="2">
                  <c:v>FY27</c:v>
                </c:pt>
                <c:pt idx="3">
                  <c:v>FY28</c:v>
                </c:pt>
                <c:pt idx="4">
                  <c:v>FY29</c:v>
                </c:pt>
                <c:pt idx="5">
                  <c:v>FY30</c:v>
                </c:pt>
                <c:pt idx="6">
                  <c:v>FY31</c:v>
                </c:pt>
                <c:pt idx="7">
                  <c:v>FY32</c:v>
                </c:pt>
                <c:pt idx="8">
                  <c:v>FY33</c:v>
                </c:pt>
                <c:pt idx="9">
                  <c:v>FY34</c:v>
                </c:pt>
                <c:pt idx="10">
                  <c:v>FY35</c:v>
                </c:pt>
                <c:pt idx="11">
                  <c:v>FY36</c:v>
                </c:pt>
              </c:strCache>
            </c:strRef>
          </c:cat>
          <c:val>
            <c:numRef>
              <c:f>Dashboard!$B$8:$N$8</c:f>
              <c:numCache>
                <c:formatCode>\$#,##0;"($"#,##0\);\-</c:formatCode>
                <c:ptCount val="13"/>
                <c:pt idx="0" formatCode="General">
                  <c:v>0</c:v>
                </c:pt>
                <c:pt idx="1">
                  <c:v>0</c:v>
                </c:pt>
                <c:pt idx="2">
                  <c:v>0</c:v>
                </c:pt>
                <c:pt idx="3">
                  <c:v>0</c:v>
                </c:pt>
                <c:pt idx="4">
                  <c:v>10240353.181728749</c:v>
                </c:pt>
                <c:pt idx="5">
                  <c:v>10221610.60891173</c:v>
                </c:pt>
                <c:pt idx="6">
                  <c:v>10726643.498227151</c:v>
                </c:pt>
                <c:pt idx="7">
                  <c:v>11603173.631330766</c:v>
                </c:pt>
                <c:pt idx="8">
                  <c:v>11825139.08000222</c:v>
                </c:pt>
                <c:pt idx="9">
                  <c:v>11488417.36165344</c:v>
                </c:pt>
                <c:pt idx="10">
                  <c:v>11566864.641117346</c:v>
                </c:pt>
                <c:pt idx="11">
                  <c:v>11784599.554180816</c:v>
                </c:pt>
                <c:pt idx="12">
                  <c:v>12008306.676067084</c:v>
                </c:pt>
              </c:numCache>
            </c:numRef>
          </c:val>
          <c:smooth val="1"/>
          <c:extLst>
            <c:ext xmlns:c16="http://schemas.microsoft.com/office/drawing/2014/chart" uri="{C3380CC4-5D6E-409C-BE32-E72D297353CC}">
              <c16:uniqueId val="{00000001-1959-4553-A3DA-B29AD2C5158C}"/>
            </c:ext>
          </c:extLst>
        </c:ser>
        <c:dLbls>
          <c:showLegendKey val="0"/>
          <c:showVal val="0"/>
          <c:showCatName val="0"/>
          <c:showSerName val="0"/>
          <c:showPercent val="0"/>
          <c:showBubbleSize val="0"/>
        </c:dLbls>
        <c:smooth val="0"/>
        <c:axId val="430300772"/>
        <c:axId val="1302691175"/>
      </c:lineChart>
      <c:catAx>
        <c:axId val="430300772"/>
        <c:scaling>
          <c:orientation val="minMax"/>
        </c:scaling>
        <c:delete val="0"/>
        <c:axPos val="b"/>
        <c:title>
          <c:tx>
            <c:rich>
              <a:bodyPr/>
              <a:lstStyle/>
              <a:p>
                <a:pPr lvl="0">
                  <a:defRPr sz="900" b="1" i="0">
                    <a:solidFill>
                      <a:srgbClr val="000000"/>
                    </a:solidFill>
                    <a:latin typeface="Aptos Narrow"/>
                  </a:defRPr>
                </a:pPr>
                <a:r>
                  <a:rPr lang="en-AU" sz="900" b="1" i="0">
                    <a:solidFill>
                      <a:srgbClr val="000000"/>
                    </a:solidFill>
                    <a:latin typeface="Aptos Narrow"/>
                  </a:rPr>
                  <a:t>None</a:t>
                </a:r>
              </a:p>
            </c:rich>
          </c:tx>
          <c:overlay val="0"/>
        </c:title>
        <c:numFmt formatCode="General" sourceLinked="0"/>
        <c:majorTickMark val="out"/>
        <c:minorTickMark val="none"/>
        <c:tickLblPos val="nextTo"/>
        <c:txPr>
          <a:bodyPr/>
          <a:lstStyle/>
          <a:p>
            <a:pPr lvl="0">
              <a:defRPr sz="900" b="0" i="0">
                <a:solidFill>
                  <a:srgbClr val="000000"/>
                </a:solidFill>
                <a:latin typeface="Aptos Narrow"/>
              </a:defRPr>
            </a:pPr>
            <a:endParaRPr lang="en-US"/>
          </a:p>
        </c:txPr>
        <c:crossAx val="1302691175"/>
        <c:crosses val="autoZero"/>
        <c:auto val="1"/>
        <c:lblAlgn val="ctr"/>
        <c:lblOffset val="100"/>
        <c:noMultiLvlLbl val="1"/>
      </c:catAx>
      <c:valAx>
        <c:axId val="1302691175"/>
        <c:scaling>
          <c:orientation val="minMax"/>
        </c:scaling>
        <c:delete val="0"/>
        <c:axPos val="l"/>
        <c:majorGridlines>
          <c:spPr>
            <a:ln>
              <a:solidFill>
                <a:srgbClr val="B7B7B7"/>
              </a:solidFill>
            </a:ln>
          </c:spPr>
        </c:majorGridlines>
        <c:title>
          <c:tx>
            <c:rich>
              <a:bodyPr/>
              <a:lstStyle/>
              <a:p>
                <a:pPr lvl="0">
                  <a:defRPr sz="900" b="1" i="0">
                    <a:solidFill>
                      <a:srgbClr val="000000"/>
                    </a:solidFill>
                    <a:latin typeface="Aptos Narrow"/>
                  </a:defRPr>
                </a:pPr>
                <a:r>
                  <a:rPr lang="en-AU" sz="900" b="1" i="0">
                    <a:solidFill>
                      <a:srgbClr val="000000"/>
                    </a:solidFill>
                    <a:latin typeface="Aptos Narrow"/>
                  </a:rPr>
                  <a:t>AUD</a:t>
                </a:r>
              </a:p>
            </c:rich>
          </c:tx>
          <c:overlay val="0"/>
        </c:title>
        <c:numFmt formatCode="\$#,##0.00" sourceLinked="0"/>
        <c:majorTickMark val="none"/>
        <c:minorTickMark val="none"/>
        <c:tickLblPos val="nextTo"/>
        <c:spPr>
          <a:ln>
            <a:noFill/>
          </a:ln>
        </c:spPr>
        <c:txPr>
          <a:bodyPr/>
          <a:lstStyle/>
          <a:p>
            <a:pPr lvl="0">
              <a:defRPr sz="900" b="0" i="0">
                <a:solidFill>
                  <a:srgbClr val="000000"/>
                </a:solidFill>
                <a:latin typeface="Aptos Narrow"/>
              </a:defRPr>
            </a:pPr>
            <a:endParaRPr lang="en-US"/>
          </a:p>
        </c:txPr>
        <c:crossAx val="430300772"/>
        <c:crosses val="autoZero"/>
        <c:crossBetween val="between"/>
      </c:valAx>
    </c:plotArea>
    <c:legend>
      <c:legendPos val="b"/>
      <c:overlay val="0"/>
      <c:txPr>
        <a:bodyPr/>
        <a:lstStyle/>
        <a:p>
          <a:pPr lvl="0">
            <a:defRPr sz="900" b="0" i="0">
              <a:solidFill>
                <a:srgbClr val="1A1A1A"/>
              </a:solidFill>
              <a:latin typeface="Aptos Narrow"/>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1400" b="0" i="0">
                <a:solidFill>
                  <a:srgbClr val="757575"/>
                </a:solidFill>
                <a:latin typeface="Aptos Narrow"/>
              </a:defRPr>
            </a:pPr>
            <a:r>
              <a:rPr lang="en-AU" sz="1400" b="0" i="0">
                <a:solidFill>
                  <a:srgbClr val="757575"/>
                </a:solidFill>
                <a:latin typeface="Aptos Narrow"/>
              </a:rPr>
              <a:t>Closing Cash Balance</a:t>
            </a:r>
          </a:p>
        </c:rich>
      </c:tx>
      <c:overlay val="0"/>
    </c:title>
    <c:autoTitleDeleted val="0"/>
    <c:plotArea>
      <c:layout>
        <c:manualLayout>
          <c:xMode val="edge"/>
          <c:yMode val="edge"/>
          <c:x val="0.13292040438559"/>
          <c:y val="0.153712656501797"/>
          <c:w val="0.75843656557026895"/>
          <c:h val="0.69307053427544296"/>
        </c:manualLayout>
      </c:layout>
      <c:lineChart>
        <c:grouping val="standard"/>
        <c:varyColors val="0"/>
        <c:ser>
          <c:idx val="0"/>
          <c:order val="0"/>
          <c:spPr>
            <a:ln w="19050" cmpd="sng">
              <a:solidFill>
                <a:srgbClr val="156082">
                  <a:alpha val="100000"/>
                </a:srgbClr>
              </a:solidFill>
            </a:ln>
          </c:spPr>
          <c:marker>
            <c:symbol val="none"/>
          </c:marker>
          <c:cat>
            <c:strRef>
              <c:f>Dashboard!$C$6:$N$6</c:f>
              <c:strCache>
                <c:ptCount val="12"/>
                <c:pt idx="0">
                  <c:v>FY25</c:v>
                </c:pt>
                <c:pt idx="1">
                  <c:v>FY26</c:v>
                </c:pt>
                <c:pt idx="2">
                  <c:v>FY27</c:v>
                </c:pt>
                <c:pt idx="3">
                  <c:v>FY28</c:v>
                </c:pt>
                <c:pt idx="4">
                  <c:v>FY29</c:v>
                </c:pt>
                <c:pt idx="5">
                  <c:v>FY30</c:v>
                </c:pt>
                <c:pt idx="6">
                  <c:v>FY31</c:v>
                </c:pt>
                <c:pt idx="7">
                  <c:v>FY32</c:v>
                </c:pt>
                <c:pt idx="8">
                  <c:v>FY33</c:v>
                </c:pt>
                <c:pt idx="9">
                  <c:v>FY34</c:v>
                </c:pt>
                <c:pt idx="10">
                  <c:v>FY35</c:v>
                </c:pt>
                <c:pt idx="11">
                  <c:v>FY36</c:v>
                </c:pt>
              </c:strCache>
            </c:strRef>
          </c:cat>
          <c:val>
            <c:numRef>
              <c:f>Dashboard!$B$9:$N$9</c:f>
              <c:numCache>
                <c:formatCode>\$#,##0;"($"#,##0\);\-</c:formatCode>
                <c:ptCount val="13"/>
                <c:pt idx="0" formatCode="General">
                  <c:v>0</c:v>
                </c:pt>
                <c:pt idx="1">
                  <c:v>0</c:v>
                </c:pt>
                <c:pt idx="2">
                  <c:v>0</c:v>
                </c:pt>
                <c:pt idx="3">
                  <c:v>452228.39999999851</c:v>
                </c:pt>
                <c:pt idx="4">
                  <c:v>1724785.5788420234</c:v>
                </c:pt>
                <c:pt idx="5">
                  <c:v>2184190.0265896698</c:v>
                </c:pt>
                <c:pt idx="6">
                  <c:v>2729888.0048414734</c:v>
                </c:pt>
                <c:pt idx="7">
                  <c:v>3408438.9677277789</c:v>
                </c:pt>
                <c:pt idx="8">
                  <c:v>4135811.3744280911</c:v>
                </c:pt>
                <c:pt idx="9">
                  <c:v>4833789.0215595746</c:v>
                </c:pt>
                <c:pt idx="10">
                  <c:v>5560495.5688160015</c:v>
                </c:pt>
                <c:pt idx="11">
                  <c:v>6335431.2849013144</c:v>
                </c:pt>
                <c:pt idx="12">
                  <c:v>7159432.279050706</c:v>
                </c:pt>
              </c:numCache>
            </c:numRef>
          </c:val>
          <c:smooth val="1"/>
          <c:extLst>
            <c:ext xmlns:c16="http://schemas.microsoft.com/office/drawing/2014/chart" uri="{C3380CC4-5D6E-409C-BE32-E72D297353CC}">
              <c16:uniqueId val="{00000000-3A99-4551-8AF7-560CDC53A6BC}"/>
            </c:ext>
          </c:extLst>
        </c:ser>
        <c:dLbls>
          <c:showLegendKey val="0"/>
          <c:showVal val="0"/>
          <c:showCatName val="0"/>
          <c:showSerName val="0"/>
          <c:showPercent val="0"/>
          <c:showBubbleSize val="0"/>
        </c:dLbls>
        <c:smooth val="0"/>
        <c:axId val="1421790159"/>
        <c:axId val="1404964859"/>
      </c:lineChart>
      <c:catAx>
        <c:axId val="1421790159"/>
        <c:scaling>
          <c:orientation val="minMax"/>
        </c:scaling>
        <c:delete val="0"/>
        <c:axPos val="b"/>
        <c:title>
          <c:tx>
            <c:rich>
              <a:bodyPr/>
              <a:lstStyle/>
              <a:p>
                <a:pPr lvl="0">
                  <a:defRPr sz="1000" b="0" i="0">
                    <a:solidFill>
                      <a:srgbClr val="000000"/>
                    </a:solidFill>
                    <a:latin typeface="Aptos Narrow"/>
                  </a:defRPr>
                </a:pPr>
                <a:r>
                  <a:rPr lang="en-AU" sz="1000" b="0" i="0">
                    <a:solidFill>
                      <a:srgbClr val="000000"/>
                    </a:solidFill>
                    <a:latin typeface="Aptos Narrow"/>
                  </a:rPr>
                  <a:t>None</a:t>
                </a:r>
              </a:p>
            </c:rich>
          </c:tx>
          <c:overlay val="0"/>
        </c:title>
        <c:numFmt formatCode="General" sourceLinked="0"/>
        <c:majorTickMark val="none"/>
        <c:minorTickMark val="none"/>
        <c:tickLblPos val="nextTo"/>
        <c:spPr>
          <a:ln>
            <a:noFill/>
          </a:ln>
        </c:spPr>
        <c:txPr>
          <a:bodyPr/>
          <a:lstStyle/>
          <a:p>
            <a:pPr lvl="0">
              <a:defRPr sz="900" b="0" i="0">
                <a:solidFill>
                  <a:srgbClr val="000000"/>
                </a:solidFill>
                <a:latin typeface="Aptos Narrow"/>
              </a:defRPr>
            </a:pPr>
            <a:endParaRPr lang="en-US"/>
          </a:p>
        </c:txPr>
        <c:crossAx val="1404964859"/>
        <c:crosses val="autoZero"/>
        <c:auto val="1"/>
        <c:lblAlgn val="ctr"/>
        <c:lblOffset val="100"/>
        <c:noMultiLvlLbl val="1"/>
      </c:catAx>
      <c:valAx>
        <c:axId val="1404964859"/>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Aptos Narrow"/>
                  </a:defRPr>
                </a:pPr>
                <a:r>
                  <a:rPr lang="en-AU" sz="1000" b="0" i="0">
                    <a:solidFill>
                      <a:srgbClr val="000000"/>
                    </a:solidFill>
                    <a:latin typeface="Aptos Narrow"/>
                  </a:rPr>
                  <a:t>AUD</a:t>
                </a:r>
              </a:p>
            </c:rich>
          </c:tx>
          <c:overlay val="0"/>
        </c:title>
        <c:numFmt formatCode="_(\$* #,##0.00_);_(\$* \(#,##0.00\);_(\$* \-??_);_(@_)" sourceLinked="0"/>
        <c:majorTickMark val="none"/>
        <c:minorTickMark val="none"/>
        <c:tickLblPos val="nextTo"/>
        <c:spPr>
          <a:ln>
            <a:noFill/>
          </a:ln>
        </c:spPr>
        <c:txPr>
          <a:bodyPr/>
          <a:lstStyle/>
          <a:p>
            <a:pPr lvl="0">
              <a:defRPr sz="900" b="0" i="0">
                <a:solidFill>
                  <a:srgbClr val="000000"/>
                </a:solidFill>
                <a:latin typeface="Aptos Narrow"/>
              </a:defRPr>
            </a:pPr>
            <a:endParaRPr lang="en-US"/>
          </a:p>
        </c:txPr>
        <c:crossAx val="1421790159"/>
        <c:crosses val="autoZero"/>
        <c:crossBetween val="between"/>
      </c:valAx>
    </c:plotArea>
    <c:plotVisOnly val="1"/>
    <c:dispBlanksAs val="zero"/>
    <c:showDLblsOverMax val="1"/>
  </c:chart>
  <c:spPr>
    <a:solidFill>
      <a:srgbClr val="FFFFFF"/>
    </a:solidFill>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1800" b="1" i="0">
                <a:solidFill>
                  <a:srgbClr val="757575"/>
                </a:solidFill>
                <a:latin typeface="Aptos Narrow"/>
              </a:defRPr>
            </a:pPr>
            <a:r>
              <a:rPr lang="en-AU" sz="1800" b="1" i="0">
                <a:solidFill>
                  <a:srgbClr val="757575"/>
                </a:solidFill>
                <a:latin typeface="Aptos Narrow"/>
              </a:rPr>
              <a:t>Debt,  CFADS &amp; DSCR</a:t>
            </a:r>
          </a:p>
        </c:rich>
      </c:tx>
      <c:overlay val="0"/>
    </c:title>
    <c:autoTitleDeleted val="0"/>
    <c:plotArea>
      <c:layout>
        <c:manualLayout>
          <c:xMode val="edge"/>
          <c:yMode val="edge"/>
          <c:x val="0.16"/>
          <c:y val="0.15916697657121601"/>
          <c:w val="0.65417637271214701"/>
          <c:h val="0.649807859179373"/>
        </c:manualLayout>
      </c:layout>
      <c:lineChart>
        <c:grouping val="standard"/>
        <c:varyColors val="1"/>
        <c:ser>
          <c:idx val="0"/>
          <c:order val="0"/>
          <c:tx>
            <c:v>Total Debt</c:v>
          </c:tx>
          <c:spPr>
            <a:ln w="19050" cmpd="sng">
              <a:solidFill>
                <a:srgbClr val="156082">
                  <a:alpha val="100000"/>
                </a:srgbClr>
              </a:solidFill>
            </a:ln>
          </c:spPr>
          <c:marker>
            <c:symbol val="none"/>
          </c:marker>
          <c:cat>
            <c:strRef>
              <c:f>Dashboard!$C$6:$N$6</c:f>
              <c:strCache>
                <c:ptCount val="12"/>
                <c:pt idx="0">
                  <c:v>FY25</c:v>
                </c:pt>
                <c:pt idx="1">
                  <c:v>FY26</c:v>
                </c:pt>
                <c:pt idx="2">
                  <c:v>FY27</c:v>
                </c:pt>
                <c:pt idx="3">
                  <c:v>FY28</c:v>
                </c:pt>
                <c:pt idx="4">
                  <c:v>FY29</c:v>
                </c:pt>
                <c:pt idx="5">
                  <c:v>FY30</c:v>
                </c:pt>
                <c:pt idx="6">
                  <c:v>FY31</c:v>
                </c:pt>
                <c:pt idx="7">
                  <c:v>FY32</c:v>
                </c:pt>
                <c:pt idx="8">
                  <c:v>FY33</c:v>
                </c:pt>
                <c:pt idx="9">
                  <c:v>FY34</c:v>
                </c:pt>
                <c:pt idx="10">
                  <c:v>FY35</c:v>
                </c:pt>
                <c:pt idx="11">
                  <c:v>FY36</c:v>
                </c:pt>
              </c:strCache>
            </c:strRef>
          </c:cat>
          <c:val>
            <c:numRef>
              <c:f>Dashboard!$B$10:$N$10</c:f>
              <c:numCache>
                <c:formatCode>\$#,##0;"($"#,##0\);\-</c:formatCode>
                <c:ptCount val="13"/>
                <c:pt idx="0" formatCode="General">
                  <c:v>0</c:v>
                </c:pt>
                <c:pt idx="1">
                  <c:v>0</c:v>
                </c:pt>
                <c:pt idx="2">
                  <c:v>0</c:v>
                </c:pt>
                <c:pt idx="3">
                  <c:v>12675915</c:v>
                </c:pt>
                <c:pt idx="4">
                  <c:v>12675915</c:v>
                </c:pt>
                <c:pt idx="5">
                  <c:v>11091425.625</c:v>
                </c:pt>
                <c:pt idx="6">
                  <c:v>9506936.25</c:v>
                </c:pt>
                <c:pt idx="7">
                  <c:v>7922446.875</c:v>
                </c:pt>
                <c:pt idx="8">
                  <c:v>6337957.5</c:v>
                </c:pt>
                <c:pt idx="9">
                  <c:v>4753468.125</c:v>
                </c:pt>
                <c:pt idx="10">
                  <c:v>3168978.75</c:v>
                </c:pt>
                <c:pt idx="11">
                  <c:v>1584489.375</c:v>
                </c:pt>
                <c:pt idx="12">
                  <c:v>0</c:v>
                </c:pt>
              </c:numCache>
            </c:numRef>
          </c:val>
          <c:smooth val="0"/>
          <c:extLst>
            <c:ext xmlns:c16="http://schemas.microsoft.com/office/drawing/2014/chart" uri="{C3380CC4-5D6E-409C-BE32-E72D297353CC}">
              <c16:uniqueId val="{00000000-CDBA-4795-AA60-1448DB97113E}"/>
            </c:ext>
          </c:extLst>
        </c:ser>
        <c:ser>
          <c:idx val="1"/>
          <c:order val="1"/>
          <c:tx>
            <c:v>#REF!</c:v>
          </c:tx>
          <c:spPr>
            <a:ln w="19050" cmpd="sng">
              <a:solidFill>
                <a:srgbClr val="E97132">
                  <a:alpha val="100000"/>
                </a:srgbClr>
              </a:solidFill>
            </a:ln>
          </c:spPr>
          <c:marker>
            <c:symbol val="none"/>
          </c:marker>
          <c:cat>
            <c:strRef>
              <c:f>Dashboard!$C$6:$N$6</c:f>
              <c:strCache>
                <c:ptCount val="12"/>
                <c:pt idx="0">
                  <c:v>FY25</c:v>
                </c:pt>
                <c:pt idx="1">
                  <c:v>FY26</c:v>
                </c:pt>
                <c:pt idx="2">
                  <c:v>FY27</c:v>
                </c:pt>
                <c:pt idx="3">
                  <c:v>FY28</c:v>
                </c:pt>
                <c:pt idx="4">
                  <c:v>FY29</c:v>
                </c:pt>
                <c:pt idx="5">
                  <c:v>FY30</c:v>
                </c:pt>
                <c:pt idx="6">
                  <c:v>FY31</c:v>
                </c:pt>
                <c:pt idx="7">
                  <c:v>FY32</c:v>
                </c:pt>
                <c:pt idx="8">
                  <c:v>FY33</c:v>
                </c:pt>
                <c:pt idx="9">
                  <c:v>FY34</c:v>
                </c:pt>
                <c:pt idx="10">
                  <c:v>FY35</c:v>
                </c:pt>
                <c:pt idx="11">
                  <c:v>FY36</c:v>
                </c:pt>
              </c:strCache>
            </c:strRef>
          </c:cat>
          <c:val>
            <c:numRef>
              <c:f>Dashboard!$B$11:$N$11</c:f>
              <c:numCache>
                <c:formatCode>\$#,##0;"($"#,##0\);\-</c:formatCode>
                <c:ptCount val="13"/>
                <c:pt idx="0" formatCode="General">
                  <c:v>0</c:v>
                </c:pt>
                <c:pt idx="1">
                  <c:v>0</c:v>
                </c:pt>
                <c:pt idx="2">
                  <c:v>0</c:v>
                </c:pt>
                <c:pt idx="3">
                  <c:v>0</c:v>
                </c:pt>
                <c:pt idx="4" formatCode="#,##0.00">
                  <c:v>3.7480650108967009</c:v>
                </c:pt>
                <c:pt idx="5" formatCode="#,##0.00">
                  <c:v>3.0466904338978202</c:v>
                </c:pt>
                <c:pt idx="6" formatCode="#,##0.00">
                  <c:v>3.3189553617167831</c:v>
                </c:pt>
                <c:pt idx="7" formatCode="#,##0.00">
                  <c:v>3.7480418669249009</c:v>
                </c:pt>
                <c:pt idx="8" formatCode="#,##0.00">
                  <c:v>4.046953904892197</c:v>
                </c:pt>
                <c:pt idx="9" formatCode="#,##0.00">
                  <c:v>4.1874723826887088</c:v>
                </c:pt>
                <c:pt idx="10" formatCode="#,##0.00">
                  <c:v>4.4574720293004884</c:v>
                </c:pt>
                <c:pt idx="11" formatCode="#,##0.00">
                  <c:v>4.8337591413140704</c:v>
                </c:pt>
                <c:pt idx="12" formatCode="#,##0.00">
                  <c:v>5.2771194419729879</c:v>
                </c:pt>
              </c:numCache>
            </c:numRef>
          </c:val>
          <c:smooth val="0"/>
          <c:extLst>
            <c:ext xmlns:c16="http://schemas.microsoft.com/office/drawing/2014/chart" uri="{C3380CC4-5D6E-409C-BE32-E72D297353CC}">
              <c16:uniqueId val="{00000001-CDBA-4795-AA60-1448DB97113E}"/>
            </c:ext>
          </c:extLst>
        </c:ser>
        <c:dLbls>
          <c:showLegendKey val="0"/>
          <c:showVal val="0"/>
          <c:showCatName val="0"/>
          <c:showSerName val="0"/>
          <c:showPercent val="0"/>
          <c:showBubbleSize val="0"/>
        </c:dLbls>
        <c:smooth val="0"/>
        <c:axId val="954000435"/>
        <c:axId val="1857081386"/>
      </c:lineChart>
      <c:catAx>
        <c:axId val="954000435"/>
        <c:scaling>
          <c:orientation val="minMax"/>
        </c:scaling>
        <c:delete val="0"/>
        <c:axPos val="b"/>
        <c:title>
          <c:tx>
            <c:rich>
              <a:bodyPr/>
              <a:lstStyle/>
              <a:p>
                <a:pPr lvl="0">
                  <a:defRPr sz="1000" b="1" i="0">
                    <a:solidFill>
                      <a:srgbClr val="000000"/>
                    </a:solidFill>
                    <a:latin typeface="Aptos Narrow"/>
                  </a:defRPr>
                </a:pPr>
                <a:r>
                  <a:rPr lang="en-AU" sz="1000" b="1" i="0">
                    <a:solidFill>
                      <a:srgbClr val="000000"/>
                    </a:solidFill>
                    <a:latin typeface="Aptos Narrow"/>
                  </a:rPr>
                  <a:t>None</a:t>
                </a:r>
              </a:p>
            </c:rich>
          </c:tx>
          <c:overlay val="0"/>
        </c:title>
        <c:numFmt formatCode="General" sourceLinked="0"/>
        <c:majorTickMark val="none"/>
        <c:minorTickMark val="none"/>
        <c:tickLblPos val="nextTo"/>
        <c:spPr>
          <a:ln>
            <a:noFill/>
          </a:ln>
        </c:spPr>
        <c:txPr>
          <a:bodyPr/>
          <a:lstStyle/>
          <a:p>
            <a:pPr lvl="0">
              <a:defRPr sz="1000" b="0" i="0">
                <a:solidFill>
                  <a:srgbClr val="000000"/>
                </a:solidFill>
                <a:latin typeface="Aptos Narrow"/>
              </a:defRPr>
            </a:pPr>
            <a:endParaRPr lang="en-US"/>
          </a:p>
        </c:txPr>
        <c:crossAx val="1857081386"/>
        <c:crosses val="autoZero"/>
        <c:auto val="1"/>
        <c:lblAlgn val="ctr"/>
        <c:lblOffset val="100"/>
        <c:noMultiLvlLbl val="1"/>
      </c:catAx>
      <c:valAx>
        <c:axId val="1857081386"/>
        <c:scaling>
          <c:orientation val="minMax"/>
        </c:scaling>
        <c:delete val="0"/>
        <c:axPos val="l"/>
        <c:majorGridlines>
          <c:spPr>
            <a:ln>
              <a:solidFill>
                <a:srgbClr val="B7B7B7"/>
              </a:solidFill>
            </a:ln>
          </c:spPr>
        </c:majorGridlines>
        <c:title>
          <c:tx>
            <c:rich>
              <a:bodyPr/>
              <a:lstStyle/>
              <a:p>
                <a:pPr lvl="0">
                  <a:defRPr sz="1000" b="1" i="0">
                    <a:solidFill>
                      <a:srgbClr val="000000"/>
                    </a:solidFill>
                    <a:latin typeface="Aptos Narrow"/>
                  </a:defRPr>
                </a:pPr>
                <a:r>
                  <a:rPr lang="en-AU" sz="1000" b="1" i="0">
                    <a:solidFill>
                      <a:srgbClr val="000000"/>
                    </a:solidFill>
                    <a:latin typeface="Aptos Narrow"/>
                  </a:rPr>
                  <a:t>AUD / x</a:t>
                </a:r>
              </a:p>
            </c:rich>
          </c:tx>
          <c:overlay val="0"/>
        </c:title>
        <c:numFmt formatCode="_(\$* #,##0.00_);_(\$* \(#,##0.00\);_(\$* \-??_);_(@_)" sourceLinked="0"/>
        <c:majorTickMark val="out"/>
        <c:minorTickMark val="none"/>
        <c:tickLblPos val="nextTo"/>
        <c:spPr>
          <a:ln/>
        </c:spPr>
        <c:txPr>
          <a:bodyPr/>
          <a:lstStyle/>
          <a:p>
            <a:pPr lvl="0">
              <a:defRPr sz="1000" b="0" i="0">
                <a:solidFill>
                  <a:srgbClr val="000000"/>
                </a:solidFill>
                <a:latin typeface="Aptos Narrow"/>
              </a:defRPr>
            </a:pPr>
            <a:endParaRPr lang="en-US"/>
          </a:p>
        </c:txPr>
        <c:crossAx val="954000435"/>
        <c:crosses val="autoZero"/>
        <c:crossBetween val="between"/>
      </c:valAx>
    </c:plotArea>
    <c:legend>
      <c:legendPos val="r"/>
      <c:overlay val="0"/>
      <c:txPr>
        <a:bodyPr/>
        <a:lstStyle/>
        <a:p>
          <a:pPr lvl="0">
            <a:defRPr sz="1000" b="0" i="0">
              <a:solidFill>
                <a:srgbClr val="1A1A1A"/>
              </a:solidFill>
              <a:latin typeface="Aptos Narrow"/>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1400" b="0" i="0">
                <a:solidFill>
                  <a:srgbClr val="757575"/>
                </a:solidFill>
                <a:latin typeface="Aptos Narrow"/>
              </a:defRPr>
            </a:pPr>
            <a:r>
              <a:rPr lang="en-AU" sz="1400" b="0" i="0">
                <a:solidFill>
                  <a:srgbClr val="757575"/>
                </a:solidFill>
                <a:latin typeface="Aptos Narrow"/>
              </a:rPr>
              <a:t>Event Days Mix (Exit FY)</a:t>
            </a:r>
          </a:p>
        </c:rich>
      </c:tx>
      <c:overlay val="0"/>
    </c:title>
    <c:autoTitleDeleted val="0"/>
    <c:plotArea>
      <c:layout/>
      <c:barChart>
        <c:barDir val="col"/>
        <c:grouping val="clustered"/>
        <c:varyColors val="1"/>
        <c:ser>
          <c:idx val="0"/>
          <c:order val="0"/>
          <c:tx>
            <c:v>Days</c:v>
          </c:tx>
          <c:spPr>
            <a:solidFill>
              <a:srgbClr val="156082"/>
            </a:solidFill>
            <a:ln cmpd="sng">
              <a:noFill/>
            </a:ln>
          </c:spPr>
          <c:invertIfNegative val="1"/>
          <c:dPt>
            <c:idx val="0"/>
            <c:invertIfNegative val="1"/>
            <c:bubble3D val="0"/>
            <c:extLst>
              <c:ext xmlns:c16="http://schemas.microsoft.com/office/drawing/2014/chart" uri="{C3380CC4-5D6E-409C-BE32-E72D297353CC}">
                <c16:uniqueId val="{0000000C-B5EA-457D-880C-9BC53F6A299A}"/>
              </c:ext>
            </c:extLst>
          </c:dPt>
          <c:dPt>
            <c:idx val="1"/>
            <c:invertIfNegative val="1"/>
            <c:bubble3D val="0"/>
            <c:spPr>
              <a:solidFill>
                <a:srgbClr val="E97132"/>
              </a:solidFill>
              <a:ln cmpd="sng">
                <a:noFill/>
              </a:ln>
            </c:spPr>
            <c:extLst>
              <c:ext xmlns:c16="http://schemas.microsoft.com/office/drawing/2014/chart" uri="{C3380CC4-5D6E-409C-BE32-E72D297353CC}">
                <c16:uniqueId val="{00000001-B5EA-457D-880C-9BC53F6A299A}"/>
              </c:ext>
            </c:extLst>
          </c:dPt>
          <c:dPt>
            <c:idx val="2"/>
            <c:invertIfNegative val="1"/>
            <c:bubble3D val="0"/>
            <c:spPr>
              <a:solidFill>
                <a:srgbClr val="196B24"/>
              </a:solidFill>
              <a:ln cmpd="sng">
                <a:noFill/>
              </a:ln>
            </c:spPr>
            <c:extLst>
              <c:ext xmlns:c16="http://schemas.microsoft.com/office/drawing/2014/chart" uri="{C3380CC4-5D6E-409C-BE32-E72D297353CC}">
                <c16:uniqueId val="{00000003-B5EA-457D-880C-9BC53F6A299A}"/>
              </c:ext>
            </c:extLst>
          </c:dPt>
          <c:dPt>
            <c:idx val="3"/>
            <c:invertIfNegative val="1"/>
            <c:bubble3D val="0"/>
            <c:spPr>
              <a:solidFill>
                <a:srgbClr val="0F9ED5"/>
              </a:solidFill>
              <a:ln cmpd="sng">
                <a:noFill/>
              </a:ln>
            </c:spPr>
            <c:extLst>
              <c:ext xmlns:c16="http://schemas.microsoft.com/office/drawing/2014/chart" uri="{C3380CC4-5D6E-409C-BE32-E72D297353CC}">
                <c16:uniqueId val="{00000005-B5EA-457D-880C-9BC53F6A299A}"/>
              </c:ext>
            </c:extLst>
          </c:dPt>
          <c:dPt>
            <c:idx val="4"/>
            <c:invertIfNegative val="1"/>
            <c:bubble3D val="0"/>
            <c:spPr>
              <a:solidFill>
                <a:srgbClr val="A02B93"/>
              </a:solidFill>
              <a:ln cmpd="sng">
                <a:noFill/>
              </a:ln>
            </c:spPr>
            <c:extLst>
              <c:ext xmlns:c16="http://schemas.microsoft.com/office/drawing/2014/chart" uri="{C3380CC4-5D6E-409C-BE32-E72D297353CC}">
                <c16:uniqueId val="{00000007-B5EA-457D-880C-9BC53F6A299A}"/>
              </c:ext>
            </c:extLst>
          </c:dPt>
          <c:dPt>
            <c:idx val="5"/>
            <c:invertIfNegative val="1"/>
            <c:bubble3D val="0"/>
            <c:spPr>
              <a:solidFill>
                <a:srgbClr val="4EA72E"/>
              </a:solidFill>
              <a:ln cmpd="sng">
                <a:noFill/>
              </a:ln>
            </c:spPr>
            <c:extLst>
              <c:ext xmlns:c16="http://schemas.microsoft.com/office/drawing/2014/chart" uri="{C3380CC4-5D6E-409C-BE32-E72D297353CC}">
                <c16:uniqueId val="{00000009-B5EA-457D-880C-9BC53F6A299A}"/>
              </c:ext>
            </c:extLst>
          </c:dPt>
          <c:dPt>
            <c:idx val="6"/>
            <c:invertIfNegative val="1"/>
            <c:bubble3D val="0"/>
            <c:extLst>
              <c:ext xmlns:c16="http://schemas.microsoft.com/office/drawing/2014/chart" uri="{C3380CC4-5D6E-409C-BE32-E72D297353CC}">
                <c16:uniqueId val="{0000000D-B5EA-457D-880C-9BC53F6A299A}"/>
              </c:ext>
            </c:extLst>
          </c:dPt>
          <c:dPt>
            <c:idx val="7"/>
            <c:invertIfNegative val="1"/>
            <c:bubble3D val="0"/>
            <c:spPr>
              <a:solidFill>
                <a:srgbClr val="E97132"/>
              </a:solidFill>
              <a:ln cmpd="sng">
                <a:noFill/>
              </a:ln>
            </c:spPr>
            <c:extLst>
              <c:ext xmlns:c16="http://schemas.microsoft.com/office/drawing/2014/chart" uri="{C3380CC4-5D6E-409C-BE32-E72D297353CC}">
                <c16:uniqueId val="{0000000B-B5EA-457D-880C-9BC53F6A299A}"/>
              </c:ext>
            </c:extLst>
          </c:dPt>
          <c:dLbls>
            <c:dLbl>
              <c:idx val="0"/>
              <c:spPr/>
              <c:txPr>
                <a:bodyPr/>
                <a:lstStyle/>
                <a:p>
                  <a:pPr lvl="0">
                    <a:defRPr sz="900" b="0" i="0">
                      <a:solidFill>
                        <a:srgbClr val="000000"/>
                      </a:solidFill>
                      <a:latin typeface="Aptos Narrow"/>
                    </a:defRPr>
                  </a:pPr>
                  <a:endParaRPr lang="en-US"/>
                </a:p>
              </c:txPr>
              <c:showLegendKey val="0"/>
              <c:showVal val="1"/>
              <c:showCatName val="0"/>
              <c:showSerName val="0"/>
              <c:showPercent val="0"/>
              <c:showBubbleSize val="0"/>
              <c:extLst>
                <c:ext xmlns:c16="http://schemas.microsoft.com/office/drawing/2014/chart" uri="{C3380CC4-5D6E-409C-BE32-E72D297353CC}">
                  <c16:uniqueId val="{0000000C-B5EA-457D-880C-9BC53F6A299A}"/>
                </c:ext>
              </c:extLst>
            </c:dLbl>
            <c:dLbl>
              <c:idx val="1"/>
              <c:spPr/>
              <c:txPr>
                <a:bodyPr/>
                <a:lstStyle/>
                <a:p>
                  <a:pPr lvl="0">
                    <a:defRPr sz="900" b="0" i="0">
                      <a:solidFill>
                        <a:srgbClr val="000000"/>
                      </a:solidFill>
                      <a:latin typeface="Aptos Narrow"/>
                    </a:defRPr>
                  </a:pPr>
                  <a:endParaRPr lang="en-US"/>
                </a:p>
              </c:txPr>
              <c:showLegendKey val="0"/>
              <c:showVal val="1"/>
              <c:showCatName val="0"/>
              <c:showSerName val="0"/>
              <c:showPercent val="0"/>
              <c:showBubbleSize val="0"/>
              <c:extLst>
                <c:ext xmlns:c16="http://schemas.microsoft.com/office/drawing/2014/chart" uri="{C3380CC4-5D6E-409C-BE32-E72D297353CC}">
                  <c16:uniqueId val="{00000001-B5EA-457D-880C-9BC53F6A299A}"/>
                </c:ext>
              </c:extLst>
            </c:dLbl>
            <c:dLbl>
              <c:idx val="2"/>
              <c:spPr/>
              <c:txPr>
                <a:bodyPr/>
                <a:lstStyle/>
                <a:p>
                  <a:pPr lvl="0">
                    <a:defRPr sz="900" b="0" i="0">
                      <a:solidFill>
                        <a:srgbClr val="000000"/>
                      </a:solidFill>
                      <a:latin typeface="Aptos Narrow"/>
                    </a:defRPr>
                  </a:pPr>
                  <a:endParaRPr lang="en-US"/>
                </a:p>
              </c:txPr>
              <c:showLegendKey val="0"/>
              <c:showVal val="1"/>
              <c:showCatName val="0"/>
              <c:showSerName val="0"/>
              <c:showPercent val="0"/>
              <c:showBubbleSize val="0"/>
              <c:extLst>
                <c:ext xmlns:c16="http://schemas.microsoft.com/office/drawing/2014/chart" uri="{C3380CC4-5D6E-409C-BE32-E72D297353CC}">
                  <c16:uniqueId val="{00000003-B5EA-457D-880C-9BC53F6A299A}"/>
                </c:ext>
              </c:extLst>
            </c:dLbl>
            <c:dLbl>
              <c:idx val="3"/>
              <c:spPr/>
              <c:txPr>
                <a:bodyPr/>
                <a:lstStyle/>
                <a:p>
                  <a:pPr lvl="0">
                    <a:defRPr sz="900" b="0" i="0">
                      <a:solidFill>
                        <a:srgbClr val="000000"/>
                      </a:solidFill>
                      <a:latin typeface="Aptos Narrow"/>
                    </a:defRPr>
                  </a:pPr>
                  <a:endParaRPr lang="en-US"/>
                </a:p>
              </c:txPr>
              <c:showLegendKey val="0"/>
              <c:showVal val="1"/>
              <c:showCatName val="0"/>
              <c:showSerName val="0"/>
              <c:showPercent val="0"/>
              <c:showBubbleSize val="0"/>
              <c:extLst>
                <c:ext xmlns:c16="http://schemas.microsoft.com/office/drawing/2014/chart" uri="{C3380CC4-5D6E-409C-BE32-E72D297353CC}">
                  <c16:uniqueId val="{00000005-B5EA-457D-880C-9BC53F6A299A}"/>
                </c:ext>
              </c:extLst>
            </c:dLbl>
            <c:dLbl>
              <c:idx val="4"/>
              <c:spPr/>
              <c:txPr>
                <a:bodyPr/>
                <a:lstStyle/>
                <a:p>
                  <a:pPr lvl="0">
                    <a:defRPr sz="900" b="0" i="0">
                      <a:solidFill>
                        <a:srgbClr val="000000"/>
                      </a:solidFill>
                      <a:latin typeface="Aptos Narrow"/>
                    </a:defRPr>
                  </a:pPr>
                  <a:endParaRPr lang="en-US"/>
                </a:p>
              </c:txPr>
              <c:showLegendKey val="0"/>
              <c:showVal val="1"/>
              <c:showCatName val="0"/>
              <c:showSerName val="0"/>
              <c:showPercent val="0"/>
              <c:showBubbleSize val="0"/>
              <c:extLst>
                <c:ext xmlns:c16="http://schemas.microsoft.com/office/drawing/2014/chart" uri="{C3380CC4-5D6E-409C-BE32-E72D297353CC}">
                  <c16:uniqueId val="{00000007-B5EA-457D-880C-9BC53F6A299A}"/>
                </c:ext>
              </c:extLst>
            </c:dLbl>
            <c:dLbl>
              <c:idx val="5"/>
              <c:spPr/>
              <c:txPr>
                <a:bodyPr/>
                <a:lstStyle/>
                <a:p>
                  <a:pPr lvl="0">
                    <a:defRPr sz="900" b="0" i="0">
                      <a:solidFill>
                        <a:srgbClr val="000000"/>
                      </a:solidFill>
                      <a:latin typeface="Aptos Narrow"/>
                    </a:defRPr>
                  </a:pPr>
                  <a:endParaRPr lang="en-US"/>
                </a:p>
              </c:txPr>
              <c:showLegendKey val="0"/>
              <c:showVal val="1"/>
              <c:showCatName val="0"/>
              <c:showSerName val="0"/>
              <c:showPercent val="0"/>
              <c:showBubbleSize val="0"/>
              <c:extLst>
                <c:ext xmlns:c16="http://schemas.microsoft.com/office/drawing/2014/chart" uri="{C3380CC4-5D6E-409C-BE32-E72D297353CC}">
                  <c16:uniqueId val="{00000009-B5EA-457D-880C-9BC53F6A299A}"/>
                </c:ext>
              </c:extLst>
            </c:dLbl>
            <c:dLbl>
              <c:idx val="6"/>
              <c:spPr/>
              <c:txPr>
                <a:bodyPr/>
                <a:lstStyle/>
                <a:p>
                  <a:pPr lvl="0">
                    <a:defRPr sz="900" b="0" i="0">
                      <a:solidFill>
                        <a:srgbClr val="000000"/>
                      </a:solidFill>
                      <a:latin typeface="Aptos Narrow"/>
                    </a:defRPr>
                  </a:pPr>
                  <a:endParaRPr lang="en-US"/>
                </a:p>
              </c:txPr>
              <c:showLegendKey val="0"/>
              <c:showVal val="1"/>
              <c:showCatName val="0"/>
              <c:showSerName val="0"/>
              <c:showPercent val="0"/>
              <c:showBubbleSize val="0"/>
              <c:extLst>
                <c:ext xmlns:c16="http://schemas.microsoft.com/office/drawing/2014/chart" uri="{C3380CC4-5D6E-409C-BE32-E72D297353CC}">
                  <c16:uniqueId val="{0000000D-B5EA-457D-880C-9BC53F6A299A}"/>
                </c:ext>
              </c:extLst>
            </c:dLbl>
            <c:dLbl>
              <c:idx val="7"/>
              <c:spPr/>
              <c:txPr>
                <a:bodyPr/>
                <a:lstStyle/>
                <a:p>
                  <a:pPr lvl="0">
                    <a:defRPr sz="900" b="0" i="0">
                      <a:solidFill>
                        <a:srgbClr val="000000"/>
                      </a:solidFill>
                      <a:latin typeface="Aptos Narrow"/>
                    </a:defRPr>
                  </a:pPr>
                  <a:endParaRPr lang="en-US"/>
                </a:p>
              </c:txPr>
              <c:showLegendKey val="0"/>
              <c:showVal val="1"/>
              <c:showCatName val="0"/>
              <c:showSerName val="0"/>
              <c:showPercent val="0"/>
              <c:showBubbleSize val="0"/>
              <c:extLst>
                <c:ext xmlns:c16="http://schemas.microsoft.com/office/drawing/2014/chart" uri="{C3380CC4-5D6E-409C-BE32-E72D297353CC}">
                  <c16:uniqueId val="{0000000B-B5EA-457D-880C-9BC53F6A299A}"/>
                </c:ext>
              </c:extLst>
            </c:dLbl>
            <c:spPr>
              <a:noFill/>
              <a:ln>
                <a:noFill/>
              </a:ln>
              <a:effectLst/>
            </c:spPr>
            <c:txPr>
              <a:bodyPr/>
              <a:lstStyle/>
              <a:p>
                <a:pPr lvl="0">
                  <a:defRPr sz="900" b="0" i="0">
                    <a:solidFill>
                      <a:srgbClr val="000000"/>
                    </a:solidFill>
                    <a:latin typeface="Aptos Narrow"/>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Dashboard!$L$52:$L$59</c:f>
              <c:strCache>
                <c:ptCount val="8"/>
                <c:pt idx="0">
                  <c:v>Music GA (all tiers)</c:v>
                </c:pt>
                <c:pt idx="1">
                  <c:v>EDM</c:v>
                </c:pt>
                <c:pt idx="2">
                  <c:v>Seated Music</c:v>
                </c:pt>
                <c:pt idx="3">
                  <c:v>Comedy</c:v>
                </c:pt>
                <c:pt idx="4">
                  <c:v>Corporate</c:v>
                </c:pt>
                <c:pt idx="5">
                  <c:v>MICE</c:v>
                </c:pt>
                <c:pt idx="6">
                  <c:v>Community</c:v>
                </c:pt>
                <c:pt idx="7">
                  <c:v>Live Site</c:v>
                </c:pt>
              </c:strCache>
            </c:strRef>
          </c:cat>
          <c:val>
            <c:numRef>
              <c:f>Dashboard!$M$52:$M$59</c:f>
              <c:numCache>
                <c:formatCode>General</c:formatCode>
                <c:ptCount val="8"/>
                <c:pt idx="0" formatCode="0">
                  <c:v>52</c:v>
                </c:pt>
                <c:pt idx="1">
                  <c:v>18</c:v>
                </c:pt>
                <c:pt idx="2">
                  <c:v>15</c:v>
                </c:pt>
                <c:pt idx="3">
                  <c:v>15</c:v>
                </c:pt>
                <c:pt idx="4">
                  <c:v>3</c:v>
                </c:pt>
                <c:pt idx="5">
                  <c:v>29</c:v>
                </c:pt>
                <c:pt idx="6">
                  <c:v>12</c:v>
                </c:pt>
                <c:pt idx="7">
                  <c:v>4</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E-B5EA-457D-880C-9BC53F6A299A}"/>
            </c:ext>
          </c:extLst>
        </c:ser>
        <c:dLbls>
          <c:showLegendKey val="0"/>
          <c:showVal val="0"/>
          <c:showCatName val="0"/>
          <c:showSerName val="0"/>
          <c:showPercent val="0"/>
          <c:showBubbleSize val="0"/>
        </c:dLbls>
        <c:gapWidth val="150"/>
        <c:axId val="2050871225"/>
        <c:axId val="1145535275"/>
      </c:barChart>
      <c:catAx>
        <c:axId val="2050871225"/>
        <c:scaling>
          <c:orientation val="minMax"/>
        </c:scaling>
        <c:delete val="0"/>
        <c:axPos val="b"/>
        <c:title>
          <c:tx>
            <c:rich>
              <a:bodyPr/>
              <a:lstStyle/>
              <a:p>
                <a:pPr lvl="0">
                  <a:defRPr sz="1000" b="0" i="0">
                    <a:solidFill>
                      <a:srgbClr val="000000"/>
                    </a:solidFill>
                    <a:latin typeface="Aptos Narrow"/>
                  </a:defRPr>
                </a:pPr>
                <a:r>
                  <a:rPr lang="en-AU" sz="1000" b="0" i="0">
                    <a:solidFill>
                      <a:srgbClr val="000000"/>
                    </a:solidFill>
                    <a:latin typeface="Aptos Narrow"/>
                  </a:rPr>
                  <a:t>Event Type</a:t>
                </a:r>
              </a:p>
            </c:rich>
          </c:tx>
          <c:layout>
            <c:manualLayout>
              <c:xMode val="edge"/>
              <c:yMode val="edge"/>
              <c:x val="0.46740370898716099"/>
              <c:y val="0.90834419817470702"/>
            </c:manualLayout>
          </c:layout>
          <c:overlay val="0"/>
        </c:title>
        <c:numFmt formatCode="General" sourceLinked="0"/>
        <c:majorTickMark val="none"/>
        <c:minorTickMark val="none"/>
        <c:tickLblPos val="nextTo"/>
        <c:spPr>
          <a:ln>
            <a:noFill/>
          </a:ln>
        </c:spPr>
        <c:txPr>
          <a:bodyPr/>
          <a:lstStyle/>
          <a:p>
            <a:pPr lvl="0">
              <a:defRPr sz="900" b="0" i="0">
                <a:solidFill>
                  <a:srgbClr val="000000"/>
                </a:solidFill>
                <a:latin typeface="Aptos Narrow"/>
              </a:defRPr>
            </a:pPr>
            <a:endParaRPr lang="en-US"/>
          </a:p>
        </c:txPr>
        <c:crossAx val="1145535275"/>
        <c:crosses val="autoZero"/>
        <c:auto val="1"/>
        <c:lblAlgn val="ctr"/>
        <c:lblOffset val="100"/>
        <c:noMultiLvlLbl val="1"/>
      </c:catAx>
      <c:valAx>
        <c:axId val="1145535275"/>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Aptos Narrow"/>
                  </a:defRPr>
                </a:pPr>
                <a:r>
                  <a:rPr lang="en-AU" sz="1000" b="0" i="0">
                    <a:solidFill>
                      <a:srgbClr val="000000"/>
                    </a:solidFill>
                    <a:latin typeface="Aptos Narrow"/>
                  </a:rPr>
                  <a:t>Days</a:t>
                </a:r>
              </a:p>
            </c:rich>
          </c:tx>
          <c:overlay val="0"/>
        </c:title>
        <c:numFmt formatCode="General" sourceLinked="0"/>
        <c:majorTickMark val="none"/>
        <c:minorTickMark val="none"/>
        <c:tickLblPos val="nextTo"/>
        <c:spPr>
          <a:ln>
            <a:noFill/>
          </a:ln>
        </c:spPr>
        <c:txPr>
          <a:bodyPr/>
          <a:lstStyle/>
          <a:p>
            <a:pPr lvl="0">
              <a:defRPr sz="900" b="0" i="0">
                <a:solidFill>
                  <a:srgbClr val="000000"/>
                </a:solidFill>
                <a:latin typeface="Aptos Narrow"/>
              </a:defRPr>
            </a:pPr>
            <a:endParaRPr lang="en-US"/>
          </a:p>
        </c:txPr>
        <c:crossAx val="2050871225"/>
        <c:crosses val="autoZero"/>
        <c:crossBetween val="between"/>
      </c:valAx>
    </c:plotArea>
    <c:plotVisOnly val="1"/>
    <c:dispBlanksAs val="zero"/>
    <c:showDLblsOverMax val="1"/>
  </c:chart>
  <c:spPr>
    <a:solidFill>
      <a:srgbClr val="FFFFFF"/>
    </a:solidFill>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600" b="1" i="0">
                <a:solidFill>
                  <a:srgbClr val="757575"/>
                </a:solidFill>
                <a:latin typeface="Aptos Narrow"/>
              </a:defRPr>
            </a:pPr>
            <a:r>
              <a:rPr lang="en-AU" sz="1600" b="1" i="0">
                <a:solidFill>
                  <a:srgbClr val="757575"/>
                </a:solidFill>
                <a:latin typeface="Aptos Narrow"/>
              </a:rPr>
              <a:t>Revenue &amp; EBITDA</a:t>
            </a:r>
          </a:p>
        </c:rich>
      </c:tx>
      <c:overlay val="0"/>
    </c:title>
    <c:autoTitleDeleted val="0"/>
    <c:plotArea>
      <c:layout>
        <c:manualLayout>
          <c:xMode val="edge"/>
          <c:yMode val="edge"/>
          <c:x val="0.14332981344597001"/>
          <c:y val="0.15055685411797101"/>
          <c:w val="0.85399507215769099"/>
          <c:h val="0.79238278564553799"/>
        </c:manualLayout>
      </c:layout>
      <c:lineChart>
        <c:grouping val="standard"/>
        <c:varyColors val="1"/>
        <c:ser>
          <c:idx val="0"/>
          <c:order val="0"/>
          <c:tx>
            <c:v>Revenue</c:v>
          </c:tx>
          <c:spPr>
            <a:ln w="19050" cmpd="sng">
              <a:solidFill>
                <a:srgbClr val="156082">
                  <a:alpha val="100000"/>
                </a:srgbClr>
              </a:solidFill>
            </a:ln>
          </c:spPr>
          <c:marker>
            <c:symbol val="none"/>
          </c:marker>
          <c:cat>
            <c:strRef>
              <c:f>'Dashboard (backup)'!$C$6:$N$6</c:f>
              <c:strCache>
                <c:ptCount val="12"/>
                <c:pt idx="0">
                  <c:v>FY25</c:v>
                </c:pt>
                <c:pt idx="1">
                  <c:v>FY26</c:v>
                </c:pt>
                <c:pt idx="2">
                  <c:v>FY27</c:v>
                </c:pt>
                <c:pt idx="3">
                  <c:v>FY28</c:v>
                </c:pt>
                <c:pt idx="4">
                  <c:v>FY29</c:v>
                </c:pt>
                <c:pt idx="5">
                  <c:v>FY30</c:v>
                </c:pt>
                <c:pt idx="6">
                  <c:v>FY31</c:v>
                </c:pt>
                <c:pt idx="7">
                  <c:v>FY32</c:v>
                </c:pt>
                <c:pt idx="8">
                  <c:v>FY33</c:v>
                </c:pt>
                <c:pt idx="9">
                  <c:v>FY34</c:v>
                </c:pt>
                <c:pt idx="10">
                  <c:v>FY35</c:v>
                </c:pt>
                <c:pt idx="11">
                  <c:v>FY36</c:v>
                </c:pt>
              </c:strCache>
            </c:strRef>
          </c:cat>
          <c:val>
            <c:numRef>
              <c:f>'Dashboard (backup)'!$B$7:$N$7</c:f>
              <c:numCache>
                <c:formatCode>\$#,##0;"($"#,##0\);\-</c:formatCode>
                <c:ptCount val="13"/>
                <c:pt idx="0" formatCode="General">
                  <c:v>0</c:v>
                </c:pt>
                <c:pt idx="1">
                  <c:v>0</c:v>
                </c:pt>
                <c:pt idx="2">
                  <c:v>0</c:v>
                </c:pt>
                <c:pt idx="3">
                  <c:v>0</c:v>
                </c:pt>
                <c:pt idx="4">
                  <c:v>18772333.414999999</c:v>
                </c:pt>
                <c:pt idx="5">
                  <c:v>19676502.288939998</c:v>
                </c:pt>
                <c:pt idx="6">
                  <c:v>20615521.882462904</c:v>
                </c:pt>
                <c:pt idx="7">
                  <c:v>21808634.554464001</c:v>
                </c:pt>
                <c:pt idx="8">
                  <c:v>22300756.692269798</c:v>
                </c:pt>
                <c:pt idx="9">
                  <c:v>22807316.061739061</c:v>
                </c:pt>
                <c:pt idx="10">
                  <c:v>23328737.619009934</c:v>
                </c:pt>
                <c:pt idx="11">
                  <c:v>23865458.864884399</c:v>
                </c:pt>
                <c:pt idx="12">
                  <c:v>24417930.216067705</c:v>
                </c:pt>
              </c:numCache>
            </c:numRef>
          </c:val>
          <c:smooth val="1"/>
          <c:extLst>
            <c:ext xmlns:c16="http://schemas.microsoft.com/office/drawing/2014/chart" uri="{C3380CC4-5D6E-409C-BE32-E72D297353CC}">
              <c16:uniqueId val="{00000000-4A07-4D75-BA04-38A490EBA6A0}"/>
            </c:ext>
          </c:extLst>
        </c:ser>
        <c:ser>
          <c:idx val="1"/>
          <c:order val="1"/>
          <c:tx>
            <c:v>EBITDA</c:v>
          </c:tx>
          <c:spPr>
            <a:ln w="19050" cmpd="sng">
              <a:solidFill>
                <a:srgbClr val="E97132">
                  <a:alpha val="100000"/>
                </a:srgbClr>
              </a:solidFill>
            </a:ln>
          </c:spPr>
          <c:marker>
            <c:symbol val="none"/>
          </c:marker>
          <c:cat>
            <c:strRef>
              <c:f>'Dashboard (backup)'!$C$6:$N$6</c:f>
              <c:strCache>
                <c:ptCount val="12"/>
                <c:pt idx="0">
                  <c:v>FY25</c:v>
                </c:pt>
                <c:pt idx="1">
                  <c:v>FY26</c:v>
                </c:pt>
                <c:pt idx="2">
                  <c:v>FY27</c:v>
                </c:pt>
                <c:pt idx="3">
                  <c:v>FY28</c:v>
                </c:pt>
                <c:pt idx="4">
                  <c:v>FY29</c:v>
                </c:pt>
                <c:pt idx="5">
                  <c:v>FY30</c:v>
                </c:pt>
                <c:pt idx="6">
                  <c:v>FY31</c:v>
                </c:pt>
                <c:pt idx="7">
                  <c:v>FY32</c:v>
                </c:pt>
                <c:pt idx="8">
                  <c:v>FY33</c:v>
                </c:pt>
                <c:pt idx="9">
                  <c:v>FY34</c:v>
                </c:pt>
                <c:pt idx="10">
                  <c:v>FY35</c:v>
                </c:pt>
                <c:pt idx="11">
                  <c:v>FY36</c:v>
                </c:pt>
              </c:strCache>
            </c:strRef>
          </c:cat>
          <c:val>
            <c:numRef>
              <c:f>'Dashboard (backup)'!$B$8:$N$8</c:f>
              <c:numCache>
                <c:formatCode>\$#,##0;"($"#,##0\);\-</c:formatCode>
                <c:ptCount val="13"/>
                <c:pt idx="0" formatCode="General">
                  <c:v>0</c:v>
                </c:pt>
                <c:pt idx="1">
                  <c:v>0</c:v>
                </c:pt>
                <c:pt idx="2">
                  <c:v>0</c:v>
                </c:pt>
                <c:pt idx="3">
                  <c:v>0</c:v>
                </c:pt>
                <c:pt idx="4">
                  <c:v>10240353.181728749</c:v>
                </c:pt>
                <c:pt idx="5">
                  <c:v>10221610.60891173</c:v>
                </c:pt>
                <c:pt idx="6">
                  <c:v>10726643.498227151</c:v>
                </c:pt>
                <c:pt idx="7">
                  <c:v>11603173.631330766</c:v>
                </c:pt>
                <c:pt idx="8">
                  <c:v>11825139.08000222</c:v>
                </c:pt>
                <c:pt idx="9">
                  <c:v>11488417.36165344</c:v>
                </c:pt>
                <c:pt idx="10">
                  <c:v>11566864.641117346</c:v>
                </c:pt>
                <c:pt idx="11">
                  <c:v>11784599.554180816</c:v>
                </c:pt>
                <c:pt idx="12">
                  <c:v>12008306.676067084</c:v>
                </c:pt>
              </c:numCache>
            </c:numRef>
          </c:val>
          <c:smooth val="1"/>
          <c:extLst>
            <c:ext xmlns:c16="http://schemas.microsoft.com/office/drawing/2014/chart" uri="{C3380CC4-5D6E-409C-BE32-E72D297353CC}">
              <c16:uniqueId val="{00000001-4A07-4D75-BA04-38A490EBA6A0}"/>
            </c:ext>
          </c:extLst>
        </c:ser>
        <c:dLbls>
          <c:showLegendKey val="0"/>
          <c:showVal val="0"/>
          <c:showCatName val="0"/>
          <c:showSerName val="0"/>
          <c:showPercent val="0"/>
          <c:showBubbleSize val="0"/>
        </c:dLbls>
        <c:smooth val="0"/>
        <c:axId val="430300772"/>
        <c:axId val="1302691175"/>
      </c:lineChart>
      <c:catAx>
        <c:axId val="430300772"/>
        <c:scaling>
          <c:orientation val="minMax"/>
        </c:scaling>
        <c:delete val="0"/>
        <c:axPos val="b"/>
        <c:title>
          <c:tx>
            <c:rich>
              <a:bodyPr/>
              <a:lstStyle/>
              <a:p>
                <a:pPr lvl="0">
                  <a:defRPr sz="900" b="1" i="0">
                    <a:solidFill>
                      <a:srgbClr val="000000"/>
                    </a:solidFill>
                    <a:latin typeface="Aptos Narrow"/>
                  </a:defRPr>
                </a:pPr>
                <a:r>
                  <a:rPr lang="en-AU" sz="900" b="1" i="0">
                    <a:solidFill>
                      <a:srgbClr val="000000"/>
                    </a:solidFill>
                    <a:latin typeface="Aptos Narrow"/>
                  </a:rPr>
                  <a:t>None</a:t>
                </a:r>
              </a:p>
            </c:rich>
          </c:tx>
          <c:overlay val="0"/>
        </c:title>
        <c:numFmt formatCode="General" sourceLinked="0"/>
        <c:majorTickMark val="out"/>
        <c:minorTickMark val="none"/>
        <c:tickLblPos val="nextTo"/>
        <c:txPr>
          <a:bodyPr/>
          <a:lstStyle/>
          <a:p>
            <a:pPr lvl="0">
              <a:defRPr sz="900" b="0" i="0">
                <a:solidFill>
                  <a:srgbClr val="000000"/>
                </a:solidFill>
                <a:latin typeface="Aptos Narrow"/>
              </a:defRPr>
            </a:pPr>
            <a:endParaRPr lang="en-US"/>
          </a:p>
        </c:txPr>
        <c:crossAx val="1302691175"/>
        <c:crosses val="autoZero"/>
        <c:auto val="1"/>
        <c:lblAlgn val="ctr"/>
        <c:lblOffset val="100"/>
        <c:noMultiLvlLbl val="1"/>
      </c:catAx>
      <c:valAx>
        <c:axId val="1302691175"/>
        <c:scaling>
          <c:orientation val="minMax"/>
        </c:scaling>
        <c:delete val="0"/>
        <c:axPos val="l"/>
        <c:majorGridlines>
          <c:spPr>
            <a:ln>
              <a:solidFill>
                <a:srgbClr val="B7B7B7"/>
              </a:solidFill>
            </a:ln>
          </c:spPr>
        </c:majorGridlines>
        <c:title>
          <c:tx>
            <c:rich>
              <a:bodyPr/>
              <a:lstStyle/>
              <a:p>
                <a:pPr lvl="0">
                  <a:defRPr sz="900" b="1" i="0">
                    <a:solidFill>
                      <a:srgbClr val="000000"/>
                    </a:solidFill>
                    <a:latin typeface="Aptos Narrow"/>
                  </a:defRPr>
                </a:pPr>
                <a:r>
                  <a:rPr lang="en-AU" sz="900" b="1" i="0">
                    <a:solidFill>
                      <a:srgbClr val="000000"/>
                    </a:solidFill>
                    <a:latin typeface="Aptos Narrow"/>
                  </a:rPr>
                  <a:t>AUD</a:t>
                </a:r>
              </a:p>
            </c:rich>
          </c:tx>
          <c:overlay val="0"/>
        </c:title>
        <c:numFmt formatCode="\$#,##0.00" sourceLinked="0"/>
        <c:majorTickMark val="none"/>
        <c:minorTickMark val="none"/>
        <c:tickLblPos val="nextTo"/>
        <c:spPr>
          <a:ln>
            <a:noFill/>
          </a:ln>
        </c:spPr>
        <c:txPr>
          <a:bodyPr/>
          <a:lstStyle/>
          <a:p>
            <a:pPr lvl="0">
              <a:defRPr sz="900" b="0" i="0">
                <a:solidFill>
                  <a:srgbClr val="000000"/>
                </a:solidFill>
                <a:latin typeface="Aptos Narrow"/>
              </a:defRPr>
            </a:pPr>
            <a:endParaRPr lang="en-US"/>
          </a:p>
        </c:txPr>
        <c:crossAx val="430300772"/>
        <c:crosses val="autoZero"/>
        <c:crossBetween val="between"/>
      </c:valAx>
    </c:plotArea>
    <c:legend>
      <c:legendPos val="b"/>
      <c:overlay val="0"/>
      <c:txPr>
        <a:bodyPr/>
        <a:lstStyle/>
        <a:p>
          <a:pPr lvl="0">
            <a:defRPr sz="900" b="0" i="0">
              <a:solidFill>
                <a:srgbClr val="1A1A1A"/>
              </a:solidFill>
              <a:latin typeface="Aptos Narrow"/>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400" b="0" i="0">
                <a:solidFill>
                  <a:srgbClr val="757575"/>
                </a:solidFill>
                <a:latin typeface="Aptos Narrow"/>
              </a:defRPr>
            </a:pPr>
            <a:r>
              <a:rPr lang="en-AU" sz="1400" b="0" i="0">
                <a:solidFill>
                  <a:srgbClr val="757575"/>
                </a:solidFill>
                <a:latin typeface="Aptos Narrow"/>
              </a:rPr>
              <a:t>Closing Cash Balance</a:t>
            </a:r>
          </a:p>
        </c:rich>
      </c:tx>
      <c:overlay val="0"/>
    </c:title>
    <c:autoTitleDeleted val="0"/>
    <c:plotArea>
      <c:layout>
        <c:manualLayout>
          <c:xMode val="edge"/>
          <c:yMode val="edge"/>
          <c:x val="0.13292040438559"/>
          <c:y val="0.153712656501797"/>
          <c:w val="0.75843656557026895"/>
          <c:h val="0.69307053427544296"/>
        </c:manualLayout>
      </c:layout>
      <c:lineChart>
        <c:grouping val="standard"/>
        <c:varyColors val="0"/>
        <c:ser>
          <c:idx val="0"/>
          <c:order val="0"/>
          <c:spPr>
            <a:ln w="19050" cmpd="sng">
              <a:solidFill>
                <a:srgbClr val="156082">
                  <a:alpha val="100000"/>
                </a:srgbClr>
              </a:solidFill>
            </a:ln>
          </c:spPr>
          <c:marker>
            <c:symbol val="none"/>
          </c:marker>
          <c:cat>
            <c:strRef>
              <c:f>'Dashboard (backup)'!$C$6:$N$6</c:f>
              <c:strCache>
                <c:ptCount val="12"/>
                <c:pt idx="0">
                  <c:v>FY25</c:v>
                </c:pt>
                <c:pt idx="1">
                  <c:v>FY26</c:v>
                </c:pt>
                <c:pt idx="2">
                  <c:v>FY27</c:v>
                </c:pt>
                <c:pt idx="3">
                  <c:v>FY28</c:v>
                </c:pt>
                <c:pt idx="4">
                  <c:v>FY29</c:v>
                </c:pt>
                <c:pt idx="5">
                  <c:v>FY30</c:v>
                </c:pt>
                <c:pt idx="6">
                  <c:v>FY31</c:v>
                </c:pt>
                <c:pt idx="7">
                  <c:v>FY32</c:v>
                </c:pt>
                <c:pt idx="8">
                  <c:v>FY33</c:v>
                </c:pt>
                <c:pt idx="9">
                  <c:v>FY34</c:v>
                </c:pt>
                <c:pt idx="10">
                  <c:v>FY35</c:v>
                </c:pt>
                <c:pt idx="11">
                  <c:v>FY36</c:v>
                </c:pt>
              </c:strCache>
            </c:strRef>
          </c:cat>
          <c:val>
            <c:numRef>
              <c:f>'Dashboard (backup)'!$B$9:$N$9</c:f>
              <c:numCache>
                <c:formatCode>\$#,##0;"($"#,##0\);\-</c:formatCode>
                <c:ptCount val="13"/>
                <c:pt idx="0" formatCode="General">
                  <c:v>0</c:v>
                </c:pt>
                <c:pt idx="1">
                  <c:v>0</c:v>
                </c:pt>
                <c:pt idx="2">
                  <c:v>0</c:v>
                </c:pt>
                <c:pt idx="3">
                  <c:v>452228.39999999851</c:v>
                </c:pt>
                <c:pt idx="4">
                  <c:v>1724785.5788420234</c:v>
                </c:pt>
                <c:pt idx="5">
                  <c:v>2184190.0265896698</c:v>
                </c:pt>
                <c:pt idx="6">
                  <c:v>2729888.0048414734</c:v>
                </c:pt>
                <c:pt idx="7">
                  <c:v>3408438.9677277789</c:v>
                </c:pt>
                <c:pt idx="8">
                  <c:v>4135811.3744280911</c:v>
                </c:pt>
                <c:pt idx="9">
                  <c:v>4833789.0215595746</c:v>
                </c:pt>
                <c:pt idx="10">
                  <c:v>5560495.5688160015</c:v>
                </c:pt>
                <c:pt idx="11">
                  <c:v>6335431.2849013144</c:v>
                </c:pt>
                <c:pt idx="12">
                  <c:v>7159432.279050706</c:v>
                </c:pt>
              </c:numCache>
            </c:numRef>
          </c:val>
          <c:smooth val="1"/>
          <c:extLst>
            <c:ext xmlns:c16="http://schemas.microsoft.com/office/drawing/2014/chart" uri="{C3380CC4-5D6E-409C-BE32-E72D297353CC}">
              <c16:uniqueId val="{00000000-F40E-41B2-BF74-3D30A503CE57}"/>
            </c:ext>
          </c:extLst>
        </c:ser>
        <c:dLbls>
          <c:showLegendKey val="0"/>
          <c:showVal val="0"/>
          <c:showCatName val="0"/>
          <c:showSerName val="0"/>
          <c:showPercent val="0"/>
          <c:showBubbleSize val="0"/>
        </c:dLbls>
        <c:smooth val="0"/>
        <c:axId val="1421790159"/>
        <c:axId val="1404964859"/>
      </c:lineChart>
      <c:catAx>
        <c:axId val="1421790159"/>
        <c:scaling>
          <c:orientation val="minMax"/>
        </c:scaling>
        <c:delete val="0"/>
        <c:axPos val="b"/>
        <c:title>
          <c:tx>
            <c:rich>
              <a:bodyPr/>
              <a:lstStyle/>
              <a:p>
                <a:pPr lvl="0">
                  <a:defRPr sz="1000" b="0" i="0">
                    <a:solidFill>
                      <a:srgbClr val="000000"/>
                    </a:solidFill>
                    <a:latin typeface="Aptos Narrow"/>
                  </a:defRPr>
                </a:pPr>
                <a:r>
                  <a:rPr lang="en-AU" sz="1000" b="0" i="0">
                    <a:solidFill>
                      <a:srgbClr val="000000"/>
                    </a:solidFill>
                    <a:latin typeface="Aptos Narrow"/>
                  </a:rPr>
                  <a:t>None</a:t>
                </a:r>
              </a:p>
            </c:rich>
          </c:tx>
          <c:overlay val="0"/>
        </c:title>
        <c:numFmt formatCode="General" sourceLinked="0"/>
        <c:majorTickMark val="none"/>
        <c:minorTickMark val="none"/>
        <c:tickLblPos val="nextTo"/>
        <c:spPr>
          <a:ln>
            <a:noFill/>
          </a:ln>
        </c:spPr>
        <c:txPr>
          <a:bodyPr/>
          <a:lstStyle/>
          <a:p>
            <a:pPr lvl="0">
              <a:defRPr sz="900" b="0" i="0">
                <a:solidFill>
                  <a:srgbClr val="000000"/>
                </a:solidFill>
                <a:latin typeface="Aptos Narrow"/>
              </a:defRPr>
            </a:pPr>
            <a:endParaRPr lang="en-US"/>
          </a:p>
        </c:txPr>
        <c:crossAx val="1404964859"/>
        <c:crosses val="autoZero"/>
        <c:auto val="1"/>
        <c:lblAlgn val="ctr"/>
        <c:lblOffset val="100"/>
        <c:noMultiLvlLbl val="1"/>
      </c:catAx>
      <c:valAx>
        <c:axId val="1404964859"/>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Aptos Narrow"/>
                  </a:defRPr>
                </a:pPr>
                <a:r>
                  <a:rPr lang="en-AU" sz="1000" b="0" i="0">
                    <a:solidFill>
                      <a:srgbClr val="000000"/>
                    </a:solidFill>
                    <a:latin typeface="Aptos Narrow"/>
                  </a:rPr>
                  <a:t>AUD</a:t>
                </a:r>
              </a:p>
            </c:rich>
          </c:tx>
          <c:overlay val="0"/>
        </c:title>
        <c:numFmt formatCode="_(\$* #,##0.00_);_(\$* \(#,##0.00\);_(\$* \-??_);_(@_)" sourceLinked="0"/>
        <c:majorTickMark val="none"/>
        <c:minorTickMark val="none"/>
        <c:tickLblPos val="nextTo"/>
        <c:spPr>
          <a:ln>
            <a:noFill/>
          </a:ln>
        </c:spPr>
        <c:txPr>
          <a:bodyPr/>
          <a:lstStyle/>
          <a:p>
            <a:pPr lvl="0">
              <a:defRPr sz="900" b="0" i="0">
                <a:solidFill>
                  <a:srgbClr val="000000"/>
                </a:solidFill>
                <a:latin typeface="Aptos Narrow"/>
              </a:defRPr>
            </a:pPr>
            <a:endParaRPr lang="en-US"/>
          </a:p>
        </c:txPr>
        <c:crossAx val="1421790159"/>
        <c:crosses val="autoZero"/>
        <c:crossBetween val="between"/>
      </c:valAx>
    </c:plotArea>
    <c:plotVisOnly val="1"/>
    <c:dispBlanksAs val="zero"/>
    <c:showDLblsOverMax val="1"/>
  </c:chart>
  <c:spPr>
    <a:solidFill>
      <a:srgbClr val="FFFFFF"/>
    </a:solidFill>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800" b="1" i="0">
                <a:solidFill>
                  <a:srgbClr val="757575"/>
                </a:solidFill>
                <a:latin typeface="Aptos Narrow"/>
              </a:defRPr>
            </a:pPr>
            <a:r>
              <a:rPr lang="en-AU" sz="1800" b="1" i="0">
                <a:solidFill>
                  <a:srgbClr val="757575"/>
                </a:solidFill>
                <a:latin typeface="Aptos Narrow"/>
              </a:rPr>
              <a:t>Debt,  CFADS &amp; DSCR</a:t>
            </a:r>
          </a:p>
        </c:rich>
      </c:tx>
      <c:overlay val="0"/>
    </c:title>
    <c:autoTitleDeleted val="0"/>
    <c:plotArea>
      <c:layout>
        <c:manualLayout>
          <c:xMode val="edge"/>
          <c:yMode val="edge"/>
          <c:x val="0.16"/>
          <c:y val="0.15916697657121601"/>
          <c:w val="0.65417637271214701"/>
          <c:h val="0.649807859179373"/>
        </c:manualLayout>
      </c:layout>
      <c:lineChart>
        <c:grouping val="standard"/>
        <c:varyColors val="1"/>
        <c:ser>
          <c:idx val="0"/>
          <c:order val="0"/>
          <c:tx>
            <c:v>Total Debt</c:v>
          </c:tx>
          <c:spPr>
            <a:ln w="19050" cmpd="sng">
              <a:solidFill>
                <a:srgbClr val="156082">
                  <a:alpha val="100000"/>
                </a:srgbClr>
              </a:solidFill>
            </a:ln>
          </c:spPr>
          <c:marker>
            <c:symbol val="none"/>
          </c:marker>
          <c:cat>
            <c:strRef>
              <c:f>'Dashboard (backup)'!$C$6:$N$6</c:f>
              <c:strCache>
                <c:ptCount val="12"/>
                <c:pt idx="0">
                  <c:v>FY25</c:v>
                </c:pt>
                <c:pt idx="1">
                  <c:v>FY26</c:v>
                </c:pt>
                <c:pt idx="2">
                  <c:v>FY27</c:v>
                </c:pt>
                <c:pt idx="3">
                  <c:v>FY28</c:v>
                </c:pt>
                <c:pt idx="4">
                  <c:v>FY29</c:v>
                </c:pt>
                <c:pt idx="5">
                  <c:v>FY30</c:v>
                </c:pt>
                <c:pt idx="6">
                  <c:v>FY31</c:v>
                </c:pt>
                <c:pt idx="7">
                  <c:v>FY32</c:v>
                </c:pt>
                <c:pt idx="8">
                  <c:v>FY33</c:v>
                </c:pt>
                <c:pt idx="9">
                  <c:v>FY34</c:v>
                </c:pt>
                <c:pt idx="10">
                  <c:v>FY35</c:v>
                </c:pt>
                <c:pt idx="11">
                  <c:v>FY36</c:v>
                </c:pt>
              </c:strCache>
            </c:strRef>
          </c:cat>
          <c:val>
            <c:numRef>
              <c:f>'Dashboard (backup)'!$B$10:$N$10</c:f>
              <c:numCache>
                <c:formatCode>\$#,##0;"($"#,##0\);\-</c:formatCode>
                <c:ptCount val="13"/>
                <c:pt idx="0" formatCode="General">
                  <c:v>0</c:v>
                </c:pt>
                <c:pt idx="1">
                  <c:v>0</c:v>
                </c:pt>
                <c:pt idx="2">
                  <c:v>0</c:v>
                </c:pt>
                <c:pt idx="3">
                  <c:v>12675915</c:v>
                </c:pt>
                <c:pt idx="4">
                  <c:v>12675915</c:v>
                </c:pt>
                <c:pt idx="5">
                  <c:v>11091425.625</c:v>
                </c:pt>
                <c:pt idx="6">
                  <c:v>9506936.25</c:v>
                </c:pt>
                <c:pt idx="7">
                  <c:v>7922446.875</c:v>
                </c:pt>
                <c:pt idx="8">
                  <c:v>6337957.5</c:v>
                </c:pt>
                <c:pt idx="9">
                  <c:v>4753468.125</c:v>
                </c:pt>
                <c:pt idx="10">
                  <c:v>3168978.75</c:v>
                </c:pt>
                <c:pt idx="11">
                  <c:v>1584489.375</c:v>
                </c:pt>
                <c:pt idx="12">
                  <c:v>0</c:v>
                </c:pt>
              </c:numCache>
            </c:numRef>
          </c:val>
          <c:smooth val="0"/>
          <c:extLst>
            <c:ext xmlns:c16="http://schemas.microsoft.com/office/drawing/2014/chart" uri="{C3380CC4-5D6E-409C-BE32-E72D297353CC}">
              <c16:uniqueId val="{00000000-EE94-40AF-A89D-14353169D299}"/>
            </c:ext>
          </c:extLst>
        </c:ser>
        <c:ser>
          <c:idx val="1"/>
          <c:order val="1"/>
          <c:tx>
            <c:v>#REF!</c:v>
          </c:tx>
          <c:spPr>
            <a:ln w="19050" cmpd="sng">
              <a:solidFill>
                <a:srgbClr val="E97132">
                  <a:alpha val="100000"/>
                </a:srgbClr>
              </a:solidFill>
            </a:ln>
          </c:spPr>
          <c:marker>
            <c:symbol val="none"/>
          </c:marker>
          <c:cat>
            <c:strRef>
              <c:f>'Dashboard (backup)'!$C$6:$N$6</c:f>
              <c:strCache>
                <c:ptCount val="12"/>
                <c:pt idx="0">
                  <c:v>FY25</c:v>
                </c:pt>
                <c:pt idx="1">
                  <c:v>FY26</c:v>
                </c:pt>
                <c:pt idx="2">
                  <c:v>FY27</c:v>
                </c:pt>
                <c:pt idx="3">
                  <c:v>FY28</c:v>
                </c:pt>
                <c:pt idx="4">
                  <c:v>FY29</c:v>
                </c:pt>
                <c:pt idx="5">
                  <c:v>FY30</c:v>
                </c:pt>
                <c:pt idx="6">
                  <c:v>FY31</c:v>
                </c:pt>
                <c:pt idx="7">
                  <c:v>FY32</c:v>
                </c:pt>
                <c:pt idx="8">
                  <c:v>FY33</c:v>
                </c:pt>
                <c:pt idx="9">
                  <c:v>FY34</c:v>
                </c:pt>
                <c:pt idx="10">
                  <c:v>FY35</c:v>
                </c:pt>
                <c:pt idx="11">
                  <c:v>FY36</c:v>
                </c:pt>
              </c:strCache>
            </c:strRef>
          </c:cat>
          <c:val>
            <c:numRef>
              <c:f>'Dashboard (backup)'!$B$11:$N$11</c:f>
              <c:numCache>
                <c:formatCode>\$#,##0;"($"#,##0\);\-</c:formatCode>
                <c:ptCount val="13"/>
                <c:pt idx="0" formatCode="General">
                  <c:v>0</c:v>
                </c:pt>
                <c:pt idx="1">
                  <c:v>0</c:v>
                </c:pt>
                <c:pt idx="2">
                  <c:v>0</c:v>
                </c:pt>
                <c:pt idx="3">
                  <c:v>0</c:v>
                </c:pt>
                <c:pt idx="4" formatCode="#,##0.00">
                  <c:v>3.7480650108967009</c:v>
                </c:pt>
                <c:pt idx="5" formatCode="#,##0.00">
                  <c:v>3.0466904338978202</c:v>
                </c:pt>
                <c:pt idx="6" formatCode="#,##0.00">
                  <c:v>3.3189553617167831</c:v>
                </c:pt>
                <c:pt idx="7" formatCode="#,##0.00">
                  <c:v>3.7480418669249009</c:v>
                </c:pt>
                <c:pt idx="8" formatCode="#,##0.00">
                  <c:v>4.046953904892197</c:v>
                </c:pt>
                <c:pt idx="9" formatCode="#,##0.00">
                  <c:v>4.1874723826887088</c:v>
                </c:pt>
                <c:pt idx="10" formatCode="#,##0.00">
                  <c:v>4.4574720293004884</c:v>
                </c:pt>
                <c:pt idx="11" formatCode="#,##0.00">
                  <c:v>4.8337591413140704</c:v>
                </c:pt>
                <c:pt idx="12" formatCode="#,##0.00">
                  <c:v>5.2771194419729879</c:v>
                </c:pt>
              </c:numCache>
            </c:numRef>
          </c:val>
          <c:smooth val="0"/>
          <c:extLst>
            <c:ext xmlns:c16="http://schemas.microsoft.com/office/drawing/2014/chart" uri="{C3380CC4-5D6E-409C-BE32-E72D297353CC}">
              <c16:uniqueId val="{00000001-EE94-40AF-A89D-14353169D299}"/>
            </c:ext>
          </c:extLst>
        </c:ser>
        <c:dLbls>
          <c:showLegendKey val="0"/>
          <c:showVal val="0"/>
          <c:showCatName val="0"/>
          <c:showSerName val="0"/>
          <c:showPercent val="0"/>
          <c:showBubbleSize val="0"/>
        </c:dLbls>
        <c:smooth val="0"/>
        <c:axId val="954000435"/>
        <c:axId val="1857081386"/>
      </c:lineChart>
      <c:catAx>
        <c:axId val="954000435"/>
        <c:scaling>
          <c:orientation val="minMax"/>
        </c:scaling>
        <c:delete val="0"/>
        <c:axPos val="b"/>
        <c:title>
          <c:tx>
            <c:rich>
              <a:bodyPr/>
              <a:lstStyle/>
              <a:p>
                <a:pPr lvl="0">
                  <a:defRPr sz="1000" b="1" i="0">
                    <a:solidFill>
                      <a:srgbClr val="000000"/>
                    </a:solidFill>
                    <a:latin typeface="Aptos Narrow"/>
                  </a:defRPr>
                </a:pPr>
                <a:r>
                  <a:rPr lang="en-AU" sz="1000" b="1" i="0">
                    <a:solidFill>
                      <a:srgbClr val="000000"/>
                    </a:solidFill>
                    <a:latin typeface="Aptos Narrow"/>
                  </a:rPr>
                  <a:t>None</a:t>
                </a:r>
              </a:p>
            </c:rich>
          </c:tx>
          <c:overlay val="0"/>
        </c:title>
        <c:numFmt formatCode="General" sourceLinked="0"/>
        <c:majorTickMark val="none"/>
        <c:minorTickMark val="none"/>
        <c:tickLblPos val="nextTo"/>
        <c:spPr>
          <a:ln>
            <a:noFill/>
          </a:ln>
        </c:spPr>
        <c:txPr>
          <a:bodyPr/>
          <a:lstStyle/>
          <a:p>
            <a:pPr lvl="0">
              <a:defRPr sz="1000" b="0" i="0">
                <a:solidFill>
                  <a:srgbClr val="000000"/>
                </a:solidFill>
                <a:latin typeface="Aptos Narrow"/>
              </a:defRPr>
            </a:pPr>
            <a:endParaRPr lang="en-US"/>
          </a:p>
        </c:txPr>
        <c:crossAx val="1857081386"/>
        <c:crosses val="autoZero"/>
        <c:auto val="1"/>
        <c:lblAlgn val="ctr"/>
        <c:lblOffset val="100"/>
        <c:noMultiLvlLbl val="1"/>
      </c:catAx>
      <c:valAx>
        <c:axId val="1857081386"/>
        <c:scaling>
          <c:orientation val="minMax"/>
        </c:scaling>
        <c:delete val="0"/>
        <c:axPos val="l"/>
        <c:majorGridlines>
          <c:spPr>
            <a:ln>
              <a:solidFill>
                <a:srgbClr val="B7B7B7"/>
              </a:solidFill>
            </a:ln>
          </c:spPr>
        </c:majorGridlines>
        <c:title>
          <c:tx>
            <c:rich>
              <a:bodyPr/>
              <a:lstStyle/>
              <a:p>
                <a:pPr lvl="0">
                  <a:defRPr sz="1000" b="1" i="0">
                    <a:solidFill>
                      <a:srgbClr val="000000"/>
                    </a:solidFill>
                    <a:latin typeface="Aptos Narrow"/>
                  </a:defRPr>
                </a:pPr>
                <a:r>
                  <a:rPr lang="en-AU" sz="1000" b="1" i="0">
                    <a:solidFill>
                      <a:srgbClr val="000000"/>
                    </a:solidFill>
                    <a:latin typeface="Aptos Narrow"/>
                  </a:rPr>
                  <a:t>AUD / x</a:t>
                </a:r>
              </a:p>
            </c:rich>
          </c:tx>
          <c:overlay val="0"/>
        </c:title>
        <c:numFmt formatCode="_(\$* #,##0.00_);_(\$* \(#,##0.00\);_(\$* \-??_);_(@_)" sourceLinked="0"/>
        <c:majorTickMark val="out"/>
        <c:minorTickMark val="none"/>
        <c:tickLblPos val="nextTo"/>
        <c:spPr>
          <a:ln/>
        </c:spPr>
        <c:txPr>
          <a:bodyPr/>
          <a:lstStyle/>
          <a:p>
            <a:pPr lvl="0">
              <a:defRPr sz="1000" b="0" i="0">
                <a:solidFill>
                  <a:srgbClr val="000000"/>
                </a:solidFill>
                <a:latin typeface="Aptos Narrow"/>
              </a:defRPr>
            </a:pPr>
            <a:endParaRPr lang="en-US"/>
          </a:p>
        </c:txPr>
        <c:crossAx val="954000435"/>
        <c:crosses val="autoZero"/>
        <c:crossBetween val="between"/>
      </c:valAx>
    </c:plotArea>
    <c:legend>
      <c:legendPos val="r"/>
      <c:overlay val="0"/>
      <c:txPr>
        <a:bodyPr/>
        <a:lstStyle/>
        <a:p>
          <a:pPr lvl="0">
            <a:defRPr sz="1000" b="0" i="0">
              <a:solidFill>
                <a:srgbClr val="1A1A1A"/>
              </a:solidFill>
              <a:latin typeface="Aptos Narrow"/>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400" b="0" i="0">
                <a:solidFill>
                  <a:srgbClr val="757575"/>
                </a:solidFill>
                <a:latin typeface="Aptos Narrow"/>
              </a:defRPr>
            </a:pPr>
            <a:r>
              <a:rPr lang="en-AU" sz="1400" b="0" i="0">
                <a:solidFill>
                  <a:srgbClr val="757575"/>
                </a:solidFill>
                <a:latin typeface="Aptos Narrow"/>
              </a:rPr>
              <a:t>Event Days Mix (Exit FY)</a:t>
            </a:r>
          </a:p>
        </c:rich>
      </c:tx>
      <c:overlay val="0"/>
    </c:title>
    <c:autoTitleDeleted val="0"/>
    <c:plotArea>
      <c:layout/>
      <c:barChart>
        <c:barDir val="col"/>
        <c:grouping val="clustered"/>
        <c:varyColors val="1"/>
        <c:ser>
          <c:idx val="0"/>
          <c:order val="0"/>
          <c:tx>
            <c:v>Days</c:v>
          </c:tx>
          <c:spPr>
            <a:solidFill>
              <a:srgbClr val="156082"/>
            </a:solidFill>
            <a:ln cmpd="sng">
              <a:noFill/>
            </a:ln>
          </c:spPr>
          <c:invertIfNegative val="1"/>
          <c:dPt>
            <c:idx val="0"/>
            <c:invertIfNegative val="1"/>
            <c:bubble3D val="0"/>
            <c:extLst>
              <c:ext xmlns:c16="http://schemas.microsoft.com/office/drawing/2014/chart" uri="{C3380CC4-5D6E-409C-BE32-E72D297353CC}">
                <c16:uniqueId val="{00000000-DDBF-470B-B04E-2D1EAC0A82F4}"/>
              </c:ext>
            </c:extLst>
          </c:dPt>
          <c:dPt>
            <c:idx val="1"/>
            <c:invertIfNegative val="1"/>
            <c:bubble3D val="0"/>
            <c:spPr>
              <a:solidFill>
                <a:srgbClr val="E97132"/>
              </a:solidFill>
              <a:ln cmpd="sng">
                <a:noFill/>
              </a:ln>
            </c:spPr>
            <c:extLst>
              <c:ext xmlns:c16="http://schemas.microsoft.com/office/drawing/2014/chart" uri="{C3380CC4-5D6E-409C-BE32-E72D297353CC}">
                <c16:uniqueId val="{00000002-DDBF-470B-B04E-2D1EAC0A82F4}"/>
              </c:ext>
            </c:extLst>
          </c:dPt>
          <c:dPt>
            <c:idx val="2"/>
            <c:invertIfNegative val="1"/>
            <c:bubble3D val="0"/>
            <c:spPr>
              <a:solidFill>
                <a:srgbClr val="196B24"/>
              </a:solidFill>
              <a:ln cmpd="sng">
                <a:noFill/>
              </a:ln>
            </c:spPr>
            <c:extLst>
              <c:ext xmlns:c16="http://schemas.microsoft.com/office/drawing/2014/chart" uri="{C3380CC4-5D6E-409C-BE32-E72D297353CC}">
                <c16:uniqueId val="{00000004-DDBF-470B-B04E-2D1EAC0A82F4}"/>
              </c:ext>
            </c:extLst>
          </c:dPt>
          <c:dPt>
            <c:idx val="3"/>
            <c:invertIfNegative val="1"/>
            <c:bubble3D val="0"/>
            <c:spPr>
              <a:solidFill>
                <a:srgbClr val="0F9ED5"/>
              </a:solidFill>
              <a:ln cmpd="sng">
                <a:noFill/>
              </a:ln>
            </c:spPr>
            <c:extLst>
              <c:ext xmlns:c16="http://schemas.microsoft.com/office/drawing/2014/chart" uri="{C3380CC4-5D6E-409C-BE32-E72D297353CC}">
                <c16:uniqueId val="{00000006-DDBF-470B-B04E-2D1EAC0A82F4}"/>
              </c:ext>
            </c:extLst>
          </c:dPt>
          <c:dPt>
            <c:idx val="4"/>
            <c:invertIfNegative val="1"/>
            <c:bubble3D val="0"/>
            <c:spPr>
              <a:solidFill>
                <a:srgbClr val="A02B93"/>
              </a:solidFill>
              <a:ln cmpd="sng">
                <a:noFill/>
              </a:ln>
            </c:spPr>
            <c:extLst>
              <c:ext xmlns:c16="http://schemas.microsoft.com/office/drawing/2014/chart" uri="{C3380CC4-5D6E-409C-BE32-E72D297353CC}">
                <c16:uniqueId val="{00000008-DDBF-470B-B04E-2D1EAC0A82F4}"/>
              </c:ext>
            </c:extLst>
          </c:dPt>
          <c:dPt>
            <c:idx val="5"/>
            <c:invertIfNegative val="1"/>
            <c:bubble3D val="0"/>
            <c:spPr>
              <a:solidFill>
                <a:srgbClr val="4EA72E"/>
              </a:solidFill>
              <a:ln cmpd="sng">
                <a:noFill/>
              </a:ln>
            </c:spPr>
            <c:extLst>
              <c:ext xmlns:c16="http://schemas.microsoft.com/office/drawing/2014/chart" uri="{C3380CC4-5D6E-409C-BE32-E72D297353CC}">
                <c16:uniqueId val="{0000000A-DDBF-470B-B04E-2D1EAC0A82F4}"/>
              </c:ext>
            </c:extLst>
          </c:dPt>
          <c:dPt>
            <c:idx val="6"/>
            <c:invertIfNegative val="1"/>
            <c:bubble3D val="0"/>
            <c:extLst>
              <c:ext xmlns:c16="http://schemas.microsoft.com/office/drawing/2014/chart" uri="{C3380CC4-5D6E-409C-BE32-E72D297353CC}">
                <c16:uniqueId val="{0000000B-DDBF-470B-B04E-2D1EAC0A82F4}"/>
              </c:ext>
            </c:extLst>
          </c:dPt>
          <c:dPt>
            <c:idx val="7"/>
            <c:invertIfNegative val="1"/>
            <c:bubble3D val="0"/>
            <c:spPr>
              <a:solidFill>
                <a:srgbClr val="E97132"/>
              </a:solidFill>
              <a:ln cmpd="sng">
                <a:noFill/>
              </a:ln>
            </c:spPr>
            <c:extLst>
              <c:ext xmlns:c16="http://schemas.microsoft.com/office/drawing/2014/chart" uri="{C3380CC4-5D6E-409C-BE32-E72D297353CC}">
                <c16:uniqueId val="{0000000D-DDBF-470B-B04E-2D1EAC0A82F4}"/>
              </c:ext>
            </c:extLst>
          </c:dPt>
          <c:dLbls>
            <c:dLbl>
              <c:idx val="0"/>
              <c:spPr/>
              <c:txPr>
                <a:bodyPr/>
                <a:lstStyle/>
                <a:p>
                  <a:pPr lvl="0">
                    <a:defRPr sz="900" b="0" i="0">
                      <a:solidFill>
                        <a:srgbClr val="000000"/>
                      </a:solidFill>
                      <a:latin typeface="Aptos Narrow"/>
                    </a:defRPr>
                  </a:pPr>
                  <a:endParaRPr lang="en-US"/>
                </a:p>
              </c:txPr>
              <c:showLegendKey val="0"/>
              <c:showVal val="1"/>
              <c:showCatName val="0"/>
              <c:showSerName val="0"/>
              <c:showPercent val="0"/>
              <c:showBubbleSize val="0"/>
              <c:extLst>
                <c:ext xmlns:c16="http://schemas.microsoft.com/office/drawing/2014/chart" uri="{C3380CC4-5D6E-409C-BE32-E72D297353CC}">
                  <c16:uniqueId val="{00000000-DDBF-470B-B04E-2D1EAC0A82F4}"/>
                </c:ext>
              </c:extLst>
            </c:dLbl>
            <c:dLbl>
              <c:idx val="1"/>
              <c:spPr/>
              <c:txPr>
                <a:bodyPr/>
                <a:lstStyle/>
                <a:p>
                  <a:pPr lvl="0">
                    <a:defRPr sz="900" b="0" i="0">
                      <a:solidFill>
                        <a:srgbClr val="000000"/>
                      </a:solidFill>
                      <a:latin typeface="Aptos Narrow"/>
                    </a:defRPr>
                  </a:pPr>
                  <a:endParaRPr lang="en-US"/>
                </a:p>
              </c:txPr>
              <c:showLegendKey val="0"/>
              <c:showVal val="1"/>
              <c:showCatName val="0"/>
              <c:showSerName val="0"/>
              <c:showPercent val="0"/>
              <c:showBubbleSize val="0"/>
              <c:extLst>
                <c:ext xmlns:c16="http://schemas.microsoft.com/office/drawing/2014/chart" uri="{C3380CC4-5D6E-409C-BE32-E72D297353CC}">
                  <c16:uniqueId val="{00000002-DDBF-470B-B04E-2D1EAC0A82F4}"/>
                </c:ext>
              </c:extLst>
            </c:dLbl>
            <c:dLbl>
              <c:idx val="2"/>
              <c:spPr/>
              <c:txPr>
                <a:bodyPr/>
                <a:lstStyle/>
                <a:p>
                  <a:pPr lvl="0">
                    <a:defRPr sz="900" b="0" i="0">
                      <a:solidFill>
                        <a:srgbClr val="000000"/>
                      </a:solidFill>
                      <a:latin typeface="Aptos Narrow"/>
                    </a:defRPr>
                  </a:pPr>
                  <a:endParaRPr lang="en-US"/>
                </a:p>
              </c:txPr>
              <c:showLegendKey val="0"/>
              <c:showVal val="1"/>
              <c:showCatName val="0"/>
              <c:showSerName val="0"/>
              <c:showPercent val="0"/>
              <c:showBubbleSize val="0"/>
              <c:extLst>
                <c:ext xmlns:c16="http://schemas.microsoft.com/office/drawing/2014/chart" uri="{C3380CC4-5D6E-409C-BE32-E72D297353CC}">
                  <c16:uniqueId val="{00000004-DDBF-470B-B04E-2D1EAC0A82F4}"/>
                </c:ext>
              </c:extLst>
            </c:dLbl>
            <c:dLbl>
              <c:idx val="3"/>
              <c:spPr/>
              <c:txPr>
                <a:bodyPr/>
                <a:lstStyle/>
                <a:p>
                  <a:pPr lvl="0">
                    <a:defRPr sz="900" b="0" i="0">
                      <a:solidFill>
                        <a:srgbClr val="000000"/>
                      </a:solidFill>
                      <a:latin typeface="Aptos Narrow"/>
                    </a:defRPr>
                  </a:pPr>
                  <a:endParaRPr lang="en-US"/>
                </a:p>
              </c:txPr>
              <c:showLegendKey val="0"/>
              <c:showVal val="1"/>
              <c:showCatName val="0"/>
              <c:showSerName val="0"/>
              <c:showPercent val="0"/>
              <c:showBubbleSize val="0"/>
              <c:extLst>
                <c:ext xmlns:c16="http://schemas.microsoft.com/office/drawing/2014/chart" uri="{C3380CC4-5D6E-409C-BE32-E72D297353CC}">
                  <c16:uniqueId val="{00000006-DDBF-470B-B04E-2D1EAC0A82F4}"/>
                </c:ext>
              </c:extLst>
            </c:dLbl>
            <c:dLbl>
              <c:idx val="4"/>
              <c:spPr/>
              <c:txPr>
                <a:bodyPr/>
                <a:lstStyle/>
                <a:p>
                  <a:pPr lvl="0">
                    <a:defRPr sz="900" b="0" i="0">
                      <a:solidFill>
                        <a:srgbClr val="000000"/>
                      </a:solidFill>
                      <a:latin typeface="Aptos Narrow"/>
                    </a:defRPr>
                  </a:pPr>
                  <a:endParaRPr lang="en-US"/>
                </a:p>
              </c:txPr>
              <c:showLegendKey val="0"/>
              <c:showVal val="1"/>
              <c:showCatName val="0"/>
              <c:showSerName val="0"/>
              <c:showPercent val="0"/>
              <c:showBubbleSize val="0"/>
              <c:extLst>
                <c:ext xmlns:c16="http://schemas.microsoft.com/office/drawing/2014/chart" uri="{C3380CC4-5D6E-409C-BE32-E72D297353CC}">
                  <c16:uniqueId val="{00000008-DDBF-470B-B04E-2D1EAC0A82F4}"/>
                </c:ext>
              </c:extLst>
            </c:dLbl>
            <c:dLbl>
              <c:idx val="5"/>
              <c:spPr/>
              <c:txPr>
                <a:bodyPr/>
                <a:lstStyle/>
                <a:p>
                  <a:pPr lvl="0">
                    <a:defRPr sz="900" b="0" i="0">
                      <a:solidFill>
                        <a:srgbClr val="000000"/>
                      </a:solidFill>
                      <a:latin typeface="Aptos Narrow"/>
                    </a:defRPr>
                  </a:pPr>
                  <a:endParaRPr lang="en-US"/>
                </a:p>
              </c:txPr>
              <c:showLegendKey val="0"/>
              <c:showVal val="1"/>
              <c:showCatName val="0"/>
              <c:showSerName val="0"/>
              <c:showPercent val="0"/>
              <c:showBubbleSize val="0"/>
              <c:extLst>
                <c:ext xmlns:c16="http://schemas.microsoft.com/office/drawing/2014/chart" uri="{C3380CC4-5D6E-409C-BE32-E72D297353CC}">
                  <c16:uniqueId val="{0000000A-DDBF-470B-B04E-2D1EAC0A82F4}"/>
                </c:ext>
              </c:extLst>
            </c:dLbl>
            <c:dLbl>
              <c:idx val="6"/>
              <c:spPr/>
              <c:txPr>
                <a:bodyPr/>
                <a:lstStyle/>
                <a:p>
                  <a:pPr lvl="0">
                    <a:defRPr sz="900" b="0" i="0">
                      <a:solidFill>
                        <a:srgbClr val="000000"/>
                      </a:solidFill>
                      <a:latin typeface="Aptos Narrow"/>
                    </a:defRPr>
                  </a:pPr>
                  <a:endParaRPr lang="en-US"/>
                </a:p>
              </c:txPr>
              <c:showLegendKey val="0"/>
              <c:showVal val="1"/>
              <c:showCatName val="0"/>
              <c:showSerName val="0"/>
              <c:showPercent val="0"/>
              <c:showBubbleSize val="0"/>
              <c:extLst>
                <c:ext xmlns:c16="http://schemas.microsoft.com/office/drawing/2014/chart" uri="{C3380CC4-5D6E-409C-BE32-E72D297353CC}">
                  <c16:uniqueId val="{0000000B-DDBF-470B-B04E-2D1EAC0A82F4}"/>
                </c:ext>
              </c:extLst>
            </c:dLbl>
            <c:dLbl>
              <c:idx val="7"/>
              <c:spPr/>
              <c:txPr>
                <a:bodyPr/>
                <a:lstStyle/>
                <a:p>
                  <a:pPr lvl="0">
                    <a:defRPr sz="900" b="0" i="0">
                      <a:solidFill>
                        <a:srgbClr val="000000"/>
                      </a:solidFill>
                      <a:latin typeface="Aptos Narrow"/>
                    </a:defRPr>
                  </a:pPr>
                  <a:endParaRPr lang="en-US"/>
                </a:p>
              </c:txPr>
              <c:showLegendKey val="0"/>
              <c:showVal val="1"/>
              <c:showCatName val="0"/>
              <c:showSerName val="0"/>
              <c:showPercent val="0"/>
              <c:showBubbleSize val="0"/>
              <c:extLst>
                <c:ext xmlns:c16="http://schemas.microsoft.com/office/drawing/2014/chart" uri="{C3380CC4-5D6E-409C-BE32-E72D297353CC}">
                  <c16:uniqueId val="{0000000D-DDBF-470B-B04E-2D1EAC0A82F4}"/>
                </c:ext>
              </c:extLst>
            </c:dLbl>
            <c:spPr>
              <a:noFill/>
              <a:ln>
                <a:noFill/>
              </a:ln>
              <a:effectLst/>
            </c:spPr>
            <c:txPr>
              <a:bodyPr/>
              <a:lstStyle/>
              <a:p>
                <a:pPr lvl="0">
                  <a:defRPr sz="900" b="0" i="0">
                    <a:solidFill>
                      <a:srgbClr val="000000"/>
                    </a:solidFill>
                    <a:latin typeface="Aptos Narrow"/>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 (backup)'!$L$52:$L$59</c:f>
              <c:strCache>
                <c:ptCount val="8"/>
                <c:pt idx="0">
                  <c:v>Music GA (all tiers)</c:v>
                </c:pt>
                <c:pt idx="1">
                  <c:v>EDM</c:v>
                </c:pt>
                <c:pt idx="2">
                  <c:v>Seated Music</c:v>
                </c:pt>
                <c:pt idx="3">
                  <c:v>Comedy</c:v>
                </c:pt>
                <c:pt idx="4">
                  <c:v>THE BEND LIVE HOUSE — EXECUTIVE DASHBOARD</c:v>
                </c:pt>
                <c:pt idx="5">
                  <c:v>MICE</c:v>
                </c:pt>
                <c:pt idx="6">
                  <c:v>Community</c:v>
                </c:pt>
                <c:pt idx="7">
                  <c:v>Live Site</c:v>
                </c:pt>
              </c:strCache>
            </c:strRef>
          </c:cat>
          <c:val>
            <c:numRef>
              <c:f>'Dashboard (backup)'!$M$52:$M$59</c:f>
              <c:numCache>
                <c:formatCode>General</c:formatCode>
                <c:ptCount val="8"/>
                <c:pt idx="0" formatCode="0">
                  <c:v>52</c:v>
                </c:pt>
                <c:pt idx="1">
                  <c:v>18</c:v>
                </c:pt>
                <c:pt idx="2">
                  <c:v>15</c:v>
                </c:pt>
                <c:pt idx="3">
                  <c:v>15</c:v>
                </c:pt>
                <c:pt idx="4">
                  <c:v>3</c:v>
                </c:pt>
                <c:pt idx="5">
                  <c:v>29</c:v>
                </c:pt>
                <c:pt idx="6">
                  <c:v>12</c:v>
                </c:pt>
                <c:pt idx="7">
                  <c:v>4</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E-DDBF-470B-B04E-2D1EAC0A82F4}"/>
            </c:ext>
          </c:extLst>
        </c:ser>
        <c:dLbls>
          <c:showLegendKey val="0"/>
          <c:showVal val="0"/>
          <c:showCatName val="0"/>
          <c:showSerName val="0"/>
          <c:showPercent val="0"/>
          <c:showBubbleSize val="0"/>
        </c:dLbls>
        <c:gapWidth val="150"/>
        <c:axId val="2050871225"/>
        <c:axId val="1145535275"/>
      </c:barChart>
      <c:catAx>
        <c:axId val="2050871225"/>
        <c:scaling>
          <c:orientation val="minMax"/>
        </c:scaling>
        <c:delete val="0"/>
        <c:axPos val="b"/>
        <c:title>
          <c:tx>
            <c:rich>
              <a:bodyPr/>
              <a:lstStyle/>
              <a:p>
                <a:pPr lvl="0">
                  <a:defRPr sz="1000" b="0" i="0">
                    <a:solidFill>
                      <a:srgbClr val="000000"/>
                    </a:solidFill>
                    <a:latin typeface="Aptos Narrow"/>
                  </a:defRPr>
                </a:pPr>
                <a:r>
                  <a:rPr lang="en-AU" sz="1000" b="0" i="0">
                    <a:solidFill>
                      <a:srgbClr val="000000"/>
                    </a:solidFill>
                    <a:latin typeface="Aptos Narrow"/>
                  </a:rPr>
                  <a:t>Event Type</a:t>
                </a:r>
              </a:p>
            </c:rich>
          </c:tx>
          <c:layout>
            <c:manualLayout>
              <c:xMode val="edge"/>
              <c:yMode val="edge"/>
              <c:x val="0.46740370898716099"/>
              <c:y val="0.90834419817470702"/>
            </c:manualLayout>
          </c:layout>
          <c:overlay val="0"/>
        </c:title>
        <c:numFmt formatCode="General" sourceLinked="0"/>
        <c:majorTickMark val="none"/>
        <c:minorTickMark val="none"/>
        <c:tickLblPos val="nextTo"/>
        <c:spPr>
          <a:ln>
            <a:noFill/>
          </a:ln>
        </c:spPr>
        <c:txPr>
          <a:bodyPr/>
          <a:lstStyle/>
          <a:p>
            <a:pPr lvl="0">
              <a:defRPr sz="900" b="0" i="0">
                <a:solidFill>
                  <a:srgbClr val="000000"/>
                </a:solidFill>
                <a:latin typeface="Aptos Narrow"/>
              </a:defRPr>
            </a:pPr>
            <a:endParaRPr lang="en-US"/>
          </a:p>
        </c:txPr>
        <c:crossAx val="1145535275"/>
        <c:crosses val="autoZero"/>
        <c:auto val="1"/>
        <c:lblAlgn val="ctr"/>
        <c:lblOffset val="100"/>
        <c:noMultiLvlLbl val="1"/>
      </c:catAx>
      <c:valAx>
        <c:axId val="1145535275"/>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Aptos Narrow"/>
                  </a:defRPr>
                </a:pPr>
                <a:r>
                  <a:rPr lang="en-AU" sz="1000" b="0" i="0">
                    <a:solidFill>
                      <a:srgbClr val="000000"/>
                    </a:solidFill>
                    <a:latin typeface="Aptos Narrow"/>
                  </a:rPr>
                  <a:t>Days</a:t>
                </a:r>
              </a:p>
            </c:rich>
          </c:tx>
          <c:overlay val="0"/>
        </c:title>
        <c:numFmt formatCode="General" sourceLinked="0"/>
        <c:majorTickMark val="none"/>
        <c:minorTickMark val="none"/>
        <c:tickLblPos val="nextTo"/>
        <c:spPr>
          <a:ln>
            <a:noFill/>
          </a:ln>
        </c:spPr>
        <c:txPr>
          <a:bodyPr/>
          <a:lstStyle/>
          <a:p>
            <a:pPr lvl="0">
              <a:defRPr sz="900" b="0" i="0">
                <a:solidFill>
                  <a:srgbClr val="000000"/>
                </a:solidFill>
                <a:latin typeface="Aptos Narrow"/>
              </a:defRPr>
            </a:pPr>
            <a:endParaRPr lang="en-US"/>
          </a:p>
        </c:txPr>
        <c:crossAx val="2050871225"/>
        <c:crosses val="autoZero"/>
        <c:crossBetween val="between"/>
      </c:valAx>
    </c:plotArea>
    <c:plotVisOnly val="1"/>
    <c:dispBlanksAs val="zero"/>
    <c:showDLblsOverMax val="1"/>
  </c:chart>
  <c:spPr>
    <a:solidFill>
      <a:srgbClr val="FFFFFF"/>
    </a:solidFill>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2000" b="1">
                <a:solidFill>
                  <a:srgbClr val="000000"/>
                </a:solidFill>
                <a:latin typeface="+mn-lt"/>
              </a:defRPr>
            </a:pPr>
            <a:r>
              <a:rPr lang="en-AU" sz="2000" b="1">
                <a:solidFill>
                  <a:srgbClr val="000000"/>
                </a:solidFill>
                <a:latin typeface="+mn-lt"/>
              </a:rPr>
              <a:t>Venue Configuration and Maximum Capacity</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bar"/>
        <c:grouping val="clustered"/>
        <c:varyColors val="1"/>
        <c:ser>
          <c:idx val="0"/>
          <c:order val="0"/>
          <c:spPr>
            <a:solidFill>
              <a:srgbClr val="00FF00"/>
            </a:solidFill>
            <a:ln cmpd="sng">
              <a:noFill/>
            </a:ln>
          </c:spPr>
          <c:invertIfNegative val="1"/>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'For Deck'!$B$32:$B$39</c:f>
              <c:strCache>
                <c:ptCount val="8"/>
                <c:pt idx="0">
                  <c:v>Music GA (Small)</c:v>
                </c:pt>
                <c:pt idx="1">
                  <c:v>Community Events</c:v>
                </c:pt>
                <c:pt idx="2">
                  <c:v>Music GA (Medium)</c:v>
                </c:pt>
                <c:pt idx="3">
                  <c:v>EDM/Dance</c:v>
                </c:pt>
                <c:pt idx="4">
                  <c:v>Seated Events</c:v>
                </c:pt>
                <c:pt idx="5">
                  <c:v>MICE/Corporate</c:v>
                </c:pt>
                <c:pt idx="6">
                  <c:v>Music GA (Large)</c:v>
                </c:pt>
                <c:pt idx="7">
                  <c:v>Max Capacity</c:v>
                </c:pt>
              </c:strCache>
            </c:strRef>
          </c:cat>
          <c:val>
            <c:numRef>
              <c:f>'For Deck'!$C$32:$C$39</c:f>
              <c:numCache>
                <c:formatCode>0.0,"K"</c:formatCode>
                <c:ptCount val="8"/>
                <c:pt idx="0">
                  <c:v>1500</c:v>
                </c:pt>
                <c:pt idx="1">
                  <c:v>2000</c:v>
                </c:pt>
                <c:pt idx="2">
                  <c:v>3000</c:v>
                </c:pt>
                <c:pt idx="3">
                  <c:v>3500</c:v>
                </c:pt>
                <c:pt idx="4">
                  <c:v>3500</c:v>
                </c:pt>
                <c:pt idx="5">
                  <c:v>3500</c:v>
                </c:pt>
                <c:pt idx="6">
                  <c:v>5000</c:v>
                </c:pt>
                <c:pt idx="7">
                  <c:v>6000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A103-421C-A665-CF0B5C7D8777}"/>
            </c:ext>
          </c:extLst>
        </c:ser>
        <c:dLbls>
          <c:showLegendKey val="0"/>
          <c:showVal val="0"/>
          <c:showCatName val="0"/>
          <c:showSerName val="0"/>
          <c:showPercent val="0"/>
          <c:showBubbleSize val="0"/>
        </c:dLbls>
        <c:gapWidth val="150"/>
        <c:shape val="box"/>
        <c:axId val="607769935"/>
        <c:axId val="1300177227"/>
        <c:axId val="0"/>
      </c:bar3DChart>
      <c:catAx>
        <c:axId val="607769935"/>
        <c:scaling>
          <c:orientation val="maxMin"/>
        </c:scaling>
        <c:delete val="0"/>
        <c:axPos val="l"/>
        <c:title>
          <c:tx>
            <c:rich>
              <a:bodyPr/>
              <a:lstStyle/>
              <a:p>
                <a:pPr lvl="0">
                  <a:defRPr b="0">
                    <a:solidFill>
                      <a:srgbClr val="000000"/>
                    </a:solidFill>
                    <a:latin typeface="+mn-lt"/>
                  </a:defRPr>
                </a:pPr>
                <a:endParaRPr lang="en-AU"/>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300177227"/>
        <c:crosses val="autoZero"/>
        <c:auto val="1"/>
        <c:lblAlgn val="ctr"/>
        <c:lblOffset val="100"/>
        <c:noMultiLvlLbl val="1"/>
      </c:catAx>
      <c:valAx>
        <c:axId val="1300177227"/>
        <c:scaling>
          <c:orientation val="minMax"/>
        </c:scaling>
        <c:delete val="0"/>
        <c:axPos val="b"/>
        <c:minorGridlines>
          <c:spPr>
            <a:ln>
              <a:solidFill>
                <a:srgbClr val="CCCCCC">
                  <a:alpha val="0"/>
                </a:srgbClr>
              </a:solidFill>
            </a:ln>
          </c:spPr>
        </c:minorGridlines>
        <c:title>
          <c:tx>
            <c:rich>
              <a:bodyPr/>
              <a:lstStyle/>
              <a:p>
                <a:pPr lvl="0">
                  <a:defRPr b="0">
                    <a:solidFill>
                      <a:srgbClr val="000000"/>
                    </a:solidFill>
                    <a:latin typeface="+mn-lt"/>
                  </a:defRPr>
                </a:pPr>
                <a:endParaRPr lang="en-AU"/>
              </a:p>
            </c:rich>
          </c:tx>
          <c:overlay val="0"/>
        </c:title>
        <c:numFmt formatCode="0.0,&quot;K&quot;" sourceLinked="1"/>
        <c:majorTickMark val="none"/>
        <c:minorTickMark val="none"/>
        <c:tickLblPos val="nextTo"/>
        <c:spPr>
          <a:ln>
            <a:noFill/>
          </a:ln>
        </c:spPr>
        <c:txPr>
          <a:bodyPr/>
          <a:lstStyle/>
          <a:p>
            <a:pPr lvl="0">
              <a:defRPr b="0">
                <a:solidFill>
                  <a:srgbClr val="000000"/>
                </a:solidFill>
                <a:latin typeface="+mn-lt"/>
              </a:defRPr>
            </a:pPr>
            <a:endParaRPr lang="en-US"/>
          </a:p>
        </c:txPr>
        <c:crossAx val="607769935"/>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2000" b="1">
                <a:solidFill>
                  <a:srgbClr val="000000"/>
                </a:solidFill>
                <a:latin typeface="+mn-lt"/>
              </a:defRPr>
            </a:pPr>
            <a:r>
              <a:rPr lang="en-AU" sz="2000" b="1">
                <a:solidFill>
                  <a:srgbClr val="000000"/>
                </a:solidFill>
                <a:latin typeface="+mn-lt"/>
              </a:rPr>
              <a:t>Event Day Mix (Exit FY)</a:t>
            </a:r>
          </a:p>
        </c:rich>
      </c:tx>
      <c:overlay val="0"/>
    </c:title>
    <c:autoTitleDeleted val="0"/>
    <c:plotArea>
      <c:layout/>
      <c:doughnutChart>
        <c:varyColors val="1"/>
        <c:ser>
          <c:idx val="0"/>
          <c:order val="0"/>
          <c:dPt>
            <c:idx val="0"/>
            <c:bubble3D val="0"/>
            <c:spPr>
              <a:solidFill>
                <a:srgbClr val="156082"/>
              </a:solidFill>
            </c:spPr>
            <c:extLst>
              <c:ext xmlns:c16="http://schemas.microsoft.com/office/drawing/2014/chart" uri="{C3380CC4-5D6E-409C-BE32-E72D297353CC}">
                <c16:uniqueId val="{00000001-601A-4E28-BA09-1B143F8E286A}"/>
              </c:ext>
            </c:extLst>
          </c:dPt>
          <c:dPt>
            <c:idx val="1"/>
            <c:bubble3D val="0"/>
            <c:spPr>
              <a:solidFill>
                <a:srgbClr val="E97132"/>
              </a:solidFill>
            </c:spPr>
            <c:extLst>
              <c:ext xmlns:c16="http://schemas.microsoft.com/office/drawing/2014/chart" uri="{C3380CC4-5D6E-409C-BE32-E72D297353CC}">
                <c16:uniqueId val="{00000003-601A-4E28-BA09-1B143F8E286A}"/>
              </c:ext>
            </c:extLst>
          </c:dPt>
          <c:dPt>
            <c:idx val="2"/>
            <c:bubble3D val="0"/>
            <c:spPr>
              <a:solidFill>
                <a:srgbClr val="196B24"/>
              </a:solidFill>
            </c:spPr>
            <c:extLst>
              <c:ext xmlns:c16="http://schemas.microsoft.com/office/drawing/2014/chart" uri="{C3380CC4-5D6E-409C-BE32-E72D297353CC}">
                <c16:uniqueId val="{00000005-601A-4E28-BA09-1B143F8E286A}"/>
              </c:ext>
            </c:extLst>
          </c:dPt>
          <c:dPt>
            <c:idx val="3"/>
            <c:bubble3D val="0"/>
            <c:spPr>
              <a:solidFill>
                <a:srgbClr val="0F9ED5"/>
              </a:solidFill>
            </c:spPr>
            <c:extLst>
              <c:ext xmlns:c16="http://schemas.microsoft.com/office/drawing/2014/chart" uri="{C3380CC4-5D6E-409C-BE32-E72D297353CC}">
                <c16:uniqueId val="{00000007-601A-4E28-BA09-1B143F8E286A}"/>
              </c:ext>
            </c:extLst>
          </c:dPt>
          <c:dPt>
            <c:idx val="4"/>
            <c:bubble3D val="0"/>
            <c:spPr>
              <a:solidFill>
                <a:srgbClr val="A02B93"/>
              </a:solidFill>
            </c:spPr>
            <c:extLst>
              <c:ext xmlns:c16="http://schemas.microsoft.com/office/drawing/2014/chart" uri="{C3380CC4-5D6E-409C-BE32-E72D297353CC}">
                <c16:uniqueId val="{00000009-601A-4E28-BA09-1B143F8E286A}"/>
              </c:ext>
            </c:extLst>
          </c:dPt>
          <c:dPt>
            <c:idx val="5"/>
            <c:bubble3D val="0"/>
            <c:spPr>
              <a:solidFill>
                <a:srgbClr val="4EA72E"/>
              </a:solidFill>
            </c:spPr>
            <c:extLst>
              <c:ext xmlns:c16="http://schemas.microsoft.com/office/drawing/2014/chart" uri="{C3380CC4-5D6E-409C-BE32-E72D297353CC}">
                <c16:uniqueId val="{0000000B-601A-4E28-BA09-1B143F8E286A}"/>
              </c:ext>
            </c:extLst>
          </c:dPt>
          <c:dPt>
            <c:idx val="6"/>
            <c:bubble3D val="0"/>
            <c:spPr>
              <a:solidFill>
                <a:srgbClr val="5B90A8"/>
              </a:solidFill>
            </c:spPr>
            <c:extLst>
              <c:ext xmlns:c16="http://schemas.microsoft.com/office/drawing/2014/chart" uri="{C3380CC4-5D6E-409C-BE32-E72D297353CC}">
                <c16:uniqueId val="{0000000D-601A-4E28-BA09-1B143F8E286A}"/>
              </c:ext>
            </c:extLst>
          </c:dPt>
          <c:dPt>
            <c:idx val="7"/>
            <c:bubble3D val="0"/>
            <c:spPr>
              <a:solidFill>
                <a:srgbClr val="F09C70"/>
              </a:solidFill>
            </c:spPr>
            <c:extLst>
              <c:ext xmlns:c16="http://schemas.microsoft.com/office/drawing/2014/chart" uri="{C3380CC4-5D6E-409C-BE32-E72D297353CC}">
                <c16:uniqueId val="{0000000F-601A-4E28-BA09-1B143F8E286A}"/>
              </c:ext>
            </c:extLst>
          </c:dPt>
          <c:dPt>
            <c:idx val="8"/>
            <c:bubble3D val="0"/>
            <c:spPr>
              <a:solidFill>
                <a:srgbClr val="5E9766"/>
              </a:solidFill>
            </c:spPr>
            <c:extLst>
              <c:ext xmlns:c16="http://schemas.microsoft.com/office/drawing/2014/chart" uri="{C3380CC4-5D6E-409C-BE32-E72D297353CC}">
                <c16:uniqueId val="{00000011-601A-4E28-BA09-1B143F8E286A}"/>
              </c:ext>
            </c:extLst>
          </c:dPt>
          <c:cat>
            <c:strRef>
              <c:f>'For Deck'!$B$74:$B$82</c:f>
              <c:strCache>
                <c:ptCount val="9"/>
                <c:pt idx="0">
                  <c:v>Music GA (all tiers)</c:v>
                </c:pt>
                <c:pt idx="1">
                  <c:v>EDM</c:v>
                </c:pt>
                <c:pt idx="2">
                  <c:v>Seated Music</c:v>
                </c:pt>
                <c:pt idx="3">
                  <c:v>Comedy</c:v>
                </c:pt>
                <c:pt idx="4">
                  <c:v>Sports</c:v>
                </c:pt>
                <c:pt idx="5">
                  <c:v>MICE</c:v>
                </c:pt>
                <c:pt idx="6">
                  <c:v>Community</c:v>
                </c:pt>
                <c:pt idx="7">
                  <c:v>Farmers Market</c:v>
                </c:pt>
                <c:pt idx="8">
                  <c:v>Live Site</c:v>
                </c:pt>
              </c:strCache>
            </c:strRef>
          </c:cat>
          <c:val>
            <c:numRef>
              <c:f>'For Deck'!$C$74:$C$82</c:f>
              <c:numCache>
                <c:formatCode>General</c:formatCode>
                <c:ptCount val="9"/>
                <c:pt idx="0" formatCode="0">
                  <c:v>52</c:v>
                </c:pt>
                <c:pt idx="1">
                  <c:v>18</c:v>
                </c:pt>
                <c:pt idx="2">
                  <c:v>15</c:v>
                </c:pt>
                <c:pt idx="3">
                  <c:v>15</c:v>
                </c:pt>
                <c:pt idx="4">
                  <c:v>3</c:v>
                </c:pt>
                <c:pt idx="5">
                  <c:v>29</c:v>
                </c:pt>
                <c:pt idx="6">
                  <c:v>12</c:v>
                </c:pt>
                <c:pt idx="7">
                  <c:v>26</c:v>
                </c:pt>
                <c:pt idx="8">
                  <c:v>4</c:v>
                </c:pt>
              </c:numCache>
            </c:numRef>
          </c:val>
          <c:extLst>
            <c:ext xmlns:c16="http://schemas.microsoft.com/office/drawing/2014/chart" uri="{C3380CC4-5D6E-409C-BE32-E72D297353CC}">
              <c16:uniqueId val="{00000012-601A-4E28-BA09-1B143F8E286A}"/>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2000" b="1">
                <a:solidFill>
                  <a:srgbClr val="000000"/>
                </a:solidFill>
                <a:latin typeface="+mn-lt"/>
              </a:defRPr>
            </a:pPr>
            <a:r>
              <a:rPr lang="en-AU" sz="2000" b="1">
                <a:solidFill>
                  <a:srgbClr val="000000"/>
                </a:solidFill>
                <a:latin typeface="+mn-lt"/>
              </a:rPr>
              <a:t>Event days Mix (Stabilized FY)</a:t>
            </a:r>
          </a:p>
        </c:rich>
      </c:tx>
      <c:overlay val="0"/>
    </c:title>
    <c:autoTitleDeleted val="0"/>
    <c:plotArea>
      <c:layout/>
      <c:doughnutChart>
        <c:varyColors val="1"/>
        <c:ser>
          <c:idx val="0"/>
          <c:order val="0"/>
          <c:tx>
            <c:strRef>
              <c:f>'For Deck'!$F$72:$F$73</c:f>
              <c:strCache>
                <c:ptCount val="2"/>
                <c:pt idx="0">
                  <c:v>EVENT DAYS MIX (STABILIZED FY)</c:v>
                </c:pt>
                <c:pt idx="1">
                  <c:v>Days</c:v>
                </c:pt>
              </c:strCache>
            </c:strRef>
          </c:tx>
          <c:dPt>
            <c:idx val="0"/>
            <c:bubble3D val="0"/>
            <c:spPr>
              <a:solidFill>
                <a:srgbClr val="156082"/>
              </a:solidFill>
            </c:spPr>
            <c:extLst>
              <c:ext xmlns:c16="http://schemas.microsoft.com/office/drawing/2014/chart" uri="{C3380CC4-5D6E-409C-BE32-E72D297353CC}">
                <c16:uniqueId val="{00000001-C072-4E2A-ABF0-238447AC4A40}"/>
              </c:ext>
            </c:extLst>
          </c:dPt>
          <c:dPt>
            <c:idx val="1"/>
            <c:bubble3D val="0"/>
            <c:spPr>
              <a:solidFill>
                <a:srgbClr val="E97132"/>
              </a:solidFill>
            </c:spPr>
            <c:extLst>
              <c:ext xmlns:c16="http://schemas.microsoft.com/office/drawing/2014/chart" uri="{C3380CC4-5D6E-409C-BE32-E72D297353CC}">
                <c16:uniqueId val="{00000003-C072-4E2A-ABF0-238447AC4A40}"/>
              </c:ext>
            </c:extLst>
          </c:dPt>
          <c:dPt>
            <c:idx val="2"/>
            <c:bubble3D val="0"/>
            <c:spPr>
              <a:solidFill>
                <a:srgbClr val="196B24"/>
              </a:solidFill>
            </c:spPr>
            <c:extLst>
              <c:ext xmlns:c16="http://schemas.microsoft.com/office/drawing/2014/chart" uri="{C3380CC4-5D6E-409C-BE32-E72D297353CC}">
                <c16:uniqueId val="{00000005-C072-4E2A-ABF0-238447AC4A40}"/>
              </c:ext>
            </c:extLst>
          </c:dPt>
          <c:dPt>
            <c:idx val="3"/>
            <c:bubble3D val="0"/>
            <c:spPr>
              <a:solidFill>
                <a:srgbClr val="0F9ED5"/>
              </a:solidFill>
            </c:spPr>
            <c:extLst>
              <c:ext xmlns:c16="http://schemas.microsoft.com/office/drawing/2014/chart" uri="{C3380CC4-5D6E-409C-BE32-E72D297353CC}">
                <c16:uniqueId val="{00000007-C072-4E2A-ABF0-238447AC4A40}"/>
              </c:ext>
            </c:extLst>
          </c:dPt>
          <c:dPt>
            <c:idx val="4"/>
            <c:bubble3D val="0"/>
            <c:spPr>
              <a:solidFill>
                <a:srgbClr val="A02B93"/>
              </a:solidFill>
            </c:spPr>
            <c:extLst>
              <c:ext xmlns:c16="http://schemas.microsoft.com/office/drawing/2014/chart" uri="{C3380CC4-5D6E-409C-BE32-E72D297353CC}">
                <c16:uniqueId val="{00000009-C072-4E2A-ABF0-238447AC4A40}"/>
              </c:ext>
            </c:extLst>
          </c:dPt>
          <c:dPt>
            <c:idx val="5"/>
            <c:bubble3D val="0"/>
            <c:spPr>
              <a:solidFill>
                <a:srgbClr val="4EA72E"/>
              </a:solidFill>
            </c:spPr>
            <c:extLst>
              <c:ext xmlns:c16="http://schemas.microsoft.com/office/drawing/2014/chart" uri="{C3380CC4-5D6E-409C-BE32-E72D297353CC}">
                <c16:uniqueId val="{0000000B-C072-4E2A-ABF0-238447AC4A40}"/>
              </c:ext>
            </c:extLst>
          </c:dPt>
          <c:dPt>
            <c:idx val="6"/>
            <c:bubble3D val="0"/>
            <c:spPr>
              <a:solidFill>
                <a:srgbClr val="5B90A8"/>
              </a:solidFill>
            </c:spPr>
            <c:extLst>
              <c:ext xmlns:c16="http://schemas.microsoft.com/office/drawing/2014/chart" uri="{C3380CC4-5D6E-409C-BE32-E72D297353CC}">
                <c16:uniqueId val="{0000000D-C072-4E2A-ABF0-238447AC4A40}"/>
              </c:ext>
            </c:extLst>
          </c:dPt>
          <c:dPt>
            <c:idx val="7"/>
            <c:bubble3D val="0"/>
            <c:spPr>
              <a:solidFill>
                <a:srgbClr val="F09C70"/>
              </a:solidFill>
            </c:spPr>
            <c:extLst>
              <c:ext xmlns:c16="http://schemas.microsoft.com/office/drawing/2014/chart" uri="{C3380CC4-5D6E-409C-BE32-E72D297353CC}">
                <c16:uniqueId val="{0000000F-C072-4E2A-ABF0-238447AC4A40}"/>
              </c:ext>
            </c:extLst>
          </c:dPt>
          <c:dPt>
            <c:idx val="8"/>
            <c:bubble3D val="0"/>
            <c:spPr>
              <a:solidFill>
                <a:srgbClr val="5E9766"/>
              </a:solidFill>
            </c:spPr>
            <c:extLst>
              <c:ext xmlns:c16="http://schemas.microsoft.com/office/drawing/2014/chart" uri="{C3380CC4-5D6E-409C-BE32-E72D297353CC}">
                <c16:uniqueId val="{00000011-C072-4E2A-ABF0-238447AC4A40}"/>
              </c:ext>
            </c:extLst>
          </c:dPt>
          <c:cat>
            <c:strRef>
              <c:f>'For Deck'!$E$74:$E$82</c:f>
              <c:strCache>
                <c:ptCount val="9"/>
                <c:pt idx="0">
                  <c:v>Music GA (all tiers)</c:v>
                </c:pt>
                <c:pt idx="1">
                  <c:v>EDM</c:v>
                </c:pt>
                <c:pt idx="2">
                  <c:v>Seated Music</c:v>
                </c:pt>
                <c:pt idx="3">
                  <c:v>Comedy</c:v>
                </c:pt>
                <c:pt idx="4">
                  <c:v>Sports</c:v>
                </c:pt>
                <c:pt idx="5">
                  <c:v>MICE</c:v>
                </c:pt>
                <c:pt idx="6">
                  <c:v>Community</c:v>
                </c:pt>
                <c:pt idx="7">
                  <c:v>Farmers Market</c:v>
                </c:pt>
                <c:pt idx="8">
                  <c:v>Live Site</c:v>
                </c:pt>
              </c:strCache>
            </c:strRef>
          </c:cat>
          <c:val>
            <c:numRef>
              <c:f>'For Deck'!$F$74:$F$82</c:f>
              <c:numCache>
                <c:formatCode>0</c:formatCode>
                <c:ptCount val="9"/>
                <c:pt idx="0">
                  <c:v>48.516000000000005</c:v>
                </c:pt>
                <c:pt idx="1">
                  <c:v>16.794</c:v>
                </c:pt>
                <c:pt idx="2">
                  <c:v>13.995000000000001</c:v>
                </c:pt>
                <c:pt idx="3">
                  <c:v>13.995000000000001</c:v>
                </c:pt>
                <c:pt idx="4">
                  <c:v>2.7990000000000004</c:v>
                </c:pt>
                <c:pt idx="5">
                  <c:v>27.057000000000002</c:v>
                </c:pt>
                <c:pt idx="6">
                  <c:v>11.196000000000002</c:v>
                </c:pt>
                <c:pt idx="7">
                  <c:v>24.258000000000003</c:v>
                </c:pt>
                <c:pt idx="8">
                  <c:v>3.7320000000000002</c:v>
                </c:pt>
              </c:numCache>
            </c:numRef>
          </c:val>
          <c:extLst>
            <c:ext xmlns:c16="http://schemas.microsoft.com/office/drawing/2014/chart" uri="{C3380CC4-5D6E-409C-BE32-E72D297353CC}">
              <c16:uniqueId val="{00000012-C072-4E2A-ABF0-238447AC4A40}"/>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2000" b="1">
                <a:solidFill>
                  <a:srgbClr val="000000"/>
                </a:solidFill>
                <a:latin typeface="+mn-lt"/>
              </a:defRPr>
            </a:pPr>
            <a:r>
              <a:rPr lang="en-AU" sz="2000" b="1">
                <a:solidFill>
                  <a:srgbClr val="000000"/>
                </a:solidFill>
                <a:latin typeface="+mn-lt"/>
              </a:rPr>
              <a:t>Revenue Mix (Exit FY)</a:t>
            </a:r>
          </a:p>
        </c:rich>
      </c:tx>
      <c:overlay val="0"/>
    </c:title>
    <c:autoTitleDeleted val="0"/>
    <c:plotArea>
      <c:layout/>
      <c:doughnutChart>
        <c:varyColors val="1"/>
        <c:ser>
          <c:idx val="0"/>
          <c:order val="0"/>
          <c:tx>
            <c:strRef>
              <c:f>'Inputs for Dashboard'!$F$103</c:f>
              <c:strCache>
                <c:ptCount val="1"/>
              </c:strCache>
            </c:strRef>
          </c:tx>
          <c:dPt>
            <c:idx val="0"/>
            <c:bubble3D val="0"/>
            <c:spPr>
              <a:solidFill>
                <a:srgbClr val="156082"/>
              </a:solidFill>
            </c:spPr>
            <c:extLst>
              <c:ext xmlns:c16="http://schemas.microsoft.com/office/drawing/2014/chart" uri="{C3380CC4-5D6E-409C-BE32-E72D297353CC}">
                <c16:uniqueId val="{00000001-366E-417C-8AB4-1A8C8F831C62}"/>
              </c:ext>
            </c:extLst>
          </c:dPt>
          <c:dPt>
            <c:idx val="1"/>
            <c:bubble3D val="0"/>
            <c:spPr>
              <a:solidFill>
                <a:srgbClr val="E97132"/>
              </a:solidFill>
            </c:spPr>
            <c:extLst>
              <c:ext xmlns:c16="http://schemas.microsoft.com/office/drawing/2014/chart" uri="{C3380CC4-5D6E-409C-BE32-E72D297353CC}">
                <c16:uniqueId val="{00000003-366E-417C-8AB4-1A8C8F831C62}"/>
              </c:ext>
            </c:extLst>
          </c:dPt>
          <c:dPt>
            <c:idx val="2"/>
            <c:bubble3D val="0"/>
            <c:spPr>
              <a:solidFill>
                <a:srgbClr val="196B24"/>
              </a:solidFill>
            </c:spPr>
            <c:extLst>
              <c:ext xmlns:c16="http://schemas.microsoft.com/office/drawing/2014/chart" uri="{C3380CC4-5D6E-409C-BE32-E72D297353CC}">
                <c16:uniqueId val="{00000005-366E-417C-8AB4-1A8C8F831C62}"/>
              </c:ext>
            </c:extLst>
          </c:dPt>
          <c:dPt>
            <c:idx val="3"/>
            <c:bubble3D val="0"/>
            <c:spPr>
              <a:solidFill>
                <a:srgbClr val="0F9ED5"/>
              </a:solidFill>
            </c:spPr>
            <c:extLst>
              <c:ext xmlns:c16="http://schemas.microsoft.com/office/drawing/2014/chart" uri="{C3380CC4-5D6E-409C-BE32-E72D297353CC}">
                <c16:uniqueId val="{00000007-366E-417C-8AB4-1A8C8F831C62}"/>
              </c:ext>
            </c:extLst>
          </c:dPt>
          <c:dPt>
            <c:idx val="4"/>
            <c:bubble3D val="0"/>
            <c:spPr>
              <a:solidFill>
                <a:srgbClr val="A02B93"/>
              </a:solidFill>
            </c:spPr>
            <c:extLst>
              <c:ext xmlns:c16="http://schemas.microsoft.com/office/drawing/2014/chart" uri="{C3380CC4-5D6E-409C-BE32-E72D297353CC}">
                <c16:uniqueId val="{00000009-366E-417C-8AB4-1A8C8F831C62}"/>
              </c:ext>
            </c:extLst>
          </c:dPt>
          <c:dPt>
            <c:idx val="5"/>
            <c:bubble3D val="0"/>
            <c:spPr>
              <a:solidFill>
                <a:srgbClr val="4EA72E"/>
              </a:solidFill>
            </c:spPr>
            <c:extLst>
              <c:ext xmlns:c16="http://schemas.microsoft.com/office/drawing/2014/chart" uri="{C3380CC4-5D6E-409C-BE32-E72D297353CC}">
                <c16:uniqueId val="{0000000B-366E-417C-8AB4-1A8C8F831C62}"/>
              </c:ext>
            </c:extLst>
          </c:dPt>
          <c:dPt>
            <c:idx val="6"/>
            <c:bubble3D val="0"/>
            <c:spPr>
              <a:solidFill>
                <a:srgbClr val="5B90A8"/>
              </a:solidFill>
            </c:spPr>
            <c:extLst>
              <c:ext xmlns:c16="http://schemas.microsoft.com/office/drawing/2014/chart" uri="{C3380CC4-5D6E-409C-BE32-E72D297353CC}">
                <c16:uniqueId val="{0000000D-366E-417C-8AB4-1A8C8F831C62}"/>
              </c:ext>
            </c:extLst>
          </c:dPt>
          <c:dPt>
            <c:idx val="7"/>
            <c:bubble3D val="0"/>
            <c:spPr>
              <a:solidFill>
                <a:srgbClr val="F09C70"/>
              </a:solidFill>
            </c:spPr>
            <c:extLst>
              <c:ext xmlns:c16="http://schemas.microsoft.com/office/drawing/2014/chart" uri="{C3380CC4-5D6E-409C-BE32-E72D297353CC}">
                <c16:uniqueId val="{0000000F-366E-417C-8AB4-1A8C8F831C62}"/>
              </c:ext>
            </c:extLst>
          </c:dPt>
          <c:dPt>
            <c:idx val="8"/>
            <c:bubble3D val="0"/>
            <c:spPr>
              <a:solidFill>
                <a:srgbClr val="5E9766"/>
              </a:solidFill>
            </c:spPr>
            <c:extLst>
              <c:ext xmlns:c16="http://schemas.microsoft.com/office/drawing/2014/chart" uri="{C3380CC4-5D6E-409C-BE32-E72D297353CC}">
                <c16:uniqueId val="{00000011-366E-417C-8AB4-1A8C8F831C62}"/>
              </c:ext>
            </c:extLst>
          </c:dPt>
          <c:cat>
            <c:strRef>
              <c:f>'Inputs for Dashboard'!$E$104:$E$112</c:f>
              <c:strCache>
                <c:ptCount val="9"/>
                <c:pt idx="0">
                  <c:v>VHA (Venue Hire)</c:v>
                </c:pt>
                <c:pt idx="1">
                  <c:v>Premium Sales</c:v>
                </c:pt>
                <c:pt idx="2">
                  <c:v>Premium F&amp;B</c:v>
                </c:pt>
                <c:pt idx="3">
                  <c:v>F&amp;B</c:v>
                </c:pt>
                <c:pt idx="4">
                  <c:v>Merchandise</c:v>
                </c:pt>
                <c:pt idx="5">
                  <c:v>Facilities Fee</c:v>
                </c:pt>
                <c:pt idx="6">
                  <c:v>Equipment Hire</c:v>
                </c:pt>
                <c:pt idx="7">
                  <c:v>Sponsorship</c:v>
                </c:pt>
                <c:pt idx="8">
                  <c:v>Advertising</c:v>
                </c:pt>
              </c:strCache>
            </c:strRef>
          </c:cat>
          <c:val>
            <c:numRef>
              <c:f>'Inputs for Dashboard'!$F$104:$F$112</c:f>
              <c:numCache>
                <c:formatCode>\$#,##0;"($"#,##0\);\-</c:formatCode>
                <c:ptCount val="9"/>
                <c:pt idx="0">
                  <c:v>7723631.2311432613</c:v>
                </c:pt>
                <c:pt idx="1">
                  <c:v>1084742.1055876082</c:v>
                </c:pt>
                <c:pt idx="2">
                  <c:v>182520</c:v>
                </c:pt>
                <c:pt idx="3">
                  <c:v>8690093.4291223064</c:v>
                </c:pt>
                <c:pt idx="4">
                  <c:v>832800</c:v>
                </c:pt>
                <c:pt idx="5">
                  <c:v>1344000</c:v>
                </c:pt>
                <c:pt idx="6">
                  <c:v>2610000</c:v>
                </c:pt>
                <c:pt idx="7">
                  <c:v>2368156.4067632607</c:v>
                </c:pt>
                <c:pt idx="8">
                  <c:v>736048.61291290494</c:v>
                </c:pt>
              </c:numCache>
            </c:numRef>
          </c:val>
          <c:extLst>
            <c:ext xmlns:c16="http://schemas.microsoft.com/office/drawing/2014/chart" uri="{C3380CC4-5D6E-409C-BE32-E72D297353CC}">
              <c16:uniqueId val="{00000012-366E-417C-8AB4-1A8C8F831C62}"/>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2000" b="1">
                <a:solidFill>
                  <a:srgbClr val="000000"/>
                </a:solidFill>
                <a:latin typeface="+mn-lt"/>
              </a:defRPr>
            </a:pPr>
            <a:r>
              <a:rPr lang="en-AU" sz="2000" b="1">
                <a:solidFill>
                  <a:srgbClr val="000000"/>
                </a:solidFill>
                <a:latin typeface="+mn-lt"/>
              </a:rPr>
              <a:t>Revenue Mix (Stabilized FY)</a:t>
            </a:r>
          </a:p>
        </c:rich>
      </c:tx>
      <c:overlay val="0"/>
    </c:title>
    <c:autoTitleDeleted val="0"/>
    <c:plotArea>
      <c:layout/>
      <c:doughnutChart>
        <c:varyColors val="1"/>
        <c:ser>
          <c:idx val="0"/>
          <c:order val="0"/>
          <c:tx>
            <c:strRef>
              <c:f>'Inputs for Dashboard'!$C$103</c:f>
              <c:strCache>
                <c:ptCount val="1"/>
              </c:strCache>
            </c:strRef>
          </c:tx>
          <c:dPt>
            <c:idx val="0"/>
            <c:bubble3D val="0"/>
            <c:spPr>
              <a:solidFill>
                <a:srgbClr val="156082"/>
              </a:solidFill>
            </c:spPr>
            <c:extLst>
              <c:ext xmlns:c16="http://schemas.microsoft.com/office/drawing/2014/chart" uri="{C3380CC4-5D6E-409C-BE32-E72D297353CC}">
                <c16:uniqueId val="{00000001-9647-4906-BBE4-BD2593677627}"/>
              </c:ext>
            </c:extLst>
          </c:dPt>
          <c:dPt>
            <c:idx val="1"/>
            <c:bubble3D val="0"/>
            <c:spPr>
              <a:solidFill>
                <a:srgbClr val="E97132"/>
              </a:solidFill>
            </c:spPr>
            <c:extLst>
              <c:ext xmlns:c16="http://schemas.microsoft.com/office/drawing/2014/chart" uri="{C3380CC4-5D6E-409C-BE32-E72D297353CC}">
                <c16:uniqueId val="{00000003-9647-4906-BBE4-BD2593677627}"/>
              </c:ext>
            </c:extLst>
          </c:dPt>
          <c:dPt>
            <c:idx val="2"/>
            <c:bubble3D val="0"/>
            <c:spPr>
              <a:solidFill>
                <a:srgbClr val="196B24"/>
              </a:solidFill>
            </c:spPr>
            <c:extLst>
              <c:ext xmlns:c16="http://schemas.microsoft.com/office/drawing/2014/chart" uri="{C3380CC4-5D6E-409C-BE32-E72D297353CC}">
                <c16:uniqueId val="{00000005-9647-4906-BBE4-BD2593677627}"/>
              </c:ext>
            </c:extLst>
          </c:dPt>
          <c:dPt>
            <c:idx val="3"/>
            <c:bubble3D val="0"/>
            <c:spPr>
              <a:solidFill>
                <a:srgbClr val="0F9ED5"/>
              </a:solidFill>
            </c:spPr>
            <c:extLst>
              <c:ext xmlns:c16="http://schemas.microsoft.com/office/drawing/2014/chart" uri="{C3380CC4-5D6E-409C-BE32-E72D297353CC}">
                <c16:uniqueId val="{00000007-9647-4906-BBE4-BD2593677627}"/>
              </c:ext>
            </c:extLst>
          </c:dPt>
          <c:dPt>
            <c:idx val="4"/>
            <c:bubble3D val="0"/>
            <c:spPr>
              <a:solidFill>
                <a:srgbClr val="A02B93"/>
              </a:solidFill>
            </c:spPr>
            <c:extLst>
              <c:ext xmlns:c16="http://schemas.microsoft.com/office/drawing/2014/chart" uri="{C3380CC4-5D6E-409C-BE32-E72D297353CC}">
                <c16:uniqueId val="{00000009-9647-4906-BBE4-BD2593677627}"/>
              </c:ext>
            </c:extLst>
          </c:dPt>
          <c:dPt>
            <c:idx val="5"/>
            <c:bubble3D val="0"/>
            <c:spPr>
              <a:solidFill>
                <a:srgbClr val="4EA72E"/>
              </a:solidFill>
            </c:spPr>
            <c:extLst>
              <c:ext xmlns:c16="http://schemas.microsoft.com/office/drawing/2014/chart" uri="{C3380CC4-5D6E-409C-BE32-E72D297353CC}">
                <c16:uniqueId val="{0000000B-9647-4906-BBE4-BD2593677627}"/>
              </c:ext>
            </c:extLst>
          </c:dPt>
          <c:dPt>
            <c:idx val="6"/>
            <c:bubble3D val="0"/>
            <c:spPr>
              <a:solidFill>
                <a:srgbClr val="5B90A8"/>
              </a:solidFill>
            </c:spPr>
            <c:extLst>
              <c:ext xmlns:c16="http://schemas.microsoft.com/office/drawing/2014/chart" uri="{C3380CC4-5D6E-409C-BE32-E72D297353CC}">
                <c16:uniqueId val="{0000000D-9647-4906-BBE4-BD2593677627}"/>
              </c:ext>
            </c:extLst>
          </c:dPt>
          <c:dPt>
            <c:idx val="7"/>
            <c:bubble3D val="0"/>
            <c:spPr>
              <a:solidFill>
                <a:srgbClr val="F09C70"/>
              </a:solidFill>
            </c:spPr>
            <c:extLst>
              <c:ext xmlns:c16="http://schemas.microsoft.com/office/drawing/2014/chart" uri="{C3380CC4-5D6E-409C-BE32-E72D297353CC}">
                <c16:uniqueId val="{0000000F-9647-4906-BBE4-BD2593677627}"/>
              </c:ext>
            </c:extLst>
          </c:dPt>
          <c:dPt>
            <c:idx val="8"/>
            <c:bubble3D val="0"/>
            <c:spPr>
              <a:solidFill>
                <a:srgbClr val="5E9766"/>
              </a:solidFill>
            </c:spPr>
            <c:extLst>
              <c:ext xmlns:c16="http://schemas.microsoft.com/office/drawing/2014/chart" uri="{C3380CC4-5D6E-409C-BE32-E72D297353CC}">
                <c16:uniqueId val="{00000011-9647-4906-BBE4-BD2593677627}"/>
              </c:ext>
            </c:extLst>
          </c:dPt>
          <c:cat>
            <c:strRef>
              <c:f>'Inputs for Dashboard'!$B$104:$B$112</c:f>
              <c:strCache>
                <c:ptCount val="9"/>
                <c:pt idx="0">
                  <c:v>VHA (Venue Hire)</c:v>
                </c:pt>
                <c:pt idx="1">
                  <c:v>Premium Sales</c:v>
                </c:pt>
                <c:pt idx="2">
                  <c:v>Premium F&amp;B</c:v>
                </c:pt>
                <c:pt idx="3">
                  <c:v>F&amp;B</c:v>
                </c:pt>
                <c:pt idx="4">
                  <c:v>Merchandise</c:v>
                </c:pt>
                <c:pt idx="5">
                  <c:v>Facilities Fee</c:v>
                </c:pt>
                <c:pt idx="6">
                  <c:v>Equipment Hire</c:v>
                </c:pt>
                <c:pt idx="7">
                  <c:v>Sponsorship</c:v>
                </c:pt>
                <c:pt idx="8">
                  <c:v>Advertising</c:v>
                </c:pt>
              </c:strCache>
            </c:strRef>
          </c:cat>
          <c:val>
            <c:numRef>
              <c:f>'Inputs for Dashboard'!$C$104:$C$112</c:f>
              <c:numCache>
                <c:formatCode>\$#,##0;"($"#,##0\);\-</c:formatCode>
                <c:ptCount val="9"/>
                <c:pt idx="0">
                  <c:v>5688599.726607901</c:v>
                </c:pt>
                <c:pt idx="1">
                  <c:v>798932.97085499985</c:v>
                </c:pt>
                <c:pt idx="2">
                  <c:v>170291.16000000003</c:v>
                </c:pt>
                <c:pt idx="3">
                  <c:v>6943848</c:v>
                </c:pt>
                <c:pt idx="4">
                  <c:v>777002.4</c:v>
                </c:pt>
                <c:pt idx="5">
                  <c:v>1253952.0000000002</c:v>
                </c:pt>
                <c:pt idx="6">
                  <c:v>2435130</c:v>
                </c:pt>
                <c:pt idx="7">
                  <c:v>1943656.25</c:v>
                </c:pt>
                <c:pt idx="8">
                  <c:v>604109.37499999977</c:v>
                </c:pt>
              </c:numCache>
            </c:numRef>
          </c:val>
          <c:extLst>
            <c:ext xmlns:c16="http://schemas.microsoft.com/office/drawing/2014/chart" uri="{C3380CC4-5D6E-409C-BE32-E72D297353CC}">
              <c16:uniqueId val="{00000012-9647-4906-BBE4-BD2593677627}"/>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2000" b="1" i="0">
                <a:solidFill>
                  <a:srgbClr val="000000"/>
                </a:solidFill>
                <a:latin typeface="Aptos Narrow"/>
              </a:defRPr>
            </a:pPr>
            <a:r>
              <a:rPr lang="en-AU" sz="2000" b="1" i="0">
                <a:solidFill>
                  <a:srgbClr val="000000"/>
                </a:solidFill>
                <a:latin typeface="Aptos Narrow"/>
              </a:rPr>
              <a:t>Annual Dividends &amp; Community Fund Contributions</a:t>
            </a:r>
          </a:p>
        </c:rich>
      </c:tx>
      <c:overlay val="0"/>
    </c:title>
    <c:autoTitleDeleted val="0"/>
    <c:plotArea>
      <c:layout/>
      <c:barChart>
        <c:barDir val="col"/>
        <c:grouping val="clustered"/>
        <c:varyColors val="1"/>
        <c:ser>
          <c:idx val="0"/>
          <c:order val="0"/>
          <c:tx>
            <c:v>Dividends</c:v>
          </c:tx>
          <c:spPr>
            <a:solidFill>
              <a:srgbClr val="00FF00"/>
            </a:solidFill>
            <a:ln cmpd="sng">
              <a:noFill/>
            </a:ln>
          </c:spPr>
          <c:invertIfNegative val="1"/>
          <c:dPt>
            <c:idx val="10"/>
            <c:invertIfNegative val="1"/>
            <c:bubble3D val="0"/>
            <c:extLst>
              <c:ext xmlns:c16="http://schemas.microsoft.com/office/drawing/2014/chart" uri="{C3380CC4-5D6E-409C-BE32-E72D297353CC}">
                <c16:uniqueId val="{00000000-B5CC-4EF1-BEEB-E66B88F80E84}"/>
              </c:ext>
            </c:extLst>
          </c:dPt>
          <c:dLbls>
            <c:spPr>
              <a:noFill/>
              <a:ln>
                <a:noFill/>
              </a:ln>
              <a:effectLst/>
            </c:spPr>
            <c:txPr>
              <a:bodyPr/>
              <a:lstStyle/>
              <a:p>
                <a:pPr lvl="0">
                  <a:defRPr sz="1000" b="1"/>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'Inputs for Dashboard'!$D$131:$N$131</c:f>
              <c:strCache>
                <c:ptCount val="11"/>
                <c:pt idx="0">
                  <c:v>FY26</c:v>
                </c:pt>
                <c:pt idx="1">
                  <c:v>FY27</c:v>
                </c:pt>
                <c:pt idx="2">
                  <c:v>FY28</c:v>
                </c:pt>
                <c:pt idx="3">
                  <c:v>FY29</c:v>
                </c:pt>
                <c:pt idx="4">
                  <c:v>FY30</c:v>
                </c:pt>
                <c:pt idx="5">
                  <c:v>FY31</c:v>
                </c:pt>
                <c:pt idx="6">
                  <c:v>FY32</c:v>
                </c:pt>
                <c:pt idx="7">
                  <c:v>FY33</c:v>
                </c:pt>
                <c:pt idx="8">
                  <c:v>FY34</c:v>
                </c:pt>
                <c:pt idx="9">
                  <c:v>FY35</c:v>
                </c:pt>
                <c:pt idx="10">
                  <c:v>FY36</c:v>
                </c:pt>
              </c:strCache>
            </c:strRef>
          </c:cat>
          <c:val>
            <c:numRef>
              <c:f>'Inputs for Dashboard'!$D$132:$N$132</c:f>
              <c:numCache>
                <c:formatCode>\ \ \ \ \$0,,"M"</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B5CC-4EF1-BEEB-E66B88F80E84}"/>
            </c:ext>
          </c:extLst>
        </c:ser>
        <c:dLbls>
          <c:showLegendKey val="0"/>
          <c:showVal val="0"/>
          <c:showCatName val="0"/>
          <c:showSerName val="0"/>
          <c:showPercent val="0"/>
          <c:showBubbleSize val="0"/>
        </c:dLbls>
        <c:gapWidth val="150"/>
        <c:axId val="617415028"/>
        <c:axId val="128362132"/>
      </c:barChart>
      <c:catAx>
        <c:axId val="617415028"/>
        <c:scaling>
          <c:orientation val="minMax"/>
        </c:scaling>
        <c:delete val="0"/>
        <c:axPos val="b"/>
        <c:title>
          <c:tx>
            <c:rich>
              <a:bodyPr/>
              <a:lstStyle/>
              <a:p>
                <a:pPr lvl="0">
                  <a:defRPr b="0">
                    <a:solidFill>
                      <a:srgbClr val="000000"/>
                    </a:solidFill>
                    <a:latin typeface="+mn-lt"/>
                  </a:defRPr>
                </a:pPr>
                <a:endParaRPr lang="en-AU"/>
              </a:p>
            </c:rich>
          </c:tx>
          <c:overlay val="0"/>
        </c:title>
        <c:numFmt formatCode="General" sourceLinked="0"/>
        <c:majorTickMark val="none"/>
        <c:minorTickMark val="none"/>
        <c:tickLblPos val="nextTo"/>
        <c:spPr>
          <a:ln>
            <a:noFill/>
          </a:ln>
        </c:spPr>
        <c:txPr>
          <a:bodyPr/>
          <a:lstStyle/>
          <a:p>
            <a:pPr lvl="0">
              <a:defRPr sz="900" b="0" i="0">
                <a:solidFill>
                  <a:srgbClr val="595959"/>
                </a:solidFill>
                <a:latin typeface="Aptos Narrow"/>
              </a:defRPr>
            </a:pPr>
            <a:endParaRPr lang="en-US"/>
          </a:p>
        </c:txPr>
        <c:crossAx val="128362132"/>
        <c:crosses val="autoZero"/>
        <c:auto val="1"/>
        <c:lblAlgn val="ctr"/>
        <c:lblOffset val="100"/>
        <c:noMultiLvlLbl val="1"/>
      </c:catAx>
      <c:valAx>
        <c:axId val="128362132"/>
        <c:scaling>
          <c:orientation val="minMax"/>
        </c:scaling>
        <c:delete val="0"/>
        <c:axPos val="l"/>
        <c:title>
          <c:tx>
            <c:rich>
              <a:bodyPr/>
              <a:lstStyle/>
              <a:p>
                <a:pPr lvl="0">
                  <a:defRPr b="0">
                    <a:solidFill>
                      <a:srgbClr val="000000"/>
                    </a:solidFill>
                    <a:latin typeface="+mn-lt"/>
                  </a:defRPr>
                </a:pPr>
                <a:endParaRPr lang="en-AU"/>
              </a:p>
            </c:rich>
          </c:tx>
          <c:overlay val="0"/>
        </c:title>
        <c:numFmt formatCode="\$#,##0,,\M" sourceLinked="0"/>
        <c:majorTickMark val="none"/>
        <c:minorTickMark val="none"/>
        <c:tickLblPos val="nextTo"/>
        <c:spPr>
          <a:ln>
            <a:noFill/>
          </a:ln>
        </c:spPr>
        <c:txPr>
          <a:bodyPr/>
          <a:lstStyle/>
          <a:p>
            <a:pPr lvl="0">
              <a:defRPr sz="900" b="0" i="0">
                <a:solidFill>
                  <a:srgbClr val="595959"/>
                </a:solidFill>
                <a:latin typeface="Aptos Narrow"/>
              </a:defRPr>
            </a:pPr>
            <a:endParaRPr lang="en-US"/>
          </a:p>
        </c:txPr>
        <c:crossAx val="617415028"/>
        <c:crosses val="autoZero"/>
        <c:crossBetween val="between"/>
      </c:valAx>
    </c:plotArea>
    <c:legend>
      <c:legendPos val="b"/>
      <c:overlay val="0"/>
      <c:txPr>
        <a:bodyPr/>
        <a:lstStyle/>
        <a:p>
          <a:pPr lvl="0">
            <a:defRPr sz="900" b="0" i="0">
              <a:solidFill>
                <a:srgbClr val="1A1A1A"/>
              </a:solidFill>
              <a:latin typeface="Aptos Narrow"/>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2000" b="1" i="0">
                <a:solidFill>
                  <a:srgbClr val="000000"/>
                </a:solidFill>
                <a:latin typeface="Aptos Narrow"/>
              </a:defRPr>
            </a:pPr>
            <a:r>
              <a:rPr lang="en-AU" sz="2000" b="1" i="0">
                <a:solidFill>
                  <a:srgbClr val="000000"/>
                </a:solidFill>
                <a:latin typeface="Aptos Narrow"/>
              </a:rPr>
              <a:t>Equity &amp; Asset Base Growth</a:t>
            </a:r>
          </a:p>
        </c:rich>
      </c:tx>
      <c:overlay val="0"/>
    </c:title>
    <c:autoTitleDeleted val="0"/>
    <c:plotArea>
      <c:layout/>
      <c:lineChart>
        <c:grouping val="standard"/>
        <c:varyColors val="1"/>
        <c:ser>
          <c:idx val="0"/>
          <c:order val="0"/>
          <c:tx>
            <c:v>Total Equity (Book Value)</c:v>
          </c:tx>
          <c:spPr>
            <a:ln w="19050" cmpd="sng">
              <a:solidFill>
                <a:srgbClr val="00FF00">
                  <a:alpha val="100000"/>
                </a:srgbClr>
              </a:solidFill>
            </a:ln>
          </c:spPr>
          <c:marker>
            <c:symbol val="none"/>
          </c:marker>
          <c:dLbls>
            <c:spPr>
              <a:noFill/>
              <a:ln>
                <a:noFill/>
              </a:ln>
              <a:effectLst/>
            </c:spPr>
            <c:txPr>
              <a:bodyPr/>
              <a:lstStyle/>
              <a:p>
                <a:pPr lvl="0">
                  <a:defRPr b="1">
                    <a:solidFill>
                      <a:srgbClr val="000000"/>
                    </a:solidFill>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'Inputs for Dashboard'!$D$143:$N$143</c:f>
              <c:strCache>
                <c:ptCount val="11"/>
                <c:pt idx="0">
                  <c:v>FY26</c:v>
                </c:pt>
                <c:pt idx="1">
                  <c:v>FY27</c:v>
                </c:pt>
                <c:pt idx="2">
                  <c:v>FY28</c:v>
                </c:pt>
                <c:pt idx="3">
                  <c:v>FY29</c:v>
                </c:pt>
                <c:pt idx="4">
                  <c:v>FY30</c:v>
                </c:pt>
                <c:pt idx="5">
                  <c:v>FY31</c:v>
                </c:pt>
                <c:pt idx="6">
                  <c:v>FY32</c:v>
                </c:pt>
                <c:pt idx="7">
                  <c:v>FY33</c:v>
                </c:pt>
                <c:pt idx="8">
                  <c:v>FY34</c:v>
                </c:pt>
                <c:pt idx="9">
                  <c:v>FY35</c:v>
                </c:pt>
                <c:pt idx="10">
                  <c:v>FY36</c:v>
                </c:pt>
              </c:strCache>
            </c:strRef>
          </c:cat>
          <c:val>
            <c:numRef>
              <c:f>'Inputs for Dashboard'!$D$144:$N$144</c:f>
              <c:numCache>
                <c:formatCode>\ \ \ \ \$0,,"M"</c:formatCode>
                <c:ptCount val="11"/>
                <c:pt idx="0">
                  <c:v>0</c:v>
                </c:pt>
                <c:pt idx="1">
                  <c:v>7506838.4000000004</c:v>
                </c:pt>
                <c:pt idx="2">
                  <c:v>9839668.6858632565</c:v>
                </c:pt>
                <c:pt idx="3">
                  <c:v>11012106.983068733</c:v>
                </c:pt>
                <c:pt idx="4">
                  <c:v>12318957.987335462</c:v>
                </c:pt>
                <c:pt idx="5">
                  <c:v>13783489.267768661</c:v>
                </c:pt>
                <c:pt idx="6">
                  <c:v>15245161.452724159</c:v>
                </c:pt>
                <c:pt idx="7">
                  <c:v>16631702.322463522</c:v>
                </c:pt>
                <c:pt idx="8">
                  <c:v>18081283.997258518</c:v>
                </c:pt>
                <c:pt idx="9">
                  <c:v>19590737.217962582</c:v>
                </c:pt>
                <c:pt idx="10">
                  <c:v>21149946.483990319</c:v>
                </c:pt>
              </c:numCache>
            </c:numRef>
          </c:val>
          <c:smooth val="0"/>
          <c:extLst>
            <c:ext xmlns:c16="http://schemas.microsoft.com/office/drawing/2014/chart" uri="{C3380CC4-5D6E-409C-BE32-E72D297353CC}">
              <c16:uniqueId val="{00000000-53B0-45EA-A31E-21DA4A2E0942}"/>
            </c:ext>
          </c:extLst>
        </c:ser>
        <c:ser>
          <c:idx val="1"/>
          <c:order val="1"/>
          <c:tx>
            <c:v>Total Assets</c:v>
          </c:tx>
          <c:spPr>
            <a:ln w="19050" cmpd="sng">
              <a:solidFill>
                <a:srgbClr val="1565C0">
                  <a:alpha val="100000"/>
                </a:srgbClr>
              </a:solidFill>
            </a:ln>
          </c:spPr>
          <c:marker>
            <c:symbol val="none"/>
          </c:marker>
          <c:dLbls>
            <c:spPr>
              <a:noFill/>
              <a:ln>
                <a:noFill/>
              </a:ln>
              <a:effectLst/>
            </c:spPr>
            <c:txPr>
              <a:bodyPr/>
              <a:lstStyle/>
              <a:p>
                <a:pPr lvl="0">
                  <a:defRPr b="1">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'Inputs for Dashboard'!$D$143:$N$143</c:f>
              <c:strCache>
                <c:ptCount val="11"/>
                <c:pt idx="0">
                  <c:v>FY26</c:v>
                </c:pt>
                <c:pt idx="1">
                  <c:v>FY27</c:v>
                </c:pt>
                <c:pt idx="2">
                  <c:v>FY28</c:v>
                </c:pt>
                <c:pt idx="3">
                  <c:v>FY29</c:v>
                </c:pt>
                <c:pt idx="4">
                  <c:v>FY30</c:v>
                </c:pt>
                <c:pt idx="5">
                  <c:v>FY31</c:v>
                </c:pt>
                <c:pt idx="6">
                  <c:v>FY32</c:v>
                </c:pt>
                <c:pt idx="7">
                  <c:v>FY33</c:v>
                </c:pt>
                <c:pt idx="8">
                  <c:v>FY34</c:v>
                </c:pt>
                <c:pt idx="9">
                  <c:v>FY35</c:v>
                </c:pt>
                <c:pt idx="10">
                  <c:v>FY36</c:v>
                </c:pt>
              </c:strCache>
            </c:strRef>
          </c:cat>
          <c:val>
            <c:numRef>
              <c:f>'Inputs for Dashboard'!$D$145:$N$145</c:f>
              <c:numCache>
                <c:formatCode>\ \ \ \ \$0,,"M"</c:formatCode>
                <c:ptCount val="11"/>
                <c:pt idx="0">
                  <c:v>0</c:v>
                </c:pt>
                <c:pt idx="1">
                  <c:v>21032753.399999999</c:v>
                </c:pt>
                <c:pt idx="2">
                  <c:v>23140060.994663939</c:v>
                </c:pt>
                <c:pt idx="3">
                  <c:v>22802382.198823094</c:v>
                </c:pt>
                <c:pt idx="4">
                  <c:v>22556604.419235684</c:v>
                </c:pt>
                <c:pt idx="5">
                  <c:v>22462549.36932756</c:v>
                </c:pt>
                <c:pt idx="6">
                  <c:v>22361936.838663965</c:v>
                </c:pt>
                <c:pt idx="7">
                  <c:v>22233299.107744537</c:v>
                </c:pt>
                <c:pt idx="8">
                  <c:v>22134800.252290793</c:v>
                </c:pt>
                <c:pt idx="9">
                  <c:v>22085982.152746443</c:v>
                </c:pt>
                <c:pt idx="10">
                  <c:v>22087723.761250652</c:v>
                </c:pt>
              </c:numCache>
            </c:numRef>
          </c:val>
          <c:smooth val="0"/>
          <c:extLst>
            <c:ext xmlns:c16="http://schemas.microsoft.com/office/drawing/2014/chart" uri="{C3380CC4-5D6E-409C-BE32-E72D297353CC}">
              <c16:uniqueId val="{00000001-53B0-45EA-A31E-21DA4A2E0942}"/>
            </c:ext>
          </c:extLst>
        </c:ser>
        <c:dLbls>
          <c:showLegendKey val="0"/>
          <c:showVal val="0"/>
          <c:showCatName val="0"/>
          <c:showSerName val="0"/>
          <c:showPercent val="0"/>
          <c:showBubbleSize val="0"/>
        </c:dLbls>
        <c:smooth val="0"/>
        <c:axId val="2129900806"/>
        <c:axId val="258160523"/>
      </c:lineChart>
      <c:catAx>
        <c:axId val="2129900806"/>
        <c:scaling>
          <c:orientation val="minMax"/>
        </c:scaling>
        <c:delete val="0"/>
        <c:axPos val="b"/>
        <c:title>
          <c:tx>
            <c:rich>
              <a:bodyPr/>
              <a:lstStyle/>
              <a:p>
                <a:pPr lvl="0">
                  <a:defRPr sz="1000" b="0" i="0">
                    <a:solidFill>
                      <a:srgbClr val="000000"/>
                    </a:solidFill>
                    <a:latin typeface="Aptos Narrow"/>
                  </a:defRPr>
                </a:pPr>
                <a:endParaRPr lang="en-AU"/>
              </a:p>
            </c:rich>
          </c:tx>
          <c:overlay val="0"/>
        </c:title>
        <c:numFmt formatCode="General" sourceLinked="0"/>
        <c:majorTickMark val="none"/>
        <c:minorTickMark val="none"/>
        <c:tickLblPos val="nextTo"/>
        <c:spPr>
          <a:ln>
            <a:noFill/>
          </a:ln>
        </c:spPr>
        <c:txPr>
          <a:bodyPr/>
          <a:lstStyle/>
          <a:p>
            <a:pPr lvl="0">
              <a:defRPr sz="1400" b="1" i="0">
                <a:solidFill>
                  <a:srgbClr val="000000"/>
                </a:solidFill>
                <a:latin typeface="Aptos Narrow"/>
              </a:defRPr>
            </a:pPr>
            <a:endParaRPr lang="en-US"/>
          </a:p>
        </c:txPr>
        <c:crossAx val="258160523"/>
        <c:crosses val="autoZero"/>
        <c:auto val="1"/>
        <c:lblAlgn val="ctr"/>
        <c:lblOffset val="100"/>
        <c:noMultiLvlLbl val="1"/>
      </c:catAx>
      <c:valAx>
        <c:axId val="258160523"/>
        <c:scaling>
          <c:orientation val="minMax"/>
        </c:scaling>
        <c:delete val="0"/>
        <c:axPos val="l"/>
        <c:title>
          <c:tx>
            <c:rich>
              <a:bodyPr/>
              <a:lstStyle/>
              <a:p>
                <a:pPr lvl="0">
                  <a:defRPr sz="1200" b="0" i="0">
                    <a:solidFill>
                      <a:srgbClr val="000000"/>
                    </a:solidFill>
                    <a:latin typeface="Aptos Narrow"/>
                  </a:defRPr>
                </a:pPr>
                <a:r>
                  <a:rPr lang="en-AU" sz="1200" b="0" i="0">
                    <a:solidFill>
                      <a:srgbClr val="000000"/>
                    </a:solidFill>
                    <a:latin typeface="Aptos Narrow"/>
                  </a:rPr>
                  <a:t>$M</a:t>
                </a:r>
              </a:p>
            </c:rich>
          </c:tx>
          <c:overlay val="0"/>
        </c:title>
        <c:numFmt formatCode="\$#,##0,,\M" sourceLinked="0"/>
        <c:majorTickMark val="none"/>
        <c:minorTickMark val="none"/>
        <c:tickLblPos val="nextTo"/>
        <c:spPr>
          <a:ln>
            <a:noFill/>
          </a:ln>
        </c:spPr>
        <c:txPr>
          <a:bodyPr/>
          <a:lstStyle/>
          <a:p>
            <a:pPr lvl="0">
              <a:defRPr sz="1400" b="1" i="0">
                <a:solidFill>
                  <a:srgbClr val="000000"/>
                </a:solidFill>
                <a:latin typeface="Aptos Narrow"/>
              </a:defRPr>
            </a:pPr>
            <a:endParaRPr lang="en-US"/>
          </a:p>
        </c:txPr>
        <c:crossAx val="2129900806"/>
        <c:crosses val="autoZero"/>
        <c:crossBetween val="between"/>
      </c:valAx>
    </c:plotArea>
    <c:legend>
      <c:legendPos val="b"/>
      <c:legendEntry>
        <c:idx val="0"/>
        <c:txPr>
          <a:bodyPr/>
          <a:lstStyle/>
          <a:p>
            <a:pPr lvl="0">
              <a:defRPr sz="1200"/>
            </a:pPr>
            <a:endParaRPr lang="en-US"/>
          </a:p>
        </c:txPr>
      </c:legendEntry>
      <c:legendEntry>
        <c:idx val="1"/>
        <c:txPr>
          <a:bodyPr/>
          <a:lstStyle/>
          <a:p>
            <a:pPr lvl="0">
              <a:defRPr sz="1200"/>
            </a:pPr>
            <a:endParaRPr lang="en-US"/>
          </a:p>
        </c:txPr>
      </c:legendEntry>
      <c:overlay val="0"/>
      <c:txPr>
        <a:bodyPr/>
        <a:lstStyle/>
        <a:p>
          <a:pPr lvl="0">
            <a:defRPr sz="1000" b="1" i="0">
              <a:solidFill>
                <a:srgbClr val="1A1A1A"/>
              </a:solidFill>
              <a:latin typeface="Aptos Narrow"/>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2000" b="1">
                <a:solidFill>
                  <a:srgbClr val="000000"/>
                </a:solidFill>
                <a:latin typeface="+mn-lt"/>
              </a:defRPr>
            </a:pPr>
            <a:r>
              <a:rPr lang="en-AU" sz="2000" b="1">
                <a:solidFill>
                  <a:srgbClr val="000000"/>
                </a:solidFill>
                <a:latin typeface="+mn-lt"/>
              </a:rPr>
              <a:t>Capital Structure (Initial)</a:t>
            </a:r>
          </a:p>
        </c:rich>
      </c:tx>
      <c:overlay val="0"/>
    </c:title>
    <c:autoTitleDeleted val="0"/>
    <c:plotArea>
      <c:layout/>
      <c:doughnutChart>
        <c:varyColors val="1"/>
        <c:ser>
          <c:idx val="0"/>
          <c:order val="0"/>
          <c:tx>
            <c:strRef>
              <c:f>'Inputs for Dashboard'!$C$135:$C$136</c:f>
              <c:strCache>
                <c:ptCount val="2"/>
                <c:pt idx="0">
                  <c:v>7. Capital Structure</c:v>
                </c:pt>
                <c:pt idx="1">
                  <c:v>Amount</c:v>
                </c:pt>
              </c:strCache>
            </c:strRef>
          </c:tx>
          <c:dPt>
            <c:idx val="0"/>
            <c:bubble3D val="0"/>
            <c:spPr>
              <a:solidFill>
                <a:srgbClr val="156082"/>
              </a:solidFill>
            </c:spPr>
            <c:extLst>
              <c:ext xmlns:c16="http://schemas.microsoft.com/office/drawing/2014/chart" uri="{C3380CC4-5D6E-409C-BE32-E72D297353CC}">
                <c16:uniqueId val="{00000001-F3FE-439C-92F9-7CEBF78413D7}"/>
              </c:ext>
            </c:extLst>
          </c:dPt>
          <c:dPt>
            <c:idx val="1"/>
            <c:bubble3D val="0"/>
            <c:spPr>
              <a:solidFill>
                <a:srgbClr val="E97132"/>
              </a:solidFill>
            </c:spPr>
            <c:extLst>
              <c:ext xmlns:c16="http://schemas.microsoft.com/office/drawing/2014/chart" uri="{C3380CC4-5D6E-409C-BE32-E72D297353CC}">
                <c16:uniqueId val="{00000003-F3FE-439C-92F9-7CEBF78413D7}"/>
              </c:ext>
            </c:extLst>
          </c:dPt>
          <c:dPt>
            <c:idx val="2"/>
            <c:bubble3D val="0"/>
            <c:spPr>
              <a:solidFill>
                <a:srgbClr val="196B24"/>
              </a:solidFill>
            </c:spPr>
            <c:extLst>
              <c:ext xmlns:c16="http://schemas.microsoft.com/office/drawing/2014/chart" uri="{C3380CC4-5D6E-409C-BE32-E72D297353CC}">
                <c16:uniqueId val="{00000005-F3FE-439C-92F9-7CEBF78413D7}"/>
              </c:ext>
            </c:extLst>
          </c:dPt>
          <c:dPt>
            <c:idx val="3"/>
            <c:bubble3D val="0"/>
            <c:spPr>
              <a:solidFill>
                <a:srgbClr val="0F9ED5"/>
              </a:solidFill>
            </c:spPr>
            <c:extLst>
              <c:ext xmlns:c16="http://schemas.microsoft.com/office/drawing/2014/chart" uri="{C3380CC4-5D6E-409C-BE32-E72D297353CC}">
                <c16:uniqueId val="{00000007-F3FE-439C-92F9-7CEBF78413D7}"/>
              </c:ext>
            </c:extLst>
          </c:dPt>
          <c:cat>
            <c:strRef>
              <c:f>'Inputs for Dashboard'!$B$137:$B$140</c:f>
              <c:strCache>
                <c:ptCount val="4"/>
                <c:pt idx="0">
                  <c:v>Initial Cash Inflow</c:v>
                </c:pt>
                <c:pt idx="1">
                  <c:v>PE Equity</c:v>
                </c:pt>
                <c:pt idx="2">
                  <c:v>Working Capital</c:v>
                </c:pt>
                <c:pt idx="3">
                  <c:v>Bank Term Debt</c:v>
                </c:pt>
              </c:strCache>
            </c:strRef>
          </c:cat>
          <c:val>
            <c:numRef>
              <c:f>'Inputs for Dashboard'!$C$137:$C$140</c:f>
              <c:numCache>
                <c:formatCode>\ \ \ \ \$0.0,,"M"</c:formatCode>
                <c:ptCount val="4"/>
                <c:pt idx="0">
                  <c:v>1500000</c:v>
                </c:pt>
                <c:pt idx="1">
                  <c:v>7470383.0899999999</c:v>
                </c:pt>
                <c:pt idx="2">
                  <c:v>850000</c:v>
                </c:pt>
                <c:pt idx="3">
                  <c:v>12675915</c:v>
                </c:pt>
              </c:numCache>
            </c:numRef>
          </c:val>
          <c:extLst>
            <c:ext xmlns:c16="http://schemas.microsoft.com/office/drawing/2014/chart" uri="{C3380CC4-5D6E-409C-BE32-E72D297353CC}">
              <c16:uniqueId val="{00000008-F3FE-439C-92F9-7CEBF78413D7}"/>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2000" b="1" i="0">
                <a:solidFill>
                  <a:srgbClr val="000000"/>
                </a:solidFill>
                <a:latin typeface="Aptos Narrow"/>
              </a:defRPr>
            </a:pPr>
            <a:r>
              <a:rPr lang="en-AU" sz="2000" b="1" i="0">
                <a:solidFill>
                  <a:srgbClr val="000000"/>
                </a:solidFill>
                <a:latin typeface="Aptos Narrow"/>
              </a:rPr>
              <a:t>Annual Event Days &amp; Revenue per Event Day</a:t>
            </a:r>
          </a:p>
        </c:rich>
      </c:tx>
      <c:overlay val="0"/>
    </c:title>
    <c:autoTitleDeleted val="0"/>
    <c:plotArea>
      <c:layout/>
      <c:barChart>
        <c:barDir val="col"/>
        <c:grouping val="clustered"/>
        <c:varyColors val="1"/>
        <c:ser>
          <c:idx val="1"/>
          <c:order val="1"/>
          <c:tx>
            <c:v>Revenue per Event Day ($)</c:v>
          </c:tx>
          <c:spPr>
            <a:solidFill>
              <a:srgbClr val="00FF00"/>
            </a:solidFill>
            <a:ln cmpd="sng">
              <a:noFill/>
            </a:ln>
          </c:spPr>
          <c:invertIfNegative val="1"/>
          <c:dPt>
            <c:idx val="5"/>
            <c:invertIfNegative val="1"/>
            <c:bubble3D val="0"/>
            <c:extLst>
              <c:ext xmlns:c16="http://schemas.microsoft.com/office/drawing/2014/chart" uri="{C3380CC4-5D6E-409C-BE32-E72D297353CC}">
                <c16:uniqueId val="{00000001-11C3-4AA9-B5B9-4BC2715FC925}"/>
              </c:ext>
            </c:extLst>
          </c:dPt>
          <c:dLbls>
            <c:spPr>
              <a:noFill/>
              <a:ln>
                <a:noFill/>
              </a:ln>
              <a:effectLst/>
            </c:spPr>
            <c:txPr>
              <a:bodyPr/>
              <a:lstStyle/>
              <a:p>
                <a:pPr lvl="0">
                  <a:defRPr b="1"/>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'Inputs for Dashboard'!$D$150:$P$150</c:f>
              <c:strCache>
                <c:ptCount val="13"/>
                <c:pt idx="0">
                  <c:v>FY26</c:v>
                </c:pt>
                <c:pt idx="1">
                  <c:v>FY27</c:v>
                </c:pt>
                <c:pt idx="2">
                  <c:v>FY28</c:v>
                </c:pt>
                <c:pt idx="3">
                  <c:v>FY29</c:v>
                </c:pt>
                <c:pt idx="4">
                  <c:v>FY30</c:v>
                </c:pt>
                <c:pt idx="5">
                  <c:v>FY31</c:v>
                </c:pt>
                <c:pt idx="6">
                  <c:v>FY32</c:v>
                </c:pt>
                <c:pt idx="7">
                  <c:v>FY33</c:v>
                </c:pt>
                <c:pt idx="8">
                  <c:v>FY34</c:v>
                </c:pt>
                <c:pt idx="9">
                  <c:v>FY35</c:v>
                </c:pt>
                <c:pt idx="10">
                  <c:v>FY36</c:v>
                </c:pt>
                <c:pt idx="11">
                  <c:v>FY37</c:v>
                </c:pt>
                <c:pt idx="12">
                  <c:v>FY38</c:v>
                </c:pt>
              </c:strCache>
            </c:strRef>
          </c:cat>
          <c:val>
            <c:numRef>
              <c:f>'Inputs for Dashboard'!$D$152:$P$152</c:f>
              <c:numCache>
                <c:formatCode>\$0,"K"</c:formatCode>
                <c:ptCount val="13"/>
                <c:pt idx="0">
                  <c:v>0</c:v>
                </c:pt>
                <c:pt idx="1">
                  <c:v>0</c:v>
                </c:pt>
                <c:pt idx="2">
                  <c:v>120544.10463622936</c:v>
                </c:pt>
                <c:pt idx="3">
                  <c:v>123723.57383825042</c:v>
                </c:pt>
                <c:pt idx="4">
                  <c:v>126988.22167068842</c:v>
                </c:pt>
                <c:pt idx="5">
                  <c:v>125336.98019806897</c:v>
                </c:pt>
                <c:pt idx="6">
                  <c:v>128165.26834637816</c:v>
                </c:pt>
                <c:pt idx="7">
                  <c:v>131076.52909045437</c:v>
                </c:pt>
                <c:pt idx="8">
                  <c:v>134073.20470695363</c:v>
                </c:pt>
                <c:pt idx="9">
                  <c:v>137157.80956830113</c:v>
                </c:pt>
                <c:pt idx="10">
                  <c:v>140332.93227625117</c:v>
                </c:pt>
                <c:pt idx="11">
                  <c:v>143601.23785872088</c:v>
                </c:pt>
                <c:pt idx="12">
                  <c:v>146965.4700317778</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2-11C3-4AA9-B5B9-4BC2715FC925}"/>
            </c:ext>
          </c:extLst>
        </c:ser>
        <c:dLbls>
          <c:showLegendKey val="0"/>
          <c:showVal val="0"/>
          <c:showCatName val="0"/>
          <c:showSerName val="0"/>
          <c:showPercent val="0"/>
          <c:showBubbleSize val="0"/>
        </c:dLbls>
        <c:gapWidth val="150"/>
        <c:axId val="1013511884"/>
        <c:axId val="1369019674"/>
      </c:barChart>
      <c:lineChart>
        <c:grouping val="standard"/>
        <c:varyColors val="0"/>
        <c:ser>
          <c:idx val="0"/>
          <c:order val="0"/>
          <c:tx>
            <c:v>Annual Event Days</c:v>
          </c:tx>
          <c:spPr>
            <a:ln cmpd="sng">
              <a:solidFill>
                <a:srgbClr val="00695C"/>
              </a:solidFill>
            </a:ln>
          </c:spPr>
          <c:marker>
            <c:symbol val="none"/>
          </c:marker>
          <c:dPt>
            <c:idx val="2"/>
            <c:bubble3D val="0"/>
            <c:extLst>
              <c:ext xmlns:c16="http://schemas.microsoft.com/office/drawing/2014/chart" uri="{C3380CC4-5D6E-409C-BE32-E72D297353CC}">
                <c16:uniqueId val="{00000003-11C3-4AA9-B5B9-4BC2715FC925}"/>
              </c:ext>
            </c:extLst>
          </c:dPt>
          <c:dPt>
            <c:idx val="4"/>
            <c:bubble3D val="0"/>
            <c:extLst>
              <c:ext xmlns:c16="http://schemas.microsoft.com/office/drawing/2014/chart" uri="{C3380CC4-5D6E-409C-BE32-E72D297353CC}">
                <c16:uniqueId val="{00000004-11C3-4AA9-B5B9-4BC2715FC925}"/>
              </c:ext>
            </c:extLst>
          </c:dPt>
          <c:dLbls>
            <c:dLbl>
              <c:idx val="4"/>
              <c:spPr/>
              <c:txPr>
                <a:bodyPr/>
                <a:lstStyle/>
                <a:p>
                  <a:pPr lvl="0">
                    <a:defRPr b="1"/>
                  </a:pPr>
                  <a:endParaRPr lang="en-US"/>
                </a:p>
              </c:txPr>
              <c:showLegendKey val="0"/>
              <c:showVal val="1"/>
              <c:showCatName val="0"/>
              <c:showSerName val="0"/>
              <c:showPercent val="0"/>
              <c:showBubbleSize val="0"/>
              <c:extLst>
                <c:ext xmlns:c16="http://schemas.microsoft.com/office/drawing/2014/chart" uri="{C3380CC4-5D6E-409C-BE32-E72D297353CC}">
                  <c16:uniqueId val="{00000004-11C3-4AA9-B5B9-4BC2715FC925}"/>
                </c:ext>
              </c:extLst>
            </c:dLbl>
            <c:spPr>
              <a:noFill/>
              <a:ln>
                <a:noFill/>
              </a:ln>
              <a:effectLst/>
            </c:spPr>
            <c:txPr>
              <a:bodyPr/>
              <a:lstStyle/>
              <a:p>
                <a:pPr lvl="0">
                  <a:defRPr b="1">
                    <a:solidFill>
                      <a:srgbClr val="000000"/>
                    </a:solidFill>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'Inputs for Dashboard'!$D$150:$P$150</c:f>
              <c:strCache>
                <c:ptCount val="13"/>
                <c:pt idx="0">
                  <c:v>FY26</c:v>
                </c:pt>
                <c:pt idx="1">
                  <c:v>FY27</c:v>
                </c:pt>
                <c:pt idx="2">
                  <c:v>FY28</c:v>
                </c:pt>
                <c:pt idx="3">
                  <c:v>FY29</c:v>
                </c:pt>
                <c:pt idx="4">
                  <c:v>FY30</c:v>
                </c:pt>
                <c:pt idx="5">
                  <c:v>FY31</c:v>
                </c:pt>
                <c:pt idx="6">
                  <c:v>FY32</c:v>
                </c:pt>
                <c:pt idx="7">
                  <c:v>FY33</c:v>
                </c:pt>
                <c:pt idx="8">
                  <c:v>FY34</c:v>
                </c:pt>
                <c:pt idx="9">
                  <c:v>FY35</c:v>
                </c:pt>
                <c:pt idx="10">
                  <c:v>FY36</c:v>
                </c:pt>
                <c:pt idx="11">
                  <c:v>FY37</c:v>
                </c:pt>
                <c:pt idx="12">
                  <c:v>FY38</c:v>
                </c:pt>
              </c:strCache>
            </c:strRef>
          </c:cat>
          <c:val>
            <c:numRef>
              <c:f>'Inputs for Dashboard'!$D$151:$P$151</c:f>
              <c:numCache>
                <c:formatCode>#,##0</c:formatCode>
                <c:ptCount val="13"/>
                <c:pt idx="0">
                  <c:v>0</c:v>
                </c:pt>
                <c:pt idx="1">
                  <c:v>0</c:v>
                </c:pt>
                <c:pt idx="2">
                  <c:v>155.73000000000002</c:v>
                </c:pt>
                <c:pt idx="3">
                  <c:v>159.03600000000003</c:v>
                </c:pt>
                <c:pt idx="4">
                  <c:v>162.34200000000004</c:v>
                </c:pt>
                <c:pt idx="5">
                  <c:v>174</c:v>
                </c:pt>
                <c:pt idx="6">
                  <c:v>174</c:v>
                </c:pt>
                <c:pt idx="7">
                  <c:v>174</c:v>
                </c:pt>
                <c:pt idx="8">
                  <c:v>174</c:v>
                </c:pt>
                <c:pt idx="9">
                  <c:v>174</c:v>
                </c:pt>
                <c:pt idx="10">
                  <c:v>174</c:v>
                </c:pt>
                <c:pt idx="11">
                  <c:v>174</c:v>
                </c:pt>
                <c:pt idx="12">
                  <c:v>174</c:v>
                </c:pt>
              </c:numCache>
            </c:numRef>
          </c:val>
          <c:smooth val="0"/>
          <c:extLst>
            <c:ext xmlns:c16="http://schemas.microsoft.com/office/drawing/2014/chart" uri="{C3380CC4-5D6E-409C-BE32-E72D297353CC}">
              <c16:uniqueId val="{00000005-11C3-4AA9-B5B9-4BC2715FC925}"/>
            </c:ext>
          </c:extLst>
        </c:ser>
        <c:dLbls>
          <c:showLegendKey val="0"/>
          <c:showVal val="0"/>
          <c:showCatName val="0"/>
          <c:showSerName val="0"/>
          <c:showPercent val="0"/>
          <c:showBubbleSize val="0"/>
        </c:dLbls>
        <c:marker val="1"/>
        <c:smooth val="0"/>
        <c:axId val="92952594"/>
        <c:axId val="884795603"/>
      </c:lineChart>
      <c:catAx>
        <c:axId val="1013511884"/>
        <c:scaling>
          <c:orientation val="minMax"/>
        </c:scaling>
        <c:delete val="0"/>
        <c:axPos val="b"/>
        <c:title>
          <c:tx>
            <c:rich>
              <a:bodyPr/>
              <a:lstStyle/>
              <a:p>
                <a:pPr lvl="0">
                  <a:defRPr sz="1000" b="0" i="0">
                    <a:solidFill>
                      <a:srgbClr val="000000"/>
                    </a:solidFill>
                    <a:latin typeface="Aptos Narrow"/>
                  </a:defRPr>
                </a:pPr>
                <a:endParaRPr lang="en-AU"/>
              </a:p>
            </c:rich>
          </c:tx>
          <c:overlay val="0"/>
        </c:title>
        <c:numFmt formatCode="General" sourceLinked="0"/>
        <c:majorTickMark val="none"/>
        <c:minorTickMark val="none"/>
        <c:tickLblPos val="nextTo"/>
        <c:spPr>
          <a:ln>
            <a:noFill/>
          </a:ln>
        </c:spPr>
        <c:txPr>
          <a:bodyPr/>
          <a:lstStyle/>
          <a:p>
            <a:pPr lvl="0">
              <a:defRPr sz="1400" b="1" i="0">
                <a:solidFill>
                  <a:srgbClr val="000000"/>
                </a:solidFill>
                <a:latin typeface="Aptos Narrow"/>
              </a:defRPr>
            </a:pPr>
            <a:endParaRPr lang="en-US"/>
          </a:p>
        </c:txPr>
        <c:crossAx val="1369019674"/>
        <c:crosses val="autoZero"/>
        <c:auto val="1"/>
        <c:lblAlgn val="ctr"/>
        <c:lblOffset val="100"/>
        <c:noMultiLvlLbl val="1"/>
      </c:catAx>
      <c:valAx>
        <c:axId val="1369019674"/>
        <c:scaling>
          <c:orientation val="minMax"/>
        </c:scaling>
        <c:delete val="0"/>
        <c:axPos val="l"/>
        <c:title>
          <c:tx>
            <c:rich>
              <a:bodyPr/>
              <a:lstStyle/>
              <a:p>
                <a:pPr lvl="0">
                  <a:defRPr b="0">
                    <a:solidFill>
                      <a:srgbClr val="000000"/>
                    </a:solidFill>
                    <a:latin typeface="+mn-lt"/>
                  </a:defRPr>
                </a:pPr>
                <a:endParaRPr lang="en-AU"/>
              </a:p>
            </c:rich>
          </c:tx>
          <c:overlay val="0"/>
        </c:title>
        <c:numFmt formatCode="#,##0" sourceLinked="0"/>
        <c:majorTickMark val="none"/>
        <c:minorTickMark val="none"/>
        <c:tickLblPos val="nextTo"/>
        <c:spPr>
          <a:ln>
            <a:noFill/>
          </a:ln>
        </c:spPr>
        <c:txPr>
          <a:bodyPr/>
          <a:lstStyle/>
          <a:p>
            <a:pPr lvl="0">
              <a:defRPr sz="1400" b="1" i="0">
                <a:solidFill>
                  <a:srgbClr val="000000"/>
                </a:solidFill>
                <a:latin typeface="Aptos Narrow"/>
              </a:defRPr>
            </a:pPr>
            <a:endParaRPr lang="en-US"/>
          </a:p>
        </c:txPr>
        <c:crossAx val="1013511884"/>
        <c:crosses val="autoZero"/>
        <c:crossBetween val="between"/>
      </c:valAx>
      <c:catAx>
        <c:axId val="92952594"/>
        <c:scaling>
          <c:orientation val="minMax"/>
        </c:scaling>
        <c:delete val="1"/>
        <c:axPos val="b"/>
        <c:numFmt formatCode="General" sourceLinked="0"/>
        <c:majorTickMark val="none"/>
        <c:minorTickMark val="none"/>
        <c:tickLblPos val="nextTo"/>
        <c:crossAx val="884795603"/>
        <c:crosses val="autoZero"/>
        <c:auto val="1"/>
        <c:lblAlgn val="ctr"/>
        <c:lblOffset val="100"/>
        <c:noMultiLvlLbl val="1"/>
      </c:catAx>
      <c:valAx>
        <c:axId val="884795603"/>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AU"/>
              </a:p>
            </c:rich>
          </c:tx>
          <c:overlay val="0"/>
        </c:title>
        <c:numFmt formatCode="#,##0" sourceLinked="1"/>
        <c:majorTickMark val="none"/>
        <c:minorTickMark val="none"/>
        <c:tickLblPos val="nextTo"/>
        <c:spPr>
          <a:ln>
            <a:noFill/>
          </a:ln>
        </c:spPr>
        <c:txPr>
          <a:bodyPr/>
          <a:lstStyle/>
          <a:p>
            <a:pPr lvl="0">
              <a:defRPr sz="1200" b="1">
                <a:solidFill>
                  <a:srgbClr val="000000"/>
                </a:solidFill>
                <a:latin typeface="+mn-lt"/>
              </a:defRPr>
            </a:pPr>
            <a:endParaRPr lang="en-US"/>
          </a:p>
        </c:txPr>
        <c:crossAx val="92952594"/>
        <c:crosses val="max"/>
        <c:crossBetween val="between"/>
      </c:valAx>
    </c:plotArea>
    <c:legend>
      <c:legendPos val="b"/>
      <c:overlay val="0"/>
      <c:txPr>
        <a:bodyPr/>
        <a:lstStyle/>
        <a:p>
          <a:pPr lvl="0">
            <a:defRPr sz="1200" b="1" i="0">
              <a:solidFill>
                <a:srgbClr val="1A1A1A"/>
              </a:solidFill>
              <a:latin typeface="Aptos Narrow"/>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2000" b="1" i="0">
                <a:solidFill>
                  <a:srgbClr val="000000"/>
                </a:solidFill>
                <a:latin typeface="Aptos Narrow"/>
              </a:defRPr>
            </a:pPr>
            <a:r>
              <a:rPr lang="en-AU" sz="2000" b="1" i="0">
                <a:solidFill>
                  <a:srgbClr val="000000"/>
                </a:solidFill>
                <a:latin typeface="Aptos Narrow"/>
              </a:rPr>
              <a:t>Capex by Category ($)</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bar"/>
        <c:grouping val="clustered"/>
        <c:varyColors val="1"/>
        <c:ser>
          <c:idx val="0"/>
          <c:order val="0"/>
          <c:spPr>
            <a:solidFill>
              <a:srgbClr val="00FF00"/>
            </a:solidFill>
            <a:ln cmpd="sng">
              <a:noFill/>
            </a:ln>
          </c:spPr>
          <c:invertIfNegative val="1"/>
          <c:dLbls>
            <c:spPr>
              <a:noFill/>
              <a:ln>
                <a:noFill/>
              </a:ln>
              <a:effectLst/>
            </c:spPr>
            <c:txPr>
              <a:bodyPr/>
              <a:lstStyle/>
              <a:p>
                <a:pPr lvl="0">
                  <a:defRPr sz="1200" b="1" i="0">
                    <a:solidFill>
                      <a:srgbClr val="000000"/>
                    </a:solidFill>
                    <a:latin typeface="Aptos Narrow"/>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'Inputs for Dashboard'!$B$159:$B$167</c:f>
              <c:strCache>
                <c:ptCount val="9"/>
                <c:pt idx="0">
                  <c:v>Consultants </c:v>
                </c:pt>
                <c:pt idx="1">
                  <c:v>Structure</c:v>
                </c:pt>
                <c:pt idx="2">
                  <c:v>Civil</c:v>
                </c:pt>
                <c:pt idx="3">
                  <c:v>ICT</c:v>
                </c:pt>
                <c:pt idx="4">
                  <c:v>FF&amp;E</c:v>
                </c:pt>
                <c:pt idx="5">
                  <c:v>Services</c:v>
                </c:pt>
                <c:pt idx="6">
                  <c:v>Security </c:v>
                </c:pt>
                <c:pt idx="7">
                  <c:v>Custom Taxes</c:v>
                </c:pt>
                <c:pt idx="8">
                  <c:v>Miscellaneous</c:v>
                </c:pt>
              </c:strCache>
            </c:strRef>
          </c:cat>
          <c:val>
            <c:numRef>
              <c:f>'Inputs for Dashboard'!$C$159:$C$167</c:f>
              <c:numCache>
                <c:formatCode>\ \ \ \ \$0,,"M"</c:formatCode>
                <c:ptCount val="9"/>
                <c:pt idx="0">
                  <c:v>2045000</c:v>
                </c:pt>
                <c:pt idx="1">
                  <c:v>6580000</c:v>
                </c:pt>
                <c:pt idx="2">
                  <c:v>1500000</c:v>
                </c:pt>
                <c:pt idx="3">
                  <c:v>490000</c:v>
                </c:pt>
                <c:pt idx="4">
                  <c:v>1900000</c:v>
                </c:pt>
                <c:pt idx="5">
                  <c:v>5000000</c:v>
                </c:pt>
                <c:pt idx="6">
                  <c:v>520000</c:v>
                </c:pt>
                <c:pt idx="7">
                  <c:v>785500</c:v>
                </c:pt>
                <c:pt idx="8">
                  <c:v>941025</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2388-42E4-81F9-F60E81DA0CDA}"/>
            </c:ext>
          </c:extLst>
        </c:ser>
        <c:dLbls>
          <c:showLegendKey val="0"/>
          <c:showVal val="0"/>
          <c:showCatName val="0"/>
          <c:showSerName val="0"/>
          <c:showPercent val="0"/>
          <c:showBubbleSize val="0"/>
        </c:dLbls>
        <c:gapWidth val="150"/>
        <c:shape val="box"/>
        <c:axId val="1099622766"/>
        <c:axId val="1720112422"/>
        <c:axId val="0"/>
      </c:bar3DChart>
      <c:catAx>
        <c:axId val="1099622766"/>
        <c:scaling>
          <c:orientation val="maxMin"/>
        </c:scaling>
        <c:delete val="0"/>
        <c:axPos val="l"/>
        <c:title>
          <c:tx>
            <c:rich>
              <a:bodyPr/>
              <a:lstStyle/>
              <a:p>
                <a:pPr lvl="0">
                  <a:defRPr b="0">
                    <a:solidFill>
                      <a:srgbClr val="000000"/>
                    </a:solidFill>
                    <a:latin typeface="+mn-lt"/>
                  </a:defRPr>
                </a:pPr>
                <a:endParaRPr lang="en-AU"/>
              </a:p>
            </c:rich>
          </c:tx>
          <c:overlay val="0"/>
        </c:title>
        <c:numFmt formatCode="General" sourceLinked="0"/>
        <c:majorTickMark val="none"/>
        <c:minorTickMark val="none"/>
        <c:tickLblPos val="nextTo"/>
        <c:spPr>
          <a:ln>
            <a:noFill/>
          </a:ln>
        </c:spPr>
        <c:txPr>
          <a:bodyPr/>
          <a:lstStyle/>
          <a:p>
            <a:pPr lvl="0">
              <a:defRPr sz="1400" b="0" i="0">
                <a:solidFill>
                  <a:srgbClr val="000000"/>
                </a:solidFill>
                <a:latin typeface="Aptos Narrow"/>
              </a:defRPr>
            </a:pPr>
            <a:endParaRPr lang="en-US"/>
          </a:p>
        </c:txPr>
        <c:crossAx val="1720112422"/>
        <c:crosses val="autoZero"/>
        <c:auto val="1"/>
        <c:lblAlgn val="ctr"/>
        <c:lblOffset val="100"/>
        <c:noMultiLvlLbl val="1"/>
      </c:catAx>
      <c:valAx>
        <c:axId val="1720112422"/>
        <c:scaling>
          <c:orientation val="minMax"/>
        </c:scaling>
        <c:delete val="0"/>
        <c:axPos val="b"/>
        <c:title>
          <c:tx>
            <c:rich>
              <a:bodyPr/>
              <a:lstStyle/>
              <a:p>
                <a:pPr lvl="0">
                  <a:defRPr sz="1000" b="0" i="0">
                    <a:solidFill>
                      <a:srgbClr val="000000"/>
                    </a:solidFill>
                    <a:latin typeface="Aptos Narrow"/>
                  </a:defRPr>
                </a:pPr>
                <a:endParaRPr lang="en-AU"/>
              </a:p>
            </c:rich>
          </c:tx>
          <c:overlay val="0"/>
        </c:title>
        <c:numFmt formatCode="\$#,##0,,\M" sourceLinked="0"/>
        <c:majorTickMark val="none"/>
        <c:minorTickMark val="none"/>
        <c:tickLblPos val="nextTo"/>
        <c:spPr>
          <a:ln>
            <a:noFill/>
          </a:ln>
        </c:spPr>
        <c:txPr>
          <a:bodyPr/>
          <a:lstStyle/>
          <a:p>
            <a:pPr lvl="0">
              <a:defRPr sz="900" b="0" i="0">
                <a:solidFill>
                  <a:srgbClr val="000000"/>
                </a:solidFill>
                <a:latin typeface="Aptos Narrow"/>
              </a:defRPr>
            </a:pPr>
            <a:endParaRPr lang="en-US"/>
          </a:p>
        </c:txPr>
        <c:crossAx val="1099622766"/>
        <c:crosses val="max"/>
        <c:crossBetween val="between"/>
      </c:valAx>
    </c:plotArea>
    <c:plotVisOnly val="1"/>
    <c:dispBlanksAs val="zero"/>
    <c:showDLblsOverMax val="1"/>
  </c:chart>
  <c:spPr>
    <a:solidFill>
      <a:srgbClr val="FFFFFF"/>
    </a:solidFill>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2000" b="1">
                <a:solidFill>
                  <a:srgbClr val="000000"/>
                </a:solidFill>
                <a:latin typeface="+mn-lt"/>
              </a:defRPr>
            </a:pPr>
            <a:r>
              <a:rPr lang="en-AU" sz="2000" b="1">
                <a:solidFill>
                  <a:srgbClr val="000000"/>
                </a:solidFill>
                <a:latin typeface="+mn-lt"/>
              </a:rPr>
              <a:t>Total Capex ($)</a:t>
            </a:r>
          </a:p>
        </c:rich>
      </c:tx>
      <c:overlay val="0"/>
    </c:title>
    <c:autoTitleDeleted val="0"/>
    <c:plotArea>
      <c:layout/>
      <c:doughnutChart>
        <c:varyColors val="1"/>
        <c:ser>
          <c:idx val="0"/>
          <c:order val="0"/>
          <c:tx>
            <c:strRef>
              <c:f>'Inputs for Dashboard'!$C$158</c:f>
              <c:strCache>
                <c:ptCount val="1"/>
                <c:pt idx="0">
                  <c:v>Total Capex ($)</c:v>
                </c:pt>
              </c:strCache>
            </c:strRef>
          </c:tx>
          <c:dPt>
            <c:idx val="0"/>
            <c:bubble3D val="0"/>
            <c:spPr>
              <a:solidFill>
                <a:srgbClr val="156082"/>
              </a:solidFill>
            </c:spPr>
            <c:extLst>
              <c:ext xmlns:c16="http://schemas.microsoft.com/office/drawing/2014/chart" uri="{C3380CC4-5D6E-409C-BE32-E72D297353CC}">
                <c16:uniqueId val="{00000001-29C2-4F46-8F44-3F7A592993DF}"/>
              </c:ext>
            </c:extLst>
          </c:dPt>
          <c:dPt>
            <c:idx val="1"/>
            <c:bubble3D val="0"/>
            <c:spPr>
              <a:solidFill>
                <a:srgbClr val="E97132"/>
              </a:solidFill>
            </c:spPr>
            <c:extLst>
              <c:ext xmlns:c16="http://schemas.microsoft.com/office/drawing/2014/chart" uri="{C3380CC4-5D6E-409C-BE32-E72D297353CC}">
                <c16:uniqueId val="{00000003-29C2-4F46-8F44-3F7A592993DF}"/>
              </c:ext>
            </c:extLst>
          </c:dPt>
          <c:dPt>
            <c:idx val="2"/>
            <c:bubble3D val="0"/>
            <c:spPr>
              <a:solidFill>
                <a:srgbClr val="196B24"/>
              </a:solidFill>
            </c:spPr>
            <c:extLst>
              <c:ext xmlns:c16="http://schemas.microsoft.com/office/drawing/2014/chart" uri="{C3380CC4-5D6E-409C-BE32-E72D297353CC}">
                <c16:uniqueId val="{00000005-29C2-4F46-8F44-3F7A592993DF}"/>
              </c:ext>
            </c:extLst>
          </c:dPt>
          <c:dPt>
            <c:idx val="3"/>
            <c:bubble3D val="0"/>
            <c:spPr>
              <a:solidFill>
                <a:srgbClr val="0F9ED5"/>
              </a:solidFill>
            </c:spPr>
            <c:extLst>
              <c:ext xmlns:c16="http://schemas.microsoft.com/office/drawing/2014/chart" uri="{C3380CC4-5D6E-409C-BE32-E72D297353CC}">
                <c16:uniqueId val="{00000007-29C2-4F46-8F44-3F7A592993DF}"/>
              </c:ext>
            </c:extLst>
          </c:dPt>
          <c:dPt>
            <c:idx val="4"/>
            <c:bubble3D val="0"/>
            <c:spPr>
              <a:solidFill>
                <a:srgbClr val="A02B93"/>
              </a:solidFill>
            </c:spPr>
            <c:extLst>
              <c:ext xmlns:c16="http://schemas.microsoft.com/office/drawing/2014/chart" uri="{C3380CC4-5D6E-409C-BE32-E72D297353CC}">
                <c16:uniqueId val="{00000009-29C2-4F46-8F44-3F7A592993DF}"/>
              </c:ext>
            </c:extLst>
          </c:dPt>
          <c:dPt>
            <c:idx val="5"/>
            <c:bubble3D val="0"/>
            <c:spPr>
              <a:solidFill>
                <a:srgbClr val="4EA72E"/>
              </a:solidFill>
            </c:spPr>
            <c:extLst>
              <c:ext xmlns:c16="http://schemas.microsoft.com/office/drawing/2014/chart" uri="{C3380CC4-5D6E-409C-BE32-E72D297353CC}">
                <c16:uniqueId val="{0000000B-29C2-4F46-8F44-3F7A592993DF}"/>
              </c:ext>
            </c:extLst>
          </c:dPt>
          <c:dPt>
            <c:idx val="6"/>
            <c:bubble3D val="0"/>
            <c:spPr>
              <a:solidFill>
                <a:srgbClr val="5B90A8"/>
              </a:solidFill>
            </c:spPr>
            <c:extLst>
              <c:ext xmlns:c16="http://schemas.microsoft.com/office/drawing/2014/chart" uri="{C3380CC4-5D6E-409C-BE32-E72D297353CC}">
                <c16:uniqueId val="{0000000D-29C2-4F46-8F44-3F7A592993DF}"/>
              </c:ext>
            </c:extLst>
          </c:dPt>
          <c:dPt>
            <c:idx val="7"/>
            <c:bubble3D val="0"/>
            <c:spPr>
              <a:solidFill>
                <a:srgbClr val="F09C70"/>
              </a:solidFill>
            </c:spPr>
            <c:extLst>
              <c:ext xmlns:c16="http://schemas.microsoft.com/office/drawing/2014/chart" uri="{C3380CC4-5D6E-409C-BE32-E72D297353CC}">
                <c16:uniqueId val="{0000000F-29C2-4F46-8F44-3F7A592993DF}"/>
              </c:ext>
            </c:extLst>
          </c:dPt>
          <c:dPt>
            <c:idx val="8"/>
            <c:bubble3D val="0"/>
            <c:spPr>
              <a:solidFill>
                <a:srgbClr val="5E9766"/>
              </a:solidFill>
            </c:spPr>
            <c:extLst>
              <c:ext xmlns:c16="http://schemas.microsoft.com/office/drawing/2014/chart" uri="{C3380CC4-5D6E-409C-BE32-E72D297353CC}">
                <c16:uniqueId val="{00000011-29C2-4F46-8F44-3F7A592993DF}"/>
              </c:ext>
            </c:extLst>
          </c:dPt>
          <c:cat>
            <c:strRef>
              <c:f>'Inputs for Dashboard'!$B$159:$B$167</c:f>
              <c:strCache>
                <c:ptCount val="9"/>
                <c:pt idx="0">
                  <c:v>Consultants </c:v>
                </c:pt>
                <c:pt idx="1">
                  <c:v>Structure</c:v>
                </c:pt>
                <c:pt idx="2">
                  <c:v>Civil</c:v>
                </c:pt>
                <c:pt idx="3">
                  <c:v>ICT</c:v>
                </c:pt>
                <c:pt idx="4">
                  <c:v>FF&amp;E</c:v>
                </c:pt>
                <c:pt idx="5">
                  <c:v>Services</c:v>
                </c:pt>
                <c:pt idx="6">
                  <c:v>Security </c:v>
                </c:pt>
                <c:pt idx="7">
                  <c:v>Custom Taxes</c:v>
                </c:pt>
                <c:pt idx="8">
                  <c:v>Miscellaneous</c:v>
                </c:pt>
              </c:strCache>
            </c:strRef>
          </c:cat>
          <c:val>
            <c:numRef>
              <c:f>'Inputs for Dashboard'!$C$159:$C$167</c:f>
              <c:numCache>
                <c:formatCode>\ \ \ \ \$0,,"M"</c:formatCode>
                <c:ptCount val="9"/>
                <c:pt idx="0">
                  <c:v>2045000</c:v>
                </c:pt>
                <c:pt idx="1">
                  <c:v>6580000</c:v>
                </c:pt>
                <c:pt idx="2">
                  <c:v>1500000</c:v>
                </c:pt>
                <c:pt idx="3">
                  <c:v>490000</c:v>
                </c:pt>
                <c:pt idx="4">
                  <c:v>1900000</c:v>
                </c:pt>
                <c:pt idx="5">
                  <c:v>5000000</c:v>
                </c:pt>
                <c:pt idx="6">
                  <c:v>520000</c:v>
                </c:pt>
                <c:pt idx="7">
                  <c:v>785500</c:v>
                </c:pt>
                <c:pt idx="8">
                  <c:v>941025</c:v>
                </c:pt>
              </c:numCache>
            </c:numRef>
          </c:val>
          <c:extLst>
            <c:ext xmlns:c16="http://schemas.microsoft.com/office/drawing/2014/chart" uri="{C3380CC4-5D6E-409C-BE32-E72D297353CC}">
              <c16:uniqueId val="{00000012-29C2-4F46-8F44-3F7A592993DF}"/>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b="1">
              <a:solidFill>
                <a:srgbClr val="000000"/>
              </a:solidFill>
              <a:latin typeface="Arial"/>
            </a:defRPr>
          </a:pPr>
          <a:endParaRPr lang="en-US"/>
        </a:p>
      </c:txPr>
    </c:legend>
    <c:plotVisOnly val="1"/>
    <c:dispBlanksAs val="zero"/>
    <c:showDLblsOverMax val="1"/>
  </c:chart>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2000" b="1" i="0">
                <a:solidFill>
                  <a:srgbClr val="000000"/>
                </a:solidFill>
                <a:latin typeface="Aptos Narrow"/>
              </a:defRPr>
            </a:pPr>
            <a:r>
              <a:rPr lang="en-AU" sz="2000" b="1" i="0">
                <a:solidFill>
                  <a:srgbClr val="000000"/>
                </a:solidFill>
                <a:latin typeface="Aptos Narrow"/>
              </a:rPr>
              <a:t>IRR Impact by Scenario (percentage points)</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bar"/>
        <c:grouping val="clustered"/>
        <c:varyColors val="1"/>
        <c:ser>
          <c:idx val="0"/>
          <c:order val="0"/>
          <c:tx>
            <c:v>IRR Delta (pp)</c:v>
          </c:tx>
          <c:spPr>
            <a:solidFill>
              <a:srgbClr val="00FF00"/>
            </a:solidFill>
            <a:ln cmpd="sng">
              <a:noFill/>
            </a:ln>
          </c:spPr>
          <c:invertIfNegative val="1"/>
          <c:dPt>
            <c:idx val="1"/>
            <c:invertIfNegative val="1"/>
            <c:bubble3D val="0"/>
            <c:extLst>
              <c:ext xmlns:c16="http://schemas.microsoft.com/office/drawing/2014/chart" uri="{C3380CC4-5D6E-409C-BE32-E72D297353CC}">
                <c16:uniqueId val="{00000000-C6FE-462F-9BEC-7976C70499FA}"/>
              </c:ext>
            </c:extLst>
          </c:dPt>
          <c:dLbls>
            <c:spPr>
              <a:noFill/>
              <a:ln>
                <a:noFill/>
              </a:ln>
              <a:effectLst/>
            </c:spPr>
            <c:txPr>
              <a:bodyPr/>
              <a:lstStyle/>
              <a:p>
                <a:pPr lvl="0">
                  <a:defRPr sz="2000">
                    <a:solidFill>
                      <a:srgbClr val="000000"/>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'Inputs for Dashboard'!$B$206:$B$213</c:f>
              <c:strCache>
                <c:ptCount val="8"/>
                <c:pt idx="0">
                  <c:v>Base</c:v>
                </c:pt>
                <c:pt idx="1">
                  <c:v>Optimistic</c:v>
                </c:pt>
                <c:pt idx="2">
                  <c:v>Pessimistic</c:v>
                </c:pt>
                <c:pt idx="3">
                  <c:v>Delayed +3m</c:v>
                </c:pt>
                <c:pt idx="4">
                  <c:v>Delayed +6m</c:v>
                </c:pt>
                <c:pt idx="5">
                  <c:v>Capex +10%</c:v>
                </c:pt>
                <c:pt idx="6">
                  <c:v>Capex +20%</c:v>
                </c:pt>
                <c:pt idx="7">
                  <c:v>Sponsorship Under</c:v>
                </c:pt>
              </c:strCache>
            </c:strRef>
          </c:cat>
          <c:val>
            <c:numRef>
              <c:f>'Inputs for Dashboard'!$C$206:$C$213</c:f>
              <c:numCache>
                <c:formatCode>\+0.00;\-0.00;\-</c:formatCode>
                <c:ptCount val="8"/>
                <c:pt idx="0">
                  <c:v>0</c:v>
                </c:pt>
                <c:pt idx="1">
                  <c:v>2.95</c:v>
                </c:pt>
                <c:pt idx="2">
                  <c:v>-5.08</c:v>
                </c:pt>
                <c:pt idx="3">
                  <c:v>-1.02</c:v>
                </c:pt>
                <c:pt idx="4">
                  <c:v>-2.04</c:v>
                </c:pt>
                <c:pt idx="5">
                  <c:v>-2.0299999999999998</c:v>
                </c:pt>
                <c:pt idx="6">
                  <c:v>-4.05</c:v>
                </c:pt>
                <c:pt idx="7">
                  <c:v>-2.0299999999999998</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C6FE-462F-9BEC-7976C70499FA}"/>
            </c:ext>
          </c:extLst>
        </c:ser>
        <c:dLbls>
          <c:showLegendKey val="0"/>
          <c:showVal val="0"/>
          <c:showCatName val="0"/>
          <c:showSerName val="0"/>
          <c:showPercent val="0"/>
          <c:showBubbleSize val="0"/>
        </c:dLbls>
        <c:gapWidth val="150"/>
        <c:shape val="box"/>
        <c:axId val="1111448670"/>
        <c:axId val="1257154364"/>
        <c:axId val="0"/>
      </c:bar3DChart>
      <c:catAx>
        <c:axId val="1111448670"/>
        <c:scaling>
          <c:orientation val="maxMin"/>
        </c:scaling>
        <c:delete val="0"/>
        <c:axPos val="l"/>
        <c:title>
          <c:tx>
            <c:rich>
              <a:bodyPr/>
              <a:lstStyle/>
              <a:p>
                <a:pPr lvl="0">
                  <a:defRPr b="0">
                    <a:solidFill>
                      <a:srgbClr val="000000"/>
                    </a:solidFill>
                    <a:latin typeface="+mn-lt"/>
                  </a:defRPr>
                </a:pPr>
                <a:endParaRPr lang="en-AU"/>
              </a:p>
            </c:rich>
          </c:tx>
          <c:overlay val="0"/>
        </c:title>
        <c:numFmt formatCode="General" sourceLinked="0"/>
        <c:majorTickMark val="none"/>
        <c:minorTickMark val="none"/>
        <c:tickLblPos val="nextTo"/>
        <c:spPr>
          <a:ln>
            <a:noFill/>
          </a:ln>
        </c:spPr>
        <c:txPr>
          <a:bodyPr/>
          <a:lstStyle/>
          <a:p>
            <a:pPr lvl="0">
              <a:defRPr sz="1800" b="0" i="0">
                <a:solidFill>
                  <a:srgbClr val="000000"/>
                </a:solidFill>
                <a:latin typeface="Aptos Narrow"/>
              </a:defRPr>
            </a:pPr>
            <a:endParaRPr lang="en-US"/>
          </a:p>
        </c:txPr>
        <c:crossAx val="1257154364"/>
        <c:crosses val="autoZero"/>
        <c:auto val="1"/>
        <c:lblAlgn val="ctr"/>
        <c:lblOffset val="100"/>
        <c:noMultiLvlLbl val="1"/>
      </c:catAx>
      <c:valAx>
        <c:axId val="1257154364"/>
        <c:scaling>
          <c:orientation val="minMax"/>
        </c:scaling>
        <c:delete val="0"/>
        <c:axPos val="b"/>
        <c:title>
          <c:tx>
            <c:rich>
              <a:bodyPr/>
              <a:lstStyle/>
              <a:p>
                <a:pPr lvl="0">
                  <a:defRPr sz="1000" b="0" i="0">
                    <a:solidFill>
                      <a:srgbClr val="000000"/>
                    </a:solidFill>
                    <a:latin typeface="Aptos Narrow"/>
                  </a:defRPr>
                </a:pPr>
                <a:endParaRPr lang="en-AU"/>
              </a:p>
            </c:rich>
          </c:tx>
          <c:overlay val="0"/>
        </c:title>
        <c:numFmt formatCode="General" sourceLinked="0"/>
        <c:majorTickMark val="none"/>
        <c:minorTickMark val="none"/>
        <c:tickLblPos val="nextTo"/>
        <c:spPr>
          <a:ln>
            <a:noFill/>
          </a:ln>
        </c:spPr>
        <c:txPr>
          <a:bodyPr/>
          <a:lstStyle/>
          <a:p>
            <a:pPr lvl="0">
              <a:defRPr sz="900" b="0" i="0">
                <a:solidFill>
                  <a:srgbClr val="000000"/>
                </a:solidFill>
                <a:latin typeface="Aptos Narrow"/>
              </a:defRPr>
            </a:pPr>
            <a:endParaRPr lang="en-US"/>
          </a:p>
        </c:txPr>
        <c:crossAx val="1111448670"/>
        <c:crosses val="max"/>
        <c:crossBetween val="between"/>
      </c:valAx>
    </c:plotArea>
    <c:plotVisOnly val="1"/>
    <c:dispBlanksAs val="zero"/>
    <c:showDLblsOverMax val="1"/>
  </c:chart>
  <c:spPr>
    <a:solidFill>
      <a:srgbClr val="FFFFFF"/>
    </a:solidFill>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2000" b="1" i="0">
                <a:solidFill>
                  <a:srgbClr val="000000"/>
                </a:solidFill>
                <a:latin typeface="Aptos Narrow"/>
              </a:defRPr>
            </a:pPr>
            <a:r>
              <a:rPr lang="en-AU" sz="2000" b="1" i="0">
                <a:solidFill>
                  <a:srgbClr val="000000"/>
                </a:solidFill>
                <a:latin typeface="Aptos Narrow"/>
              </a:rPr>
              <a:t>EV → Equity Value Waterfall</a:t>
            </a:r>
          </a:p>
        </c:rich>
      </c:tx>
      <c:overlay val="0"/>
    </c:title>
    <c:autoTitleDeleted val="0"/>
    <c:plotArea>
      <c:layout/>
      <c:barChart>
        <c:barDir val="col"/>
        <c:grouping val="stacked"/>
        <c:varyColors val="1"/>
        <c:ser>
          <c:idx val="0"/>
          <c:order val="0"/>
          <c:tx>
            <c:v>(hidden)</c:v>
          </c:tx>
          <c:spPr>
            <a:solidFill>
              <a:srgbClr val="FFFFFF"/>
            </a:solidFill>
            <a:ln cmpd="sng">
              <a:noFill/>
            </a:ln>
          </c:spPr>
          <c:invertIfNegative val="1"/>
          <c:dPt>
            <c:idx val="5"/>
            <c:invertIfNegative val="1"/>
            <c:bubble3D val="0"/>
            <c:extLst>
              <c:ext xmlns:c16="http://schemas.microsoft.com/office/drawing/2014/chart" uri="{C3380CC4-5D6E-409C-BE32-E72D297353CC}">
                <c16:uniqueId val="{00000000-01C0-4B0B-9705-1285766AAB5B}"/>
              </c:ext>
            </c:extLst>
          </c:dPt>
          <c:cat>
            <c:strRef>
              <c:f>'Inputs for Dashboard'!$B$218:$B$224</c:f>
              <c:strCache>
                <c:ptCount val="7"/>
                <c:pt idx="0">
                  <c:v>Category</c:v>
                </c:pt>
                <c:pt idx="1">
                  <c:v>PV FCF</c:v>
                </c:pt>
                <c:pt idx="2">
                  <c:v>PV TV</c:v>
                </c:pt>
                <c:pt idx="3">
                  <c:v>EV</c:v>
                </c:pt>
                <c:pt idx="4">
                  <c:v>Less Debt</c:v>
                </c:pt>
                <c:pt idx="5">
                  <c:v>Add Cash</c:v>
                </c:pt>
                <c:pt idx="6">
                  <c:v>Equity Value</c:v>
                </c:pt>
              </c:strCache>
            </c:strRef>
          </c:cat>
          <c:val>
            <c:numRef>
              <c:f>'Inputs for Dashboard'!$C$218:$C$224</c:f>
              <c:numCache>
                <c:formatCode>\$#,##0</c:formatCode>
                <c:ptCount val="7"/>
                <c:pt idx="0" formatCode="General">
                  <c:v>0</c:v>
                </c:pt>
                <c:pt idx="1">
                  <c:v>0</c:v>
                </c:pt>
                <c:pt idx="2">
                  <c:v>30048862.997447755</c:v>
                </c:pt>
                <c:pt idx="3">
                  <c:v>0</c:v>
                </c:pt>
                <c:pt idx="4">
                  <c:v>49625691.637933955</c:v>
                </c:pt>
                <c:pt idx="5">
                  <c:v>49625691.637933955</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01C0-4B0B-9705-1285766AAB5B}"/>
            </c:ext>
          </c:extLst>
        </c:ser>
        <c:ser>
          <c:idx val="1"/>
          <c:order val="1"/>
          <c:tx>
            <c:v>Positive</c:v>
          </c:tx>
          <c:spPr>
            <a:solidFill>
              <a:srgbClr val="2E7D32"/>
            </a:solidFill>
            <a:ln cmpd="sng">
              <a:noFill/>
            </a:ln>
          </c:spPr>
          <c:invertIfNegative val="1"/>
          <c:cat>
            <c:strRef>
              <c:f>'Inputs for Dashboard'!$B$218:$B$224</c:f>
              <c:strCache>
                <c:ptCount val="7"/>
                <c:pt idx="0">
                  <c:v>Category</c:v>
                </c:pt>
                <c:pt idx="1">
                  <c:v>PV FCF</c:v>
                </c:pt>
                <c:pt idx="2">
                  <c:v>PV TV</c:v>
                </c:pt>
                <c:pt idx="3">
                  <c:v>EV</c:v>
                </c:pt>
                <c:pt idx="4">
                  <c:v>Less Debt</c:v>
                </c:pt>
                <c:pt idx="5">
                  <c:v>Add Cash</c:v>
                </c:pt>
                <c:pt idx="6">
                  <c:v>Equity Value</c:v>
                </c:pt>
              </c:strCache>
            </c:strRef>
          </c:cat>
          <c:val>
            <c:numRef>
              <c:f>'Inputs for Dashboard'!$D$218:$D$224</c:f>
              <c:numCache>
                <c:formatCode>\$#,##0</c:formatCode>
                <c:ptCount val="7"/>
                <c:pt idx="0" formatCode="General">
                  <c:v>0</c:v>
                </c:pt>
                <c:pt idx="1">
                  <c:v>30048862.997447755</c:v>
                </c:pt>
                <c:pt idx="2">
                  <c:v>32252743.640486203</c:v>
                </c:pt>
                <c:pt idx="3">
                  <c:v>0</c:v>
                </c:pt>
                <c:pt idx="4">
                  <c:v>0</c:v>
                </c:pt>
                <c:pt idx="5">
                  <c:v>-452228.39999999851</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2-01C0-4B0B-9705-1285766AAB5B}"/>
            </c:ext>
          </c:extLst>
        </c:ser>
        <c:ser>
          <c:idx val="2"/>
          <c:order val="2"/>
          <c:tx>
            <c:v>Negative</c:v>
          </c:tx>
          <c:spPr>
            <a:solidFill>
              <a:srgbClr val="C62828"/>
            </a:solidFill>
            <a:ln cmpd="sng">
              <a:noFill/>
            </a:ln>
          </c:spPr>
          <c:invertIfNegative val="1"/>
          <c:cat>
            <c:strRef>
              <c:f>'Inputs for Dashboard'!$B$218:$B$224</c:f>
              <c:strCache>
                <c:ptCount val="7"/>
                <c:pt idx="0">
                  <c:v>Category</c:v>
                </c:pt>
                <c:pt idx="1">
                  <c:v>PV FCF</c:v>
                </c:pt>
                <c:pt idx="2">
                  <c:v>PV TV</c:v>
                </c:pt>
                <c:pt idx="3">
                  <c:v>EV</c:v>
                </c:pt>
                <c:pt idx="4">
                  <c:v>Less Debt</c:v>
                </c:pt>
                <c:pt idx="5">
                  <c:v>Add Cash</c:v>
                </c:pt>
                <c:pt idx="6">
                  <c:v>Equity Value</c:v>
                </c:pt>
              </c:strCache>
            </c:strRef>
          </c:cat>
          <c:val>
            <c:numRef>
              <c:f>'Inputs for Dashboard'!$E$218:$E$224</c:f>
              <c:numCache>
                <c:formatCode>\$#,##0</c:formatCode>
                <c:ptCount val="7"/>
                <c:pt idx="0" formatCode="General">
                  <c:v>0</c:v>
                </c:pt>
                <c:pt idx="1">
                  <c:v>0</c:v>
                </c:pt>
                <c:pt idx="2">
                  <c:v>0</c:v>
                </c:pt>
                <c:pt idx="3">
                  <c:v>0</c:v>
                </c:pt>
                <c:pt idx="4">
                  <c:v>12675915</c:v>
                </c:pt>
                <c:pt idx="5">
                  <c:v>0</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3-01C0-4B0B-9705-1285766AAB5B}"/>
            </c:ext>
          </c:extLst>
        </c:ser>
        <c:ser>
          <c:idx val="3"/>
          <c:order val="3"/>
          <c:tx>
            <c:v>Total</c:v>
          </c:tx>
          <c:spPr>
            <a:solidFill>
              <a:srgbClr val="1F3864"/>
            </a:solidFill>
            <a:ln cmpd="sng">
              <a:noFill/>
            </a:ln>
          </c:spPr>
          <c:invertIfNegative val="1"/>
          <c:dPt>
            <c:idx val="6"/>
            <c:invertIfNegative val="1"/>
            <c:bubble3D val="0"/>
            <c:spPr>
              <a:solidFill>
                <a:srgbClr val="4A86E8"/>
              </a:solidFill>
              <a:ln cmpd="sng">
                <a:noFill/>
              </a:ln>
            </c:spPr>
            <c:extLst>
              <c:ext xmlns:c16="http://schemas.microsoft.com/office/drawing/2014/chart" uri="{C3380CC4-5D6E-409C-BE32-E72D297353CC}">
                <c16:uniqueId val="{00000005-01C0-4B0B-9705-1285766AAB5B}"/>
              </c:ext>
            </c:extLst>
          </c:dPt>
          <c:cat>
            <c:strRef>
              <c:f>'Inputs for Dashboard'!$B$218:$B$224</c:f>
              <c:strCache>
                <c:ptCount val="7"/>
                <c:pt idx="0">
                  <c:v>Category</c:v>
                </c:pt>
                <c:pt idx="1">
                  <c:v>PV FCF</c:v>
                </c:pt>
                <c:pt idx="2">
                  <c:v>PV TV</c:v>
                </c:pt>
                <c:pt idx="3">
                  <c:v>EV</c:v>
                </c:pt>
                <c:pt idx="4">
                  <c:v>Less Debt</c:v>
                </c:pt>
                <c:pt idx="5">
                  <c:v>Add Cash</c:v>
                </c:pt>
                <c:pt idx="6">
                  <c:v>Equity Value</c:v>
                </c:pt>
              </c:strCache>
            </c:strRef>
          </c:cat>
          <c:val>
            <c:numRef>
              <c:f>'Inputs for Dashboard'!$F$218:$F$224</c:f>
              <c:numCache>
                <c:formatCode>\$#,##0</c:formatCode>
                <c:ptCount val="7"/>
                <c:pt idx="0" formatCode="General">
                  <c:v>0</c:v>
                </c:pt>
                <c:pt idx="1">
                  <c:v>0</c:v>
                </c:pt>
                <c:pt idx="2">
                  <c:v>0</c:v>
                </c:pt>
                <c:pt idx="3">
                  <c:v>62301606.637933955</c:v>
                </c:pt>
                <c:pt idx="4">
                  <c:v>0</c:v>
                </c:pt>
                <c:pt idx="5">
                  <c:v>0</c:v>
                </c:pt>
                <c:pt idx="6">
                  <c:v>50077920.037933953</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6-01C0-4B0B-9705-1285766AAB5B}"/>
            </c:ext>
          </c:extLst>
        </c:ser>
        <c:dLbls>
          <c:showLegendKey val="0"/>
          <c:showVal val="0"/>
          <c:showCatName val="0"/>
          <c:showSerName val="0"/>
          <c:showPercent val="0"/>
          <c:showBubbleSize val="0"/>
        </c:dLbls>
        <c:gapWidth val="150"/>
        <c:overlap val="100"/>
        <c:axId val="2000615691"/>
        <c:axId val="245588998"/>
      </c:barChart>
      <c:catAx>
        <c:axId val="2000615691"/>
        <c:scaling>
          <c:orientation val="minMax"/>
        </c:scaling>
        <c:delete val="0"/>
        <c:axPos val="b"/>
        <c:title>
          <c:tx>
            <c:rich>
              <a:bodyPr/>
              <a:lstStyle/>
              <a:p>
                <a:pPr lvl="0">
                  <a:defRPr b="0">
                    <a:solidFill>
                      <a:srgbClr val="000000"/>
                    </a:solidFill>
                    <a:latin typeface="+mn-lt"/>
                  </a:defRPr>
                </a:pPr>
                <a:endParaRPr lang="en-AU"/>
              </a:p>
            </c:rich>
          </c:tx>
          <c:overlay val="0"/>
        </c:title>
        <c:numFmt formatCode="General" sourceLinked="0"/>
        <c:majorTickMark val="none"/>
        <c:minorTickMark val="none"/>
        <c:tickLblPos val="nextTo"/>
        <c:spPr>
          <a:ln>
            <a:noFill/>
          </a:ln>
        </c:spPr>
        <c:txPr>
          <a:bodyPr/>
          <a:lstStyle/>
          <a:p>
            <a:pPr lvl="0">
              <a:defRPr sz="1400" b="0" i="0">
                <a:solidFill>
                  <a:srgbClr val="000000"/>
                </a:solidFill>
                <a:latin typeface="Aptos Narrow"/>
              </a:defRPr>
            </a:pPr>
            <a:endParaRPr lang="en-US"/>
          </a:p>
        </c:txPr>
        <c:crossAx val="245588998"/>
        <c:crosses val="autoZero"/>
        <c:auto val="1"/>
        <c:lblAlgn val="ctr"/>
        <c:lblOffset val="100"/>
        <c:noMultiLvlLbl val="1"/>
      </c:catAx>
      <c:valAx>
        <c:axId val="245588998"/>
        <c:scaling>
          <c:orientation val="minMax"/>
        </c:scaling>
        <c:delete val="0"/>
        <c:axPos val="l"/>
        <c:title>
          <c:tx>
            <c:rich>
              <a:bodyPr/>
              <a:lstStyle/>
              <a:p>
                <a:pPr lvl="0">
                  <a:defRPr sz="1000" b="0" i="0">
                    <a:solidFill>
                      <a:srgbClr val="000000"/>
                    </a:solidFill>
                    <a:latin typeface="Aptos Narrow"/>
                  </a:defRPr>
                </a:pPr>
                <a:r>
                  <a:rPr lang="en-AU" sz="1000" b="0" i="0">
                    <a:solidFill>
                      <a:srgbClr val="000000"/>
                    </a:solidFill>
                    <a:latin typeface="Aptos Narrow"/>
                  </a:rPr>
                  <a:t>$M</a:t>
                </a:r>
              </a:p>
            </c:rich>
          </c:tx>
          <c:overlay val="0"/>
        </c:title>
        <c:numFmt formatCode="\$#,##0,,\M" sourceLinked="0"/>
        <c:majorTickMark val="none"/>
        <c:minorTickMark val="none"/>
        <c:tickLblPos val="nextTo"/>
        <c:spPr>
          <a:ln>
            <a:noFill/>
          </a:ln>
        </c:spPr>
        <c:txPr>
          <a:bodyPr/>
          <a:lstStyle/>
          <a:p>
            <a:pPr lvl="0">
              <a:defRPr sz="1400" b="0" i="0">
                <a:solidFill>
                  <a:srgbClr val="000000"/>
                </a:solidFill>
                <a:latin typeface="Aptos Narrow"/>
              </a:defRPr>
            </a:pPr>
            <a:endParaRPr lang="en-US"/>
          </a:p>
        </c:txPr>
        <c:crossAx val="2000615691"/>
        <c:crosses val="autoZero"/>
        <c:crossBetween val="between"/>
      </c:valAx>
    </c:plotArea>
    <c:legend>
      <c:legendPos val="b"/>
      <c:overlay val="0"/>
      <c:txPr>
        <a:bodyPr/>
        <a:lstStyle/>
        <a:p>
          <a:pPr lvl="0">
            <a:defRPr b="1">
              <a:solidFill>
                <a:srgbClr val="1A1A1A"/>
              </a:solidFill>
              <a:latin typeface="Arial"/>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2000" b="1">
                <a:solidFill>
                  <a:srgbClr val="000000"/>
                </a:solidFill>
                <a:latin typeface="+mn-lt"/>
              </a:defRPr>
            </a:pPr>
            <a:r>
              <a:rPr lang="en-AU" sz="2000" b="1">
                <a:solidFill>
                  <a:srgbClr val="000000"/>
                </a:solidFill>
                <a:latin typeface="+mn-lt"/>
              </a:rPr>
              <a:t>Average Revenue per Event  FY28</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spPr>
            <a:solidFill>
              <a:srgbClr val="00FF00"/>
            </a:solidFill>
            <a:ln cmpd="sng">
              <a:noFill/>
            </a:ln>
          </c:spPr>
          <c:invertIfNegative val="1"/>
          <c:dLbls>
            <c:spPr>
              <a:noFill/>
              <a:ln>
                <a:noFill/>
              </a:ln>
              <a:effectLst/>
            </c:spPr>
            <c:txPr>
              <a:bodyPr/>
              <a:lstStyle/>
              <a:p>
                <a:pPr lvl="0">
                  <a:defRPr>
                    <a:solidFill>
                      <a:srgbClr val="000000"/>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'For Deck'!$B$324:$B$335</c:f>
              <c:strCache>
                <c:ptCount val="12"/>
                <c:pt idx="0">
                  <c:v>Events</c:v>
                </c:pt>
                <c:pt idx="1">
                  <c:v>Music GA (Large)</c:v>
                </c:pt>
                <c:pt idx="2">
                  <c:v>Music GA (Medium)</c:v>
                </c:pt>
                <c:pt idx="3">
                  <c:v>Music GA (Small)</c:v>
                </c:pt>
                <c:pt idx="4">
                  <c:v>EDM </c:v>
                </c:pt>
                <c:pt idx="5">
                  <c:v>Music (Seated)</c:v>
                </c:pt>
                <c:pt idx="6">
                  <c:v>Comedy (Seated)</c:v>
                </c:pt>
                <c:pt idx="7">
                  <c:v>Sports</c:v>
                </c:pt>
                <c:pt idx="8">
                  <c:v>MICE</c:v>
                </c:pt>
                <c:pt idx="9">
                  <c:v>Community</c:v>
                </c:pt>
                <c:pt idx="10">
                  <c:v>Live Site </c:v>
                </c:pt>
                <c:pt idx="11">
                  <c:v>Farmers Market </c:v>
                </c:pt>
              </c:strCache>
            </c:strRef>
          </c:cat>
          <c:val>
            <c:numRef>
              <c:f>'For Deck'!$C$324:$C$335</c:f>
              <c:numCache>
                <c:formatCode>\$0,"K"</c:formatCode>
                <c:ptCount val="12"/>
                <c:pt idx="0" formatCode="General">
                  <c:v>0</c:v>
                </c:pt>
                <c:pt idx="1">
                  <c:v>53560</c:v>
                </c:pt>
                <c:pt idx="2">
                  <c:v>32136</c:v>
                </c:pt>
                <c:pt idx="3">
                  <c:v>15444</c:v>
                </c:pt>
                <c:pt idx="4">
                  <c:v>50778</c:v>
                </c:pt>
                <c:pt idx="5">
                  <c:v>42178.5</c:v>
                </c:pt>
                <c:pt idx="6">
                  <c:v>42178.5</c:v>
                </c:pt>
                <c:pt idx="7">
                  <c:v>40000</c:v>
                </c:pt>
                <c:pt idx="8">
                  <c:v>40000</c:v>
                </c:pt>
                <c:pt idx="9">
                  <c:v>10000</c:v>
                </c:pt>
                <c:pt idx="10">
                  <c:v>20000</c:v>
                </c:pt>
                <c:pt idx="11">
                  <c:v>10000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5517-4CF4-8C63-E3EA2F94CF3D}"/>
            </c:ext>
          </c:extLst>
        </c:ser>
        <c:dLbls>
          <c:showLegendKey val="0"/>
          <c:showVal val="0"/>
          <c:showCatName val="0"/>
          <c:showSerName val="0"/>
          <c:showPercent val="0"/>
          <c:showBubbleSize val="0"/>
        </c:dLbls>
        <c:gapWidth val="150"/>
        <c:shape val="box"/>
        <c:axId val="897699735"/>
        <c:axId val="485336038"/>
        <c:axId val="0"/>
      </c:bar3DChart>
      <c:catAx>
        <c:axId val="897699735"/>
        <c:scaling>
          <c:orientation val="minMax"/>
        </c:scaling>
        <c:delete val="0"/>
        <c:axPos val="b"/>
        <c:title>
          <c:tx>
            <c:rich>
              <a:bodyPr/>
              <a:lstStyle/>
              <a:p>
                <a:pPr lvl="0">
                  <a:defRPr b="0">
                    <a:solidFill>
                      <a:srgbClr val="000000"/>
                    </a:solidFill>
                    <a:latin typeface="+mn-lt"/>
                  </a:defRPr>
                </a:pPr>
                <a:endParaRPr lang="en-AU"/>
              </a:p>
            </c:rich>
          </c:tx>
          <c:overlay val="0"/>
        </c:title>
        <c:numFmt formatCode="General" sourceLinked="1"/>
        <c:majorTickMark val="none"/>
        <c:minorTickMark val="none"/>
        <c:tickLblPos val="nextTo"/>
        <c:spPr>
          <a:ln>
            <a:noFill/>
          </a:ln>
        </c:spPr>
        <c:txPr>
          <a:bodyPr rot="-1800000"/>
          <a:lstStyle/>
          <a:p>
            <a:pPr lvl="0">
              <a:defRPr sz="1000" b="0">
                <a:solidFill>
                  <a:srgbClr val="000000"/>
                </a:solidFill>
                <a:latin typeface="+mn-lt"/>
              </a:defRPr>
            </a:pPr>
            <a:endParaRPr lang="en-US"/>
          </a:p>
        </c:txPr>
        <c:crossAx val="485336038"/>
        <c:crosses val="autoZero"/>
        <c:auto val="1"/>
        <c:lblAlgn val="ctr"/>
        <c:lblOffset val="100"/>
        <c:noMultiLvlLbl val="1"/>
      </c:catAx>
      <c:valAx>
        <c:axId val="485336038"/>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endParaRPr lang="en-AU"/>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897699735"/>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AU" b="1">
                <a:solidFill>
                  <a:srgbClr val="000000"/>
                </a:solidFill>
                <a:latin typeface="+mn-lt"/>
              </a:rPr>
              <a:t>Average Revenue per Event  FY29</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spPr>
            <a:solidFill>
              <a:srgbClr val="00FF00"/>
            </a:solidFill>
            <a:ln cmpd="sng">
              <a:noFill/>
            </a:ln>
          </c:spPr>
          <c:invertIfNegative val="1"/>
          <c:dLbls>
            <c:spPr>
              <a:noFill/>
              <a:ln>
                <a:noFill/>
              </a:ln>
              <a:effectLst/>
            </c:spPr>
            <c:txPr>
              <a:bodyPr/>
              <a:lstStyle/>
              <a:p>
                <a:pPr lvl="0">
                  <a:defRPr>
                    <a:solidFill>
                      <a:srgbClr val="000000"/>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'For Deck'!$B$337:$B$348</c:f>
              <c:strCache>
                <c:ptCount val="12"/>
                <c:pt idx="0">
                  <c:v>Events</c:v>
                </c:pt>
                <c:pt idx="1">
                  <c:v>Music GA (Large)</c:v>
                </c:pt>
                <c:pt idx="2">
                  <c:v>Music GA (Medium)</c:v>
                </c:pt>
                <c:pt idx="3">
                  <c:v>Music GA (Small)</c:v>
                </c:pt>
                <c:pt idx="4">
                  <c:v>EDM </c:v>
                </c:pt>
                <c:pt idx="5">
                  <c:v>Music (Seated)</c:v>
                </c:pt>
                <c:pt idx="6">
                  <c:v>Comedy (Seated)</c:v>
                </c:pt>
                <c:pt idx="7">
                  <c:v>Sports</c:v>
                </c:pt>
                <c:pt idx="8">
                  <c:v>MICE</c:v>
                </c:pt>
                <c:pt idx="9">
                  <c:v>Community</c:v>
                </c:pt>
                <c:pt idx="10">
                  <c:v>Live Site </c:v>
                </c:pt>
                <c:pt idx="11">
                  <c:v>Farmers Market </c:v>
                </c:pt>
              </c:strCache>
            </c:strRef>
          </c:cat>
          <c:val>
            <c:numRef>
              <c:f>'For Deck'!$C$337:$C$348</c:f>
              <c:numCache>
                <c:formatCode>\$0,"K"</c:formatCode>
                <c:ptCount val="12"/>
                <c:pt idx="0" formatCode="General">
                  <c:v>0</c:v>
                </c:pt>
                <c:pt idx="1">
                  <c:v>55166.8</c:v>
                </c:pt>
                <c:pt idx="2">
                  <c:v>33100.080000000002</c:v>
                </c:pt>
                <c:pt idx="3">
                  <c:v>15907.32</c:v>
                </c:pt>
                <c:pt idx="4">
                  <c:v>52301.340000000004</c:v>
                </c:pt>
                <c:pt idx="5">
                  <c:v>43443.855000000003</c:v>
                </c:pt>
                <c:pt idx="6">
                  <c:v>43443.855000000003</c:v>
                </c:pt>
                <c:pt idx="7">
                  <c:v>41200</c:v>
                </c:pt>
                <c:pt idx="8">
                  <c:v>41200</c:v>
                </c:pt>
                <c:pt idx="9">
                  <c:v>10300</c:v>
                </c:pt>
                <c:pt idx="10">
                  <c:v>20600</c:v>
                </c:pt>
                <c:pt idx="11">
                  <c:v>10300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7CE6-409E-9C69-1E120B24C2AA}"/>
            </c:ext>
          </c:extLst>
        </c:ser>
        <c:dLbls>
          <c:showLegendKey val="0"/>
          <c:showVal val="0"/>
          <c:showCatName val="0"/>
          <c:showSerName val="0"/>
          <c:showPercent val="0"/>
          <c:showBubbleSize val="0"/>
        </c:dLbls>
        <c:gapWidth val="150"/>
        <c:shape val="box"/>
        <c:axId val="1201747205"/>
        <c:axId val="1225545094"/>
        <c:axId val="0"/>
      </c:bar3DChart>
      <c:catAx>
        <c:axId val="1201747205"/>
        <c:scaling>
          <c:orientation val="minMax"/>
        </c:scaling>
        <c:delete val="0"/>
        <c:axPos val="b"/>
        <c:title>
          <c:tx>
            <c:rich>
              <a:bodyPr/>
              <a:lstStyle/>
              <a:p>
                <a:pPr lvl="0">
                  <a:defRPr b="0">
                    <a:solidFill>
                      <a:srgbClr val="000000"/>
                    </a:solidFill>
                    <a:latin typeface="+mn-lt"/>
                  </a:defRPr>
                </a:pPr>
                <a:endParaRPr lang="en-AU"/>
              </a:p>
            </c:rich>
          </c:tx>
          <c:overlay val="0"/>
        </c:title>
        <c:numFmt formatCode="General" sourceLinked="1"/>
        <c:majorTickMark val="none"/>
        <c:minorTickMark val="none"/>
        <c:tickLblPos val="nextTo"/>
        <c:spPr>
          <a:ln>
            <a:noFill/>
          </a:ln>
        </c:spPr>
        <c:txPr>
          <a:bodyPr rot="-1800000"/>
          <a:lstStyle/>
          <a:p>
            <a:pPr lvl="0">
              <a:defRPr sz="1400" b="0">
                <a:solidFill>
                  <a:srgbClr val="000000"/>
                </a:solidFill>
                <a:latin typeface="+mn-lt"/>
              </a:defRPr>
            </a:pPr>
            <a:endParaRPr lang="en-US"/>
          </a:p>
        </c:txPr>
        <c:crossAx val="1225545094"/>
        <c:crosses val="autoZero"/>
        <c:auto val="1"/>
        <c:lblAlgn val="ctr"/>
        <c:lblOffset val="100"/>
        <c:noMultiLvlLbl val="1"/>
      </c:catAx>
      <c:valAx>
        <c:axId val="1225545094"/>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endParaRPr lang="en-AU"/>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201747205"/>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AU" b="1">
                <a:solidFill>
                  <a:srgbClr val="000000"/>
                </a:solidFill>
                <a:latin typeface="+mn-lt"/>
              </a:rPr>
              <a:t>Average Revenue per Event  FY30</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spPr>
            <a:solidFill>
              <a:srgbClr val="00FF00"/>
            </a:solidFill>
            <a:ln cmpd="sng">
              <a:noFill/>
            </a:ln>
          </c:spPr>
          <c:invertIfNegative val="1"/>
          <c:dLbls>
            <c:spPr>
              <a:noFill/>
              <a:ln>
                <a:noFill/>
              </a:ln>
              <a:effectLst/>
            </c:spPr>
            <c:txPr>
              <a:bodyPr/>
              <a:lstStyle/>
              <a:p>
                <a:pPr lvl="0">
                  <a:defRPr>
                    <a:solidFill>
                      <a:srgbClr val="000000"/>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'For Deck'!$B$350:$B$361</c:f>
              <c:strCache>
                <c:ptCount val="12"/>
                <c:pt idx="0">
                  <c:v>Events</c:v>
                </c:pt>
                <c:pt idx="1">
                  <c:v>Music GA (Large)</c:v>
                </c:pt>
                <c:pt idx="2">
                  <c:v>Music GA (Medium)</c:v>
                </c:pt>
                <c:pt idx="3">
                  <c:v>Music GA (Small)</c:v>
                </c:pt>
                <c:pt idx="4">
                  <c:v>EDM </c:v>
                </c:pt>
                <c:pt idx="5">
                  <c:v>Music (Seated)</c:v>
                </c:pt>
                <c:pt idx="6">
                  <c:v>Comedy (Seated)</c:v>
                </c:pt>
                <c:pt idx="7">
                  <c:v>Sports</c:v>
                </c:pt>
                <c:pt idx="8">
                  <c:v>MICE</c:v>
                </c:pt>
                <c:pt idx="9">
                  <c:v>Community</c:v>
                </c:pt>
                <c:pt idx="10">
                  <c:v>Live Site </c:v>
                </c:pt>
                <c:pt idx="11">
                  <c:v>Farmers Market </c:v>
                </c:pt>
              </c:strCache>
            </c:strRef>
          </c:cat>
          <c:val>
            <c:numRef>
              <c:f>'For Deck'!$C$350:$C$361</c:f>
              <c:numCache>
                <c:formatCode>\$0,"K"</c:formatCode>
                <c:ptCount val="12"/>
                <c:pt idx="0" formatCode="General">
                  <c:v>0</c:v>
                </c:pt>
                <c:pt idx="1">
                  <c:v>56821.804000000004</c:v>
                </c:pt>
                <c:pt idx="2">
                  <c:v>34093.082399999999</c:v>
                </c:pt>
                <c:pt idx="3">
                  <c:v>16384.5396</c:v>
                </c:pt>
                <c:pt idx="4">
                  <c:v>53870.380200000007</c:v>
                </c:pt>
                <c:pt idx="5">
                  <c:v>44747.17065</c:v>
                </c:pt>
                <c:pt idx="6">
                  <c:v>44747.17065</c:v>
                </c:pt>
                <c:pt idx="7">
                  <c:v>42436</c:v>
                </c:pt>
                <c:pt idx="8">
                  <c:v>42436</c:v>
                </c:pt>
                <c:pt idx="9">
                  <c:v>10609</c:v>
                </c:pt>
                <c:pt idx="10">
                  <c:v>21218</c:v>
                </c:pt>
                <c:pt idx="11">
                  <c:v>10609</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1F79-49F6-88DE-9BF77EF0F649}"/>
            </c:ext>
          </c:extLst>
        </c:ser>
        <c:dLbls>
          <c:showLegendKey val="0"/>
          <c:showVal val="0"/>
          <c:showCatName val="0"/>
          <c:showSerName val="0"/>
          <c:showPercent val="0"/>
          <c:showBubbleSize val="0"/>
        </c:dLbls>
        <c:gapWidth val="150"/>
        <c:shape val="box"/>
        <c:axId val="956687170"/>
        <c:axId val="2131554152"/>
        <c:axId val="0"/>
      </c:bar3DChart>
      <c:catAx>
        <c:axId val="956687170"/>
        <c:scaling>
          <c:orientation val="minMax"/>
        </c:scaling>
        <c:delete val="0"/>
        <c:axPos val="b"/>
        <c:title>
          <c:tx>
            <c:rich>
              <a:bodyPr/>
              <a:lstStyle/>
              <a:p>
                <a:pPr lvl="0">
                  <a:defRPr b="0">
                    <a:solidFill>
                      <a:srgbClr val="000000"/>
                    </a:solidFill>
                    <a:latin typeface="+mn-lt"/>
                  </a:defRPr>
                </a:pPr>
                <a:endParaRPr lang="en-AU"/>
              </a:p>
            </c:rich>
          </c:tx>
          <c:overlay val="0"/>
        </c:title>
        <c:numFmt formatCode="General" sourceLinked="1"/>
        <c:majorTickMark val="none"/>
        <c:minorTickMark val="none"/>
        <c:tickLblPos val="nextTo"/>
        <c:spPr>
          <a:ln>
            <a:noFill/>
          </a:ln>
        </c:spPr>
        <c:txPr>
          <a:bodyPr rot="-1800000"/>
          <a:lstStyle/>
          <a:p>
            <a:pPr lvl="0">
              <a:defRPr sz="1600" b="0">
                <a:solidFill>
                  <a:srgbClr val="000000"/>
                </a:solidFill>
                <a:latin typeface="+mn-lt"/>
              </a:defRPr>
            </a:pPr>
            <a:endParaRPr lang="en-US"/>
          </a:p>
        </c:txPr>
        <c:crossAx val="2131554152"/>
        <c:crosses val="autoZero"/>
        <c:auto val="1"/>
        <c:lblAlgn val="ctr"/>
        <c:lblOffset val="100"/>
        <c:noMultiLvlLbl val="1"/>
      </c:catAx>
      <c:valAx>
        <c:axId val="2131554152"/>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endParaRPr lang="en-AU"/>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956687170"/>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AU" b="1">
                <a:solidFill>
                  <a:srgbClr val="000000"/>
                </a:solidFill>
                <a:latin typeface="+mn-lt"/>
              </a:rPr>
              <a:t>Average Revenue per Event  FY31</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spPr>
            <a:solidFill>
              <a:srgbClr val="00FF00"/>
            </a:solidFill>
            <a:ln cmpd="sng">
              <a:noFill/>
            </a:ln>
          </c:spPr>
          <c:invertIfNegative val="1"/>
          <c:dLbls>
            <c:spPr>
              <a:noFill/>
              <a:ln>
                <a:noFill/>
              </a:ln>
              <a:effectLst/>
            </c:spPr>
            <c:txPr>
              <a:bodyPr/>
              <a:lstStyle/>
              <a:p>
                <a:pPr lvl="0">
                  <a:defRPr>
                    <a:solidFill>
                      <a:srgbClr val="000000"/>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'For Deck'!$B$363:$B$374</c:f>
              <c:strCache>
                <c:ptCount val="12"/>
                <c:pt idx="0">
                  <c:v>Events</c:v>
                </c:pt>
                <c:pt idx="1">
                  <c:v>Music GA (Large)</c:v>
                </c:pt>
                <c:pt idx="2">
                  <c:v>Music GA (Medium)</c:v>
                </c:pt>
                <c:pt idx="3">
                  <c:v>Music GA (Small)</c:v>
                </c:pt>
                <c:pt idx="4">
                  <c:v>EDM </c:v>
                </c:pt>
                <c:pt idx="5">
                  <c:v>Music (Seated)</c:v>
                </c:pt>
                <c:pt idx="6">
                  <c:v>Comedy (Seated)</c:v>
                </c:pt>
                <c:pt idx="7">
                  <c:v>Sports</c:v>
                </c:pt>
                <c:pt idx="8">
                  <c:v>MICE</c:v>
                </c:pt>
                <c:pt idx="9">
                  <c:v>Community</c:v>
                </c:pt>
                <c:pt idx="10">
                  <c:v>Live Site </c:v>
                </c:pt>
                <c:pt idx="11">
                  <c:v>Farmers Market </c:v>
                </c:pt>
              </c:strCache>
            </c:strRef>
          </c:cat>
          <c:val>
            <c:numRef>
              <c:f>'For Deck'!$C$363:$C$374</c:f>
              <c:numCache>
                <c:formatCode>\$0,"K"</c:formatCode>
                <c:ptCount val="12"/>
                <c:pt idx="0" formatCode="General">
                  <c:v>0</c:v>
                </c:pt>
                <c:pt idx="1">
                  <c:v>58526.458119999996</c:v>
                </c:pt>
                <c:pt idx="2">
                  <c:v>35115.874872</c:v>
                </c:pt>
                <c:pt idx="3">
                  <c:v>16876.075788000002</c:v>
                </c:pt>
                <c:pt idx="4">
                  <c:v>55486.491606000003</c:v>
                </c:pt>
                <c:pt idx="5">
                  <c:v>46089.585769500001</c:v>
                </c:pt>
                <c:pt idx="6">
                  <c:v>46089.585769500001</c:v>
                </c:pt>
                <c:pt idx="7">
                  <c:v>43709.079999999994</c:v>
                </c:pt>
                <c:pt idx="8">
                  <c:v>43709.08</c:v>
                </c:pt>
                <c:pt idx="9">
                  <c:v>10927.269999999999</c:v>
                </c:pt>
                <c:pt idx="10">
                  <c:v>21854.54</c:v>
                </c:pt>
                <c:pt idx="11">
                  <c:v>10927.27</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4662-45DA-9FB5-003560F16FC8}"/>
            </c:ext>
          </c:extLst>
        </c:ser>
        <c:dLbls>
          <c:showLegendKey val="0"/>
          <c:showVal val="0"/>
          <c:showCatName val="0"/>
          <c:showSerName val="0"/>
          <c:showPercent val="0"/>
          <c:showBubbleSize val="0"/>
        </c:dLbls>
        <c:gapWidth val="150"/>
        <c:shape val="box"/>
        <c:axId val="2093065522"/>
        <c:axId val="311449388"/>
        <c:axId val="0"/>
      </c:bar3DChart>
      <c:catAx>
        <c:axId val="2093065522"/>
        <c:scaling>
          <c:orientation val="minMax"/>
        </c:scaling>
        <c:delete val="0"/>
        <c:axPos val="b"/>
        <c:title>
          <c:tx>
            <c:rich>
              <a:bodyPr/>
              <a:lstStyle/>
              <a:p>
                <a:pPr lvl="0">
                  <a:defRPr b="0">
                    <a:solidFill>
                      <a:srgbClr val="000000"/>
                    </a:solidFill>
                    <a:latin typeface="+mn-lt"/>
                  </a:defRPr>
                </a:pPr>
                <a:endParaRPr lang="en-AU"/>
              </a:p>
            </c:rich>
          </c:tx>
          <c:overlay val="0"/>
        </c:title>
        <c:numFmt formatCode="General" sourceLinked="1"/>
        <c:majorTickMark val="none"/>
        <c:minorTickMark val="none"/>
        <c:tickLblPos val="nextTo"/>
        <c:spPr>
          <a:ln>
            <a:noFill/>
          </a:ln>
        </c:spPr>
        <c:txPr>
          <a:bodyPr rot="-1800000"/>
          <a:lstStyle/>
          <a:p>
            <a:pPr lvl="0">
              <a:defRPr b="0">
                <a:solidFill>
                  <a:srgbClr val="000000"/>
                </a:solidFill>
                <a:latin typeface="+mn-lt"/>
              </a:defRPr>
            </a:pPr>
            <a:endParaRPr lang="en-US"/>
          </a:p>
        </c:txPr>
        <c:crossAx val="311449388"/>
        <c:crosses val="autoZero"/>
        <c:auto val="1"/>
        <c:lblAlgn val="ctr"/>
        <c:lblOffset val="100"/>
        <c:noMultiLvlLbl val="1"/>
      </c:catAx>
      <c:valAx>
        <c:axId val="311449388"/>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endParaRPr lang="en-AU"/>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2093065522"/>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mn-lt"/>
              </a:defRPr>
            </a:pPr>
            <a:r>
              <a:rPr lang="en-AU" b="1">
                <a:solidFill>
                  <a:srgbClr val="000000"/>
                </a:solidFill>
                <a:latin typeface="+mn-lt"/>
              </a:rPr>
              <a:t>Revenue, EBITDA and NPAT</a:t>
            </a:r>
          </a:p>
        </c:rich>
      </c:tx>
      <c:overlay val="0"/>
    </c:title>
    <c:autoTitleDeleted val="0"/>
    <c:plotArea>
      <c:layout/>
      <c:barChart>
        <c:barDir val="col"/>
        <c:grouping val="clustered"/>
        <c:varyColors val="1"/>
        <c:ser>
          <c:idx val="0"/>
          <c:order val="0"/>
          <c:tx>
            <c:strRef>
              <c:f>'Inputs for Dashboard'!$B$99</c:f>
              <c:strCache>
                <c:ptCount val="1"/>
                <c:pt idx="0">
                  <c:v>Revenue</c:v>
                </c:pt>
              </c:strCache>
            </c:strRef>
          </c:tx>
          <c:spPr>
            <a:solidFill>
              <a:srgbClr val="00FF00"/>
            </a:solidFill>
            <a:ln cmpd="sng">
              <a:noFill/>
            </a:ln>
          </c:spPr>
          <c:invertIfNegative val="1"/>
          <c:dPt>
            <c:idx val="3"/>
            <c:invertIfNegative val="1"/>
            <c:bubble3D val="0"/>
            <c:extLst>
              <c:ext xmlns:c16="http://schemas.microsoft.com/office/drawing/2014/chart" uri="{C3380CC4-5D6E-409C-BE32-E72D297353CC}">
                <c16:uniqueId val="{00000000-FEA8-498C-8F39-32CEA4B25651}"/>
              </c:ext>
            </c:extLst>
          </c:dPt>
          <c:dPt>
            <c:idx val="4"/>
            <c:invertIfNegative val="1"/>
            <c:bubble3D val="0"/>
            <c:extLst>
              <c:ext xmlns:c16="http://schemas.microsoft.com/office/drawing/2014/chart" uri="{C3380CC4-5D6E-409C-BE32-E72D297353CC}">
                <c16:uniqueId val="{00000001-FEA8-498C-8F39-32CEA4B25651}"/>
              </c:ext>
            </c:extLst>
          </c:dPt>
          <c:dPt>
            <c:idx val="5"/>
            <c:invertIfNegative val="1"/>
            <c:bubble3D val="0"/>
            <c:extLst>
              <c:ext xmlns:c16="http://schemas.microsoft.com/office/drawing/2014/chart" uri="{C3380CC4-5D6E-409C-BE32-E72D297353CC}">
                <c16:uniqueId val="{00000002-FEA8-498C-8F39-32CEA4B25651}"/>
              </c:ext>
            </c:extLst>
          </c:dPt>
          <c:dPt>
            <c:idx val="6"/>
            <c:invertIfNegative val="1"/>
            <c:bubble3D val="0"/>
            <c:extLst>
              <c:ext xmlns:c16="http://schemas.microsoft.com/office/drawing/2014/chart" uri="{C3380CC4-5D6E-409C-BE32-E72D297353CC}">
                <c16:uniqueId val="{00000003-FEA8-498C-8F39-32CEA4B25651}"/>
              </c:ext>
            </c:extLst>
          </c:dPt>
          <c:dPt>
            <c:idx val="10"/>
            <c:invertIfNegative val="1"/>
            <c:bubble3D val="0"/>
            <c:extLst>
              <c:ext xmlns:c16="http://schemas.microsoft.com/office/drawing/2014/chart" uri="{C3380CC4-5D6E-409C-BE32-E72D297353CC}">
                <c16:uniqueId val="{00000004-FEA8-498C-8F39-32CEA4B25651}"/>
              </c:ext>
            </c:extLst>
          </c:dPt>
          <c:dLbls>
            <c:dLbl>
              <c:idx val="5"/>
              <c:spPr/>
              <c:txPr>
                <a:bodyPr/>
                <a:lstStyle/>
                <a:p>
                  <a:pPr lvl="0">
                    <a:defRPr b="1"/>
                  </a:pPr>
                  <a:endParaRPr lang="en-US"/>
                </a:p>
              </c:txPr>
              <c:showLegendKey val="0"/>
              <c:showVal val="1"/>
              <c:showCatName val="0"/>
              <c:showSerName val="0"/>
              <c:showPercent val="0"/>
              <c:showBubbleSize val="0"/>
              <c:extLst>
                <c:ext xmlns:c16="http://schemas.microsoft.com/office/drawing/2014/chart" uri="{C3380CC4-5D6E-409C-BE32-E72D297353CC}">
                  <c16:uniqueId val="{00000002-FEA8-498C-8F39-32CEA4B25651}"/>
                </c:ext>
              </c:extLst>
            </c:dLbl>
            <c:spPr>
              <a:noFill/>
              <a:ln>
                <a:noFill/>
              </a:ln>
              <a:effectLst/>
            </c:spPr>
            <c:txPr>
              <a:bodyPr/>
              <a:lstStyle/>
              <a:p>
                <a:pPr lvl="0">
                  <a:defRPr b="1"/>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'Inputs for Dashboard'!$C$98:$P$98</c:f>
              <c:strCache>
                <c:ptCount val="14"/>
                <c:pt idx="0">
                  <c:v>FY25</c:v>
                </c:pt>
                <c:pt idx="1">
                  <c:v>FY26</c:v>
                </c:pt>
                <c:pt idx="2">
                  <c:v>FY27</c:v>
                </c:pt>
                <c:pt idx="3">
                  <c:v>FY28</c:v>
                </c:pt>
                <c:pt idx="4">
                  <c:v>FY29</c:v>
                </c:pt>
                <c:pt idx="5">
                  <c:v>FY30</c:v>
                </c:pt>
                <c:pt idx="6">
                  <c:v>FY31</c:v>
                </c:pt>
                <c:pt idx="7">
                  <c:v>FY32</c:v>
                </c:pt>
                <c:pt idx="8">
                  <c:v>FY33</c:v>
                </c:pt>
                <c:pt idx="9">
                  <c:v>FY34</c:v>
                </c:pt>
                <c:pt idx="10">
                  <c:v>FY35</c:v>
                </c:pt>
                <c:pt idx="11">
                  <c:v>FY36</c:v>
                </c:pt>
                <c:pt idx="12">
                  <c:v>FY37</c:v>
                </c:pt>
                <c:pt idx="13">
                  <c:v>FY38</c:v>
                </c:pt>
              </c:strCache>
            </c:strRef>
          </c:cat>
          <c:val>
            <c:numRef>
              <c:f>'Inputs for Dashboard'!$C$99:$P$99</c:f>
              <c:numCache>
                <c:formatCode>\ \ \ \ \$0,,"M"</c:formatCode>
                <c:ptCount val="14"/>
                <c:pt idx="0">
                  <c:v>0</c:v>
                </c:pt>
                <c:pt idx="1">
                  <c:v>0</c:v>
                </c:pt>
                <c:pt idx="2">
                  <c:v>0</c:v>
                </c:pt>
                <c:pt idx="3">
                  <c:v>18772333.414999999</c:v>
                </c:pt>
                <c:pt idx="4">
                  <c:v>19676502.288939998</c:v>
                </c:pt>
                <c:pt idx="5">
                  <c:v>20615521.882462904</c:v>
                </c:pt>
                <c:pt idx="6">
                  <c:v>21808634.554464001</c:v>
                </c:pt>
                <c:pt idx="7">
                  <c:v>22300756.692269798</c:v>
                </c:pt>
                <c:pt idx="8">
                  <c:v>22807316.061739061</c:v>
                </c:pt>
                <c:pt idx="9">
                  <c:v>23328737.619009934</c:v>
                </c:pt>
                <c:pt idx="10">
                  <c:v>23865458.864884399</c:v>
                </c:pt>
                <c:pt idx="11">
                  <c:v>24417930.216067705</c:v>
                </c:pt>
                <c:pt idx="12">
                  <c:v>24986615.387417436</c:v>
                </c:pt>
                <c:pt idx="13">
                  <c:v>25571991.785529338</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5-FEA8-498C-8F39-32CEA4B25651}"/>
            </c:ext>
          </c:extLst>
        </c:ser>
        <c:dLbls>
          <c:showLegendKey val="0"/>
          <c:showVal val="0"/>
          <c:showCatName val="0"/>
          <c:showSerName val="0"/>
          <c:showPercent val="0"/>
          <c:showBubbleSize val="0"/>
        </c:dLbls>
        <c:gapWidth val="150"/>
        <c:axId val="840098047"/>
        <c:axId val="1076002406"/>
      </c:barChart>
      <c:lineChart>
        <c:grouping val="standard"/>
        <c:varyColors val="1"/>
        <c:ser>
          <c:idx val="1"/>
          <c:order val="1"/>
          <c:tx>
            <c:strRef>
              <c:f>'Inputs for Dashboard'!$B$100</c:f>
              <c:strCache>
                <c:ptCount val="1"/>
                <c:pt idx="0">
                  <c:v>EBITDA</c:v>
                </c:pt>
              </c:strCache>
            </c:strRef>
          </c:tx>
          <c:spPr>
            <a:ln cmpd="sng">
              <a:solidFill>
                <a:srgbClr val="E97132"/>
              </a:solidFill>
            </a:ln>
          </c:spPr>
          <c:marker>
            <c:symbol val="none"/>
          </c:marker>
          <c:dLbls>
            <c:spPr>
              <a:noFill/>
              <a:ln>
                <a:noFill/>
              </a:ln>
              <a:effectLst/>
            </c:spPr>
            <c:txPr>
              <a:bodyPr/>
              <a:lstStyle/>
              <a:p>
                <a:pPr lvl="0">
                  <a:defRPr b="1">
                    <a:solidFill>
                      <a:srgbClr val="000000"/>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'Inputs for Dashboard'!$C$98:$P$98</c:f>
              <c:strCache>
                <c:ptCount val="14"/>
                <c:pt idx="0">
                  <c:v>FY25</c:v>
                </c:pt>
                <c:pt idx="1">
                  <c:v>FY26</c:v>
                </c:pt>
                <c:pt idx="2">
                  <c:v>FY27</c:v>
                </c:pt>
                <c:pt idx="3">
                  <c:v>FY28</c:v>
                </c:pt>
                <c:pt idx="4">
                  <c:v>FY29</c:v>
                </c:pt>
                <c:pt idx="5">
                  <c:v>FY30</c:v>
                </c:pt>
                <c:pt idx="6">
                  <c:v>FY31</c:v>
                </c:pt>
                <c:pt idx="7">
                  <c:v>FY32</c:v>
                </c:pt>
                <c:pt idx="8">
                  <c:v>FY33</c:v>
                </c:pt>
                <c:pt idx="9">
                  <c:v>FY34</c:v>
                </c:pt>
                <c:pt idx="10">
                  <c:v>FY35</c:v>
                </c:pt>
                <c:pt idx="11">
                  <c:v>FY36</c:v>
                </c:pt>
                <c:pt idx="12">
                  <c:v>FY37</c:v>
                </c:pt>
                <c:pt idx="13">
                  <c:v>FY38</c:v>
                </c:pt>
              </c:strCache>
            </c:strRef>
          </c:cat>
          <c:val>
            <c:numRef>
              <c:f>'Inputs for Dashboard'!$C$100:$P$100</c:f>
              <c:numCache>
                <c:formatCode>\ \ \ \ \$0,,"M"</c:formatCode>
                <c:ptCount val="14"/>
                <c:pt idx="0">
                  <c:v>0</c:v>
                </c:pt>
                <c:pt idx="1">
                  <c:v>0</c:v>
                </c:pt>
                <c:pt idx="2">
                  <c:v>0</c:v>
                </c:pt>
                <c:pt idx="3">
                  <c:v>10240353.181728749</c:v>
                </c:pt>
                <c:pt idx="4">
                  <c:v>10221610.60891173</c:v>
                </c:pt>
                <c:pt idx="5">
                  <c:v>10726643.498227151</c:v>
                </c:pt>
                <c:pt idx="6">
                  <c:v>11603173.631330766</c:v>
                </c:pt>
                <c:pt idx="7">
                  <c:v>11825139.08000222</c:v>
                </c:pt>
                <c:pt idx="8">
                  <c:v>11488417.36165344</c:v>
                </c:pt>
                <c:pt idx="9">
                  <c:v>11566864.641117346</c:v>
                </c:pt>
                <c:pt idx="10">
                  <c:v>11784599.554180816</c:v>
                </c:pt>
                <c:pt idx="11">
                  <c:v>12008306.676067084</c:v>
                </c:pt>
                <c:pt idx="12">
                  <c:v>12146814.69024964</c:v>
                </c:pt>
                <c:pt idx="13">
                  <c:v>13901342.685076447</c:v>
                </c:pt>
              </c:numCache>
            </c:numRef>
          </c:val>
          <c:smooth val="0"/>
          <c:extLst>
            <c:ext xmlns:c16="http://schemas.microsoft.com/office/drawing/2014/chart" uri="{C3380CC4-5D6E-409C-BE32-E72D297353CC}">
              <c16:uniqueId val="{00000006-FEA8-498C-8F39-32CEA4B25651}"/>
            </c:ext>
          </c:extLst>
        </c:ser>
        <c:ser>
          <c:idx val="2"/>
          <c:order val="2"/>
          <c:tx>
            <c:strRef>
              <c:f>'Inputs for Dashboard'!$B$101</c:f>
              <c:strCache>
                <c:ptCount val="1"/>
                <c:pt idx="0">
                  <c:v>NPAT</c:v>
                </c:pt>
              </c:strCache>
            </c:strRef>
          </c:tx>
          <c:spPr>
            <a:ln cmpd="sng">
              <a:solidFill>
                <a:srgbClr val="196B24"/>
              </a:solidFill>
            </a:ln>
          </c:spPr>
          <c:marker>
            <c:symbol val="none"/>
          </c:marker>
          <c:dLbls>
            <c:spPr>
              <a:noFill/>
              <a:ln>
                <a:noFill/>
              </a:ln>
              <a:effectLst/>
            </c:spPr>
            <c:txPr>
              <a:bodyPr/>
              <a:lstStyle/>
              <a:p>
                <a:pPr lvl="0">
                  <a:defRPr b="1">
                    <a:solidFill>
                      <a:srgbClr val="000000"/>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'Inputs for Dashboard'!$C$98:$P$98</c:f>
              <c:strCache>
                <c:ptCount val="14"/>
                <c:pt idx="0">
                  <c:v>FY25</c:v>
                </c:pt>
                <c:pt idx="1">
                  <c:v>FY26</c:v>
                </c:pt>
                <c:pt idx="2">
                  <c:v>FY27</c:v>
                </c:pt>
                <c:pt idx="3">
                  <c:v>FY28</c:v>
                </c:pt>
                <c:pt idx="4">
                  <c:v>FY29</c:v>
                </c:pt>
                <c:pt idx="5">
                  <c:v>FY30</c:v>
                </c:pt>
                <c:pt idx="6">
                  <c:v>FY31</c:v>
                </c:pt>
                <c:pt idx="7">
                  <c:v>FY32</c:v>
                </c:pt>
                <c:pt idx="8">
                  <c:v>FY33</c:v>
                </c:pt>
                <c:pt idx="9">
                  <c:v>FY34</c:v>
                </c:pt>
                <c:pt idx="10">
                  <c:v>FY35</c:v>
                </c:pt>
                <c:pt idx="11">
                  <c:v>FY36</c:v>
                </c:pt>
                <c:pt idx="12">
                  <c:v>FY37</c:v>
                </c:pt>
                <c:pt idx="13">
                  <c:v>FY38</c:v>
                </c:pt>
              </c:strCache>
            </c:strRef>
          </c:cat>
          <c:val>
            <c:numRef>
              <c:f>'Inputs for Dashboard'!$C$101:$P$101</c:f>
              <c:numCache>
                <c:formatCode>\ \ \ \ \$0,,"M"</c:formatCode>
                <c:ptCount val="14"/>
                <c:pt idx="0">
                  <c:v>0</c:v>
                </c:pt>
                <c:pt idx="1">
                  <c:v>0</c:v>
                </c:pt>
                <c:pt idx="2">
                  <c:v>-1463544.69</c:v>
                </c:pt>
                <c:pt idx="3">
                  <c:v>6180518.5192101244</c:v>
                </c:pt>
                <c:pt idx="4">
                  <c:v>5797988.5137382112</c:v>
                </c:pt>
                <c:pt idx="5">
                  <c:v>6240242.941259006</c:v>
                </c:pt>
                <c:pt idx="6">
                  <c:v>6942545.4394315369</c:v>
                </c:pt>
                <c:pt idx="7">
                  <c:v>7186652.6585015543</c:v>
                </c:pt>
                <c:pt idx="8">
                  <c:v>7039678.860657407</c:v>
                </c:pt>
                <c:pt idx="9">
                  <c:v>7183323.3612821419</c:v>
                </c:pt>
                <c:pt idx="10">
                  <c:v>7424469.2054265719</c:v>
                </c:pt>
                <c:pt idx="11">
                  <c:v>7669795.5957469596</c:v>
                </c:pt>
                <c:pt idx="12">
                  <c:v>7811116.9081747485</c:v>
                </c:pt>
                <c:pt idx="13">
                  <c:v>9039286.5045535136</c:v>
                </c:pt>
              </c:numCache>
            </c:numRef>
          </c:val>
          <c:smooth val="0"/>
          <c:extLst>
            <c:ext xmlns:c16="http://schemas.microsoft.com/office/drawing/2014/chart" uri="{C3380CC4-5D6E-409C-BE32-E72D297353CC}">
              <c16:uniqueId val="{00000007-FEA8-498C-8F39-32CEA4B25651}"/>
            </c:ext>
          </c:extLst>
        </c:ser>
        <c:dLbls>
          <c:showLegendKey val="0"/>
          <c:showVal val="0"/>
          <c:showCatName val="0"/>
          <c:showSerName val="0"/>
          <c:showPercent val="0"/>
          <c:showBubbleSize val="0"/>
        </c:dLbls>
        <c:marker val="1"/>
        <c:smooth val="0"/>
        <c:axId val="840098047"/>
        <c:axId val="1076002406"/>
      </c:lineChart>
      <c:catAx>
        <c:axId val="840098047"/>
        <c:scaling>
          <c:orientation val="minMax"/>
        </c:scaling>
        <c:delete val="0"/>
        <c:axPos val="b"/>
        <c:title>
          <c:tx>
            <c:rich>
              <a:bodyPr/>
              <a:lstStyle/>
              <a:p>
                <a:pPr lvl="0">
                  <a:defRPr b="0">
                    <a:solidFill>
                      <a:srgbClr val="000000"/>
                    </a:solidFill>
                    <a:latin typeface="+mn-lt"/>
                  </a:defRPr>
                </a:pPr>
                <a:endParaRPr lang="en-AU"/>
              </a:p>
            </c:rich>
          </c:tx>
          <c:overlay val="0"/>
        </c:title>
        <c:numFmt formatCode="General" sourceLinked="1"/>
        <c:majorTickMark val="none"/>
        <c:minorTickMark val="none"/>
        <c:tickLblPos val="nextTo"/>
        <c:spPr>
          <a:ln>
            <a:noFill/>
          </a:ln>
        </c:spPr>
        <c:txPr>
          <a:bodyPr/>
          <a:lstStyle/>
          <a:p>
            <a:pPr lvl="0">
              <a:defRPr b="1">
                <a:solidFill>
                  <a:srgbClr val="000000"/>
                </a:solidFill>
                <a:latin typeface="Arial"/>
              </a:defRPr>
            </a:pPr>
            <a:endParaRPr lang="en-US"/>
          </a:p>
        </c:txPr>
        <c:crossAx val="1076002406"/>
        <c:crosses val="autoZero"/>
        <c:auto val="1"/>
        <c:lblAlgn val="ctr"/>
        <c:lblOffset val="100"/>
        <c:noMultiLvlLbl val="1"/>
      </c:catAx>
      <c:valAx>
        <c:axId val="1076002406"/>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endParaRPr lang="en-AU"/>
              </a:p>
            </c:rich>
          </c:tx>
          <c:overlay val="0"/>
        </c:title>
        <c:numFmt formatCode="\ \ \ \ \$0,,&quot;M&quot;" sourceLinked="1"/>
        <c:majorTickMark val="none"/>
        <c:minorTickMark val="none"/>
        <c:tickLblPos val="nextTo"/>
        <c:spPr>
          <a:ln>
            <a:noFill/>
          </a:ln>
        </c:spPr>
        <c:txPr>
          <a:bodyPr/>
          <a:lstStyle/>
          <a:p>
            <a:pPr lvl="0">
              <a:defRPr b="1">
                <a:solidFill>
                  <a:srgbClr val="000000"/>
                </a:solidFill>
                <a:latin typeface="+mn-lt"/>
              </a:defRPr>
            </a:pPr>
            <a:endParaRPr lang="en-US"/>
          </a:p>
        </c:txPr>
        <c:crossAx val="840098047"/>
        <c:crosses val="autoZero"/>
        <c:crossBetween val="between"/>
      </c:valAx>
    </c:plotArea>
    <c:legend>
      <c:legendPos val="b"/>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sz="2000" b="1">
                <a:solidFill>
                  <a:srgbClr val="000000"/>
                </a:solidFill>
                <a:latin typeface="+mn-lt"/>
              </a:defRPr>
            </a:pPr>
            <a:r>
              <a:rPr lang="en-AU" sz="2000" b="1">
                <a:solidFill>
                  <a:srgbClr val="000000"/>
                </a:solidFill>
                <a:latin typeface="+mn-lt"/>
              </a:rPr>
              <a:t>Debt Closing Balance and Cash Balance</a:t>
            </a:r>
          </a:p>
        </c:rich>
      </c:tx>
      <c:overlay val="0"/>
    </c:title>
    <c:autoTitleDeleted val="0"/>
    <c:plotArea>
      <c:layout/>
      <c:barChart>
        <c:barDir val="col"/>
        <c:grouping val="stacked"/>
        <c:varyColors val="1"/>
        <c:ser>
          <c:idx val="0"/>
          <c:order val="0"/>
          <c:tx>
            <c:strRef>
              <c:f>'Inputs for Dashboard'!$B$116</c:f>
              <c:strCache>
                <c:ptCount val="1"/>
                <c:pt idx="0">
                  <c:v>Debt Closing Balance</c:v>
                </c:pt>
              </c:strCache>
            </c:strRef>
          </c:tx>
          <c:spPr>
            <a:solidFill>
              <a:srgbClr val="00FF00"/>
            </a:solidFill>
            <a:ln cmpd="sng">
              <a:noFill/>
            </a:ln>
          </c:spPr>
          <c:invertIfNegative val="1"/>
          <c:dPt>
            <c:idx val="7"/>
            <c:invertIfNegative val="1"/>
            <c:bubble3D val="0"/>
            <c:extLst>
              <c:ext xmlns:c16="http://schemas.microsoft.com/office/drawing/2014/chart" uri="{C3380CC4-5D6E-409C-BE32-E72D297353CC}">
                <c16:uniqueId val="{00000000-B0AA-4955-963C-672A3E08EBDD}"/>
              </c:ext>
            </c:extLst>
          </c:dPt>
          <c:dLbls>
            <c:spPr>
              <a:noFill/>
              <a:ln>
                <a:noFill/>
              </a:ln>
              <a:effectLst/>
            </c:spPr>
            <c:txPr>
              <a:bodyPr/>
              <a:lstStyle/>
              <a:p>
                <a:pPr lvl="0">
                  <a:defRPr b="1">
                    <a:solidFill>
                      <a:srgbClr val="000000"/>
                    </a:solidFill>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'Inputs for Dashboard'!$C$115:$P$115</c:f>
              <c:strCache>
                <c:ptCount val="14"/>
                <c:pt idx="0">
                  <c:v>FY25</c:v>
                </c:pt>
                <c:pt idx="1">
                  <c:v>FY26</c:v>
                </c:pt>
                <c:pt idx="2">
                  <c:v>FY27</c:v>
                </c:pt>
                <c:pt idx="3">
                  <c:v>FY28</c:v>
                </c:pt>
                <c:pt idx="4">
                  <c:v>FY29</c:v>
                </c:pt>
                <c:pt idx="5">
                  <c:v>FY30</c:v>
                </c:pt>
                <c:pt idx="6">
                  <c:v>FY31</c:v>
                </c:pt>
                <c:pt idx="7">
                  <c:v>FY32</c:v>
                </c:pt>
                <c:pt idx="8">
                  <c:v>FY33</c:v>
                </c:pt>
                <c:pt idx="9">
                  <c:v>FY34</c:v>
                </c:pt>
                <c:pt idx="10">
                  <c:v>FY35</c:v>
                </c:pt>
                <c:pt idx="11">
                  <c:v>FY36</c:v>
                </c:pt>
                <c:pt idx="12">
                  <c:v>FY37</c:v>
                </c:pt>
                <c:pt idx="13">
                  <c:v>FY38</c:v>
                </c:pt>
              </c:strCache>
            </c:strRef>
          </c:cat>
          <c:val>
            <c:numRef>
              <c:f>'Inputs for Dashboard'!$C$116:$P$116</c:f>
              <c:numCache>
                <c:formatCode>\ \ \ \ \$0,,"M"</c:formatCode>
                <c:ptCount val="14"/>
                <c:pt idx="0">
                  <c:v>0</c:v>
                </c:pt>
                <c:pt idx="1">
                  <c:v>0</c:v>
                </c:pt>
                <c:pt idx="2">
                  <c:v>12675915</c:v>
                </c:pt>
                <c:pt idx="3">
                  <c:v>12675915</c:v>
                </c:pt>
                <c:pt idx="4">
                  <c:v>11091425.625</c:v>
                </c:pt>
                <c:pt idx="5">
                  <c:v>9506936.25</c:v>
                </c:pt>
                <c:pt idx="6">
                  <c:v>7922446.875</c:v>
                </c:pt>
                <c:pt idx="7">
                  <c:v>6337957.5</c:v>
                </c:pt>
                <c:pt idx="8">
                  <c:v>4753468.125</c:v>
                </c:pt>
                <c:pt idx="9">
                  <c:v>3168978.75</c:v>
                </c:pt>
                <c:pt idx="10">
                  <c:v>1584489.375</c:v>
                </c:pt>
                <c:pt idx="11">
                  <c:v>0</c:v>
                </c:pt>
                <c:pt idx="12">
                  <c:v>0</c:v>
                </c:pt>
                <c:pt idx="1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B0AA-4955-963C-672A3E08EBDD}"/>
            </c:ext>
          </c:extLst>
        </c:ser>
        <c:dLbls>
          <c:showLegendKey val="0"/>
          <c:showVal val="0"/>
          <c:showCatName val="0"/>
          <c:showSerName val="0"/>
          <c:showPercent val="0"/>
          <c:showBubbleSize val="0"/>
        </c:dLbls>
        <c:gapWidth val="150"/>
        <c:overlap val="100"/>
        <c:axId val="1814242957"/>
        <c:axId val="420203821"/>
      </c:barChart>
      <c:lineChart>
        <c:grouping val="standard"/>
        <c:varyColors val="0"/>
        <c:ser>
          <c:idx val="1"/>
          <c:order val="1"/>
          <c:tx>
            <c:strRef>
              <c:f>'Inputs for Dashboard'!$B$117</c:f>
              <c:strCache>
                <c:ptCount val="1"/>
                <c:pt idx="0">
                  <c:v>Cash Balance</c:v>
                </c:pt>
              </c:strCache>
            </c:strRef>
          </c:tx>
          <c:spPr>
            <a:ln cmpd="sng">
              <a:solidFill>
                <a:srgbClr val="E97132"/>
              </a:solidFill>
            </a:ln>
          </c:spPr>
          <c:marker>
            <c:symbol val="none"/>
          </c:marker>
          <c:dPt>
            <c:idx val="0"/>
            <c:bubble3D val="0"/>
            <c:extLst>
              <c:ext xmlns:c16="http://schemas.microsoft.com/office/drawing/2014/chart" uri="{C3380CC4-5D6E-409C-BE32-E72D297353CC}">
                <c16:uniqueId val="{00000002-B0AA-4955-963C-672A3E08EBDD}"/>
              </c:ext>
            </c:extLst>
          </c:dPt>
          <c:dLbls>
            <c:spPr>
              <a:noFill/>
              <a:ln>
                <a:noFill/>
              </a:ln>
              <a:effectLst/>
            </c:spPr>
            <c:txPr>
              <a:bodyPr/>
              <a:lstStyle/>
              <a:p>
                <a:pPr lvl="0">
                  <a:defRPr b="1">
                    <a:solidFill>
                      <a:srgbClr val="0000FF"/>
                    </a:solidFill>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'Inputs for Dashboard'!$C$115:$P$115</c:f>
              <c:strCache>
                <c:ptCount val="14"/>
                <c:pt idx="0">
                  <c:v>FY25</c:v>
                </c:pt>
                <c:pt idx="1">
                  <c:v>FY26</c:v>
                </c:pt>
                <c:pt idx="2">
                  <c:v>FY27</c:v>
                </c:pt>
                <c:pt idx="3">
                  <c:v>FY28</c:v>
                </c:pt>
                <c:pt idx="4">
                  <c:v>FY29</c:v>
                </c:pt>
                <c:pt idx="5">
                  <c:v>FY30</c:v>
                </c:pt>
                <c:pt idx="6">
                  <c:v>FY31</c:v>
                </c:pt>
                <c:pt idx="7">
                  <c:v>FY32</c:v>
                </c:pt>
                <c:pt idx="8">
                  <c:v>FY33</c:v>
                </c:pt>
                <c:pt idx="9">
                  <c:v>FY34</c:v>
                </c:pt>
                <c:pt idx="10">
                  <c:v>FY35</c:v>
                </c:pt>
                <c:pt idx="11">
                  <c:v>FY36</c:v>
                </c:pt>
                <c:pt idx="12">
                  <c:v>FY37</c:v>
                </c:pt>
                <c:pt idx="13">
                  <c:v>FY38</c:v>
                </c:pt>
              </c:strCache>
            </c:strRef>
          </c:cat>
          <c:val>
            <c:numRef>
              <c:f>'Inputs for Dashboard'!$C$117:$P$117</c:f>
              <c:numCache>
                <c:formatCode>\ \ \ \ \$0,,"M"</c:formatCode>
                <c:ptCount val="14"/>
                <c:pt idx="0">
                  <c:v>0</c:v>
                </c:pt>
                <c:pt idx="1">
                  <c:v>0</c:v>
                </c:pt>
                <c:pt idx="2">
                  <c:v>452228.39999999851</c:v>
                </c:pt>
                <c:pt idx="3">
                  <c:v>1724785.5788420234</c:v>
                </c:pt>
                <c:pt idx="4">
                  <c:v>2184190.0265896698</c:v>
                </c:pt>
                <c:pt idx="5">
                  <c:v>2729888.0048414734</c:v>
                </c:pt>
                <c:pt idx="6">
                  <c:v>3408438.9677277789</c:v>
                </c:pt>
                <c:pt idx="7">
                  <c:v>4135811.3744280911</c:v>
                </c:pt>
                <c:pt idx="8">
                  <c:v>4833789.0215595746</c:v>
                </c:pt>
                <c:pt idx="9">
                  <c:v>5560495.5688160015</c:v>
                </c:pt>
                <c:pt idx="10">
                  <c:v>6335431.2849013144</c:v>
                </c:pt>
                <c:pt idx="11">
                  <c:v>7159432.279050706</c:v>
                </c:pt>
                <c:pt idx="12">
                  <c:v>9596186.910685651</c:v>
                </c:pt>
                <c:pt idx="13">
                  <c:v>12278575.461596355</c:v>
                </c:pt>
              </c:numCache>
            </c:numRef>
          </c:val>
          <c:smooth val="0"/>
          <c:extLst>
            <c:ext xmlns:c16="http://schemas.microsoft.com/office/drawing/2014/chart" uri="{C3380CC4-5D6E-409C-BE32-E72D297353CC}">
              <c16:uniqueId val="{00000003-B0AA-4955-963C-672A3E08EBDD}"/>
            </c:ext>
          </c:extLst>
        </c:ser>
        <c:dLbls>
          <c:showLegendKey val="0"/>
          <c:showVal val="0"/>
          <c:showCatName val="0"/>
          <c:showSerName val="0"/>
          <c:showPercent val="0"/>
          <c:showBubbleSize val="0"/>
        </c:dLbls>
        <c:marker val="1"/>
        <c:smooth val="0"/>
        <c:axId val="1814242957"/>
        <c:axId val="420203821"/>
      </c:lineChart>
      <c:catAx>
        <c:axId val="1814242957"/>
        <c:scaling>
          <c:orientation val="minMax"/>
        </c:scaling>
        <c:delete val="0"/>
        <c:axPos val="b"/>
        <c:title>
          <c:tx>
            <c:rich>
              <a:bodyPr/>
              <a:lstStyle/>
              <a:p>
                <a:pPr lvl="0">
                  <a:defRPr b="0">
                    <a:solidFill>
                      <a:srgbClr val="000000"/>
                    </a:solidFill>
                    <a:latin typeface="+mn-lt"/>
                  </a:defRPr>
                </a:pPr>
                <a:endParaRPr lang="en-AU"/>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420203821"/>
        <c:crosses val="autoZero"/>
        <c:auto val="1"/>
        <c:lblAlgn val="ctr"/>
        <c:lblOffset val="100"/>
        <c:noMultiLvlLbl val="1"/>
      </c:catAx>
      <c:valAx>
        <c:axId val="420203821"/>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endParaRPr lang="en-AU"/>
              </a:p>
            </c:rich>
          </c:tx>
          <c:overlay val="0"/>
        </c:title>
        <c:numFmt formatCode="\ \ \ \ \$0,,&quot;M&quot;" sourceLinked="1"/>
        <c:majorTickMark val="none"/>
        <c:minorTickMark val="none"/>
        <c:tickLblPos val="nextTo"/>
        <c:spPr>
          <a:ln>
            <a:noFill/>
          </a:ln>
        </c:spPr>
        <c:txPr>
          <a:bodyPr/>
          <a:lstStyle/>
          <a:p>
            <a:pPr lvl="0">
              <a:defRPr b="0">
                <a:solidFill>
                  <a:srgbClr val="000000"/>
                </a:solidFill>
                <a:latin typeface="+mn-lt"/>
              </a:defRPr>
            </a:pPr>
            <a:endParaRPr lang="en-US"/>
          </a:p>
        </c:txPr>
        <c:crossAx val="1814242957"/>
        <c:crosses val="autoZero"/>
        <c:crossBetween val="between"/>
      </c:valAx>
    </c:plotArea>
    <c:legend>
      <c:legendPos val="b"/>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1">
                <a:solidFill>
                  <a:srgbClr val="000000"/>
                </a:solidFill>
                <a:latin typeface="Arial"/>
              </a:defRPr>
            </a:pPr>
            <a:r>
              <a:rPr lang="en-AU" b="1">
                <a:solidFill>
                  <a:srgbClr val="000000"/>
                </a:solidFill>
                <a:latin typeface="Arial"/>
              </a:rPr>
              <a:t>Capital Structure (Close FY38)</a:t>
            </a:r>
          </a:p>
        </c:rich>
      </c:tx>
      <c:overlay val="0"/>
    </c:title>
    <c:autoTitleDeleted val="0"/>
    <c:plotArea>
      <c:layout/>
      <c:doughnutChart>
        <c:varyColors val="1"/>
        <c:ser>
          <c:idx val="0"/>
          <c:order val="0"/>
          <c:tx>
            <c:strRef>
              <c:f>'Inputs for Dashboard'!$F$135:$F$136</c:f>
              <c:strCache>
                <c:ptCount val="2"/>
                <c:pt idx="0">
                  <c:v>7. Capital Structure</c:v>
                </c:pt>
                <c:pt idx="1">
                  <c:v>Amount</c:v>
                </c:pt>
              </c:strCache>
            </c:strRef>
          </c:tx>
          <c:dPt>
            <c:idx val="0"/>
            <c:bubble3D val="0"/>
            <c:spPr>
              <a:solidFill>
                <a:srgbClr val="156082"/>
              </a:solidFill>
            </c:spPr>
            <c:extLst>
              <c:ext xmlns:c16="http://schemas.microsoft.com/office/drawing/2014/chart" uri="{C3380CC4-5D6E-409C-BE32-E72D297353CC}">
                <c16:uniqueId val="{00000001-D155-4B85-80FC-720B35021289}"/>
              </c:ext>
            </c:extLst>
          </c:dPt>
          <c:dPt>
            <c:idx val="1"/>
            <c:bubble3D val="0"/>
            <c:spPr>
              <a:solidFill>
                <a:srgbClr val="00FF00"/>
              </a:solidFill>
            </c:spPr>
            <c:extLst>
              <c:ext xmlns:c16="http://schemas.microsoft.com/office/drawing/2014/chart" uri="{C3380CC4-5D6E-409C-BE32-E72D297353CC}">
                <c16:uniqueId val="{00000003-D155-4B85-80FC-720B35021289}"/>
              </c:ext>
            </c:extLst>
          </c:dPt>
          <c:dPt>
            <c:idx val="2"/>
            <c:bubble3D val="0"/>
            <c:spPr>
              <a:solidFill>
                <a:srgbClr val="196B24"/>
              </a:solidFill>
            </c:spPr>
            <c:extLst>
              <c:ext xmlns:c16="http://schemas.microsoft.com/office/drawing/2014/chart" uri="{C3380CC4-5D6E-409C-BE32-E72D297353CC}">
                <c16:uniqueId val="{00000005-D155-4B85-80FC-720B35021289}"/>
              </c:ext>
            </c:extLst>
          </c:dPt>
          <c:dPt>
            <c:idx val="3"/>
            <c:bubble3D val="0"/>
            <c:spPr>
              <a:solidFill>
                <a:srgbClr val="0F9ED5"/>
              </a:solidFill>
            </c:spPr>
            <c:extLst>
              <c:ext xmlns:c16="http://schemas.microsoft.com/office/drawing/2014/chart" uri="{C3380CC4-5D6E-409C-BE32-E72D297353CC}">
                <c16:uniqueId val="{00000007-D155-4B85-80FC-720B35021289}"/>
              </c:ext>
            </c:extLst>
          </c:dPt>
          <c:cat>
            <c:strRef>
              <c:f>'Inputs for Dashboard'!$E$137:$E$140</c:f>
              <c:strCache>
                <c:ptCount val="4"/>
                <c:pt idx="0">
                  <c:v>Initial Cash Inflow</c:v>
                </c:pt>
                <c:pt idx="1">
                  <c:v>PE Equity</c:v>
                </c:pt>
                <c:pt idx="2">
                  <c:v>Working Capital</c:v>
                </c:pt>
                <c:pt idx="3">
                  <c:v>Bank Term Debt</c:v>
                </c:pt>
              </c:strCache>
            </c:strRef>
          </c:cat>
          <c:val>
            <c:numRef>
              <c:f>'Inputs for Dashboard'!$F$137:$F$140</c:f>
              <c:numCache>
                <c:formatCode>\ \ \ \ \$0.0,,"M"</c:formatCode>
                <c:ptCount val="4"/>
                <c:pt idx="0">
                  <c:v>0</c:v>
                </c:pt>
                <c:pt idx="1">
                  <c:v>8970383.0899999999</c:v>
                </c:pt>
                <c:pt idx="2">
                  <c:v>0</c:v>
                </c:pt>
                <c:pt idx="3">
                  <c:v>0</c:v>
                </c:pt>
              </c:numCache>
            </c:numRef>
          </c:val>
          <c:extLst>
            <c:ext xmlns:c16="http://schemas.microsoft.com/office/drawing/2014/chart" uri="{C3380CC4-5D6E-409C-BE32-E72D297353CC}">
              <c16:uniqueId val="{00000008-D155-4B85-80FC-720B35021289}"/>
            </c:ext>
          </c:extLst>
        </c:ser>
        <c:dLbls>
          <c:showLegendKey val="0"/>
          <c:showVal val="0"/>
          <c:showCatName val="0"/>
          <c:showSerName val="0"/>
          <c:showPercent val="0"/>
          <c:showBubbleSize val="0"/>
          <c:showLeaderLines val="1"/>
        </c:dLbls>
        <c:firstSliceAng val="0"/>
        <c:holeSize val="50"/>
      </c:doughnutChart>
    </c:plotArea>
    <c:legend>
      <c:legendPos val="b"/>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4" Type="http://schemas.openxmlformats.org/officeDocument/2006/relationships/chart" Target="../charts/chart1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4" Type="http://schemas.openxmlformats.org/officeDocument/2006/relationships/chart" Target="../charts/chart21.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9.xml"/><Relationship Id="rId13" Type="http://schemas.openxmlformats.org/officeDocument/2006/relationships/chart" Target="../charts/chart34.xml"/><Relationship Id="rId18" Type="http://schemas.openxmlformats.org/officeDocument/2006/relationships/chart" Target="../charts/chart39.xml"/><Relationship Id="rId3" Type="http://schemas.openxmlformats.org/officeDocument/2006/relationships/chart" Target="../charts/chart24.xml"/><Relationship Id="rId7" Type="http://schemas.openxmlformats.org/officeDocument/2006/relationships/chart" Target="../charts/chart28.xml"/><Relationship Id="rId12" Type="http://schemas.openxmlformats.org/officeDocument/2006/relationships/chart" Target="../charts/chart33.xml"/><Relationship Id="rId17" Type="http://schemas.openxmlformats.org/officeDocument/2006/relationships/chart" Target="../charts/chart38.xml"/><Relationship Id="rId2" Type="http://schemas.openxmlformats.org/officeDocument/2006/relationships/chart" Target="../charts/chart23.xml"/><Relationship Id="rId16" Type="http://schemas.openxmlformats.org/officeDocument/2006/relationships/chart" Target="../charts/chart37.xml"/><Relationship Id="rId20" Type="http://schemas.openxmlformats.org/officeDocument/2006/relationships/chart" Target="../charts/chart41.xml"/><Relationship Id="rId1" Type="http://schemas.openxmlformats.org/officeDocument/2006/relationships/chart" Target="../charts/chart22.xml"/><Relationship Id="rId6" Type="http://schemas.openxmlformats.org/officeDocument/2006/relationships/chart" Target="../charts/chart27.xml"/><Relationship Id="rId11" Type="http://schemas.openxmlformats.org/officeDocument/2006/relationships/chart" Target="../charts/chart32.xml"/><Relationship Id="rId5" Type="http://schemas.openxmlformats.org/officeDocument/2006/relationships/chart" Target="../charts/chart26.xml"/><Relationship Id="rId15" Type="http://schemas.openxmlformats.org/officeDocument/2006/relationships/chart" Target="../charts/chart36.xml"/><Relationship Id="rId10" Type="http://schemas.openxmlformats.org/officeDocument/2006/relationships/chart" Target="../charts/chart31.xml"/><Relationship Id="rId19" Type="http://schemas.openxmlformats.org/officeDocument/2006/relationships/chart" Target="../charts/chart40.xml"/><Relationship Id="rId4" Type="http://schemas.openxmlformats.org/officeDocument/2006/relationships/chart" Target="../charts/chart25.xml"/><Relationship Id="rId9" Type="http://schemas.openxmlformats.org/officeDocument/2006/relationships/chart" Target="../charts/chart30.xml"/><Relationship Id="rId14" Type="http://schemas.openxmlformats.org/officeDocument/2006/relationships/chart" Target="../charts/chart35.xml"/></Relationships>
</file>

<file path=xl/drawings/drawing1.xml><?xml version="1.0" encoding="utf-8"?>
<xdr:wsDr xmlns:xdr="http://schemas.openxmlformats.org/drawingml/2006/spreadsheetDrawing" xmlns:a="http://schemas.openxmlformats.org/drawingml/2006/main">
  <xdr:oneCellAnchor>
    <xdr:from>
      <xdr:col>1</xdr:col>
      <xdr:colOff>285750</xdr:colOff>
      <xdr:row>2</xdr:row>
      <xdr:rowOff>0</xdr:rowOff>
    </xdr:from>
    <xdr:ext cx="14859000" cy="6115050"/>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8</xdr:col>
      <xdr:colOff>0</xdr:colOff>
      <xdr:row>17</xdr:row>
      <xdr:rowOff>0</xdr:rowOff>
    </xdr:from>
    <xdr:ext cx="5943600" cy="1981200"/>
    <xdr:graphicFrame macro="">
      <xdr:nvGraphicFramePr>
        <xdr:cNvPr id="2" name="Chart 1" titl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0</xdr:colOff>
      <xdr:row>31</xdr:row>
      <xdr:rowOff>0</xdr:rowOff>
    </xdr:from>
    <xdr:ext cx="7096125" cy="1981200"/>
    <xdr:graphicFrame macro="">
      <xdr:nvGraphicFramePr>
        <xdr:cNvPr id="3" name="Chart 2" title="Chart">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8</xdr:col>
      <xdr:colOff>0</xdr:colOff>
      <xdr:row>31</xdr:row>
      <xdr:rowOff>0</xdr:rowOff>
    </xdr:from>
    <xdr:ext cx="5943600" cy="1981200"/>
    <xdr:graphicFrame macro="">
      <xdr:nvGraphicFramePr>
        <xdr:cNvPr id="4" name="Chart 3" title="Chart">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8</xdr:col>
      <xdr:colOff>0</xdr:colOff>
      <xdr:row>45</xdr:row>
      <xdr:rowOff>0</xdr:rowOff>
    </xdr:from>
    <xdr:ext cx="5943600" cy="1981200"/>
    <xdr:graphicFrame macro="">
      <xdr:nvGraphicFramePr>
        <xdr:cNvPr id="5" name="Chart 4" title="Chart">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1</xdr:col>
      <xdr:colOff>0</xdr:colOff>
      <xdr:row>59</xdr:row>
      <xdr:rowOff>0</xdr:rowOff>
    </xdr:from>
    <xdr:ext cx="5943600" cy="1981200"/>
    <xdr:graphicFrame macro="">
      <xdr:nvGraphicFramePr>
        <xdr:cNvPr id="6" name="Chart 5" title="Chart">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7</xdr:col>
      <xdr:colOff>1009650</xdr:colOff>
      <xdr:row>59</xdr:row>
      <xdr:rowOff>0</xdr:rowOff>
    </xdr:from>
    <xdr:ext cx="6086475" cy="1981200"/>
    <xdr:graphicFrame macro="">
      <xdr:nvGraphicFramePr>
        <xdr:cNvPr id="7" name="Chart 6" title="Chart">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1</xdr:col>
      <xdr:colOff>0</xdr:colOff>
      <xdr:row>45</xdr:row>
      <xdr:rowOff>0</xdr:rowOff>
    </xdr:from>
    <xdr:ext cx="7096125" cy="1981200"/>
    <xdr:graphicFrame macro="">
      <xdr:nvGraphicFramePr>
        <xdr:cNvPr id="8" name="Chart 7" title="Chart">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1</xdr:col>
      <xdr:colOff>0</xdr:colOff>
      <xdr:row>89</xdr:row>
      <xdr:rowOff>0</xdr:rowOff>
    </xdr:from>
    <xdr:ext cx="12858750" cy="1981200"/>
    <xdr:graphicFrame macro="">
      <xdr:nvGraphicFramePr>
        <xdr:cNvPr id="9" name="Chart 8" title="Chart">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1</xdr:col>
      <xdr:colOff>0</xdr:colOff>
      <xdr:row>104</xdr:row>
      <xdr:rowOff>0</xdr:rowOff>
    </xdr:from>
    <xdr:ext cx="7096125" cy="1981200"/>
    <xdr:graphicFrame macro="">
      <xdr:nvGraphicFramePr>
        <xdr:cNvPr id="10" name="Chart 9" title="Chart">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8</xdr:col>
      <xdr:colOff>0</xdr:colOff>
      <xdr:row>104</xdr:row>
      <xdr:rowOff>0</xdr:rowOff>
    </xdr:from>
    <xdr:ext cx="5943600" cy="1981200"/>
    <xdr:graphicFrame macro="">
      <xdr:nvGraphicFramePr>
        <xdr:cNvPr id="11" name="Chart 10" title="Chart">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4</xdr:col>
      <xdr:colOff>1076325</xdr:colOff>
      <xdr:row>136</xdr:row>
      <xdr:rowOff>0</xdr:rowOff>
    </xdr:from>
    <xdr:ext cx="8915400" cy="2876550"/>
    <xdr:graphicFrame macro="">
      <xdr:nvGraphicFramePr>
        <xdr:cNvPr id="12" name="Chart 11" title="Chart">
          <a:extLst>
            <a:ext uri="{FF2B5EF4-FFF2-40B4-BE49-F238E27FC236}">
              <a16:creationId xmlns:a16="http://schemas.microsoft.com/office/drawing/2014/main" id="{00000000-0008-0000-03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6</xdr:col>
      <xdr:colOff>247650</xdr:colOff>
      <xdr:row>118</xdr:row>
      <xdr:rowOff>38100</xdr:rowOff>
    </xdr:from>
    <xdr:ext cx="7896225" cy="2152650"/>
    <xdr:graphicFrame macro="">
      <xdr:nvGraphicFramePr>
        <xdr:cNvPr id="13" name="Chart 12" title="Chart">
          <a:extLst>
            <a:ext uri="{FF2B5EF4-FFF2-40B4-BE49-F238E27FC236}">
              <a16:creationId xmlns:a16="http://schemas.microsoft.com/office/drawing/2014/main" id="{00000000-0008-0000-03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oneCellAnchor>
    <xdr:from>
      <xdr:col>1</xdr:col>
      <xdr:colOff>0</xdr:colOff>
      <xdr:row>17</xdr:row>
      <xdr:rowOff>0</xdr:rowOff>
    </xdr:from>
    <xdr:ext cx="7096125" cy="1981200"/>
    <xdr:graphicFrame macro="">
      <xdr:nvGraphicFramePr>
        <xdr:cNvPr id="14" name="Chart 13" title="Chart">
          <a:extLst>
            <a:ext uri="{FF2B5EF4-FFF2-40B4-BE49-F238E27FC236}">
              <a16:creationId xmlns:a16="http://schemas.microsoft.com/office/drawing/2014/main" id="{00000000-0008-0000-03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1299625</xdr:colOff>
      <xdr:row>101</xdr:row>
      <xdr:rowOff>77787</xdr:rowOff>
    </xdr:from>
    <xdr:ext cx="4700114" cy="2609850"/>
    <xdr:graphicFrame macro="">
      <xdr:nvGraphicFramePr>
        <xdr:cNvPr id="14" name="Chart 14">
          <a:extLst>
            <a:ext uri="{FF2B5EF4-FFF2-40B4-BE49-F238E27FC236}">
              <a16:creationId xmlns:a16="http://schemas.microsoft.com/office/drawing/2014/main" id="{00000000-0008-0000-04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1121228</xdr:colOff>
      <xdr:row>100</xdr:row>
      <xdr:rowOff>3979</xdr:rowOff>
    </xdr:from>
    <xdr:ext cx="4760314" cy="2905125"/>
    <xdr:graphicFrame macro="">
      <xdr:nvGraphicFramePr>
        <xdr:cNvPr id="15" name="Chart 15">
          <a:extLst>
            <a:ext uri="{FF2B5EF4-FFF2-40B4-BE49-F238E27FC236}">
              <a16:creationId xmlns:a16="http://schemas.microsoft.com/office/drawing/2014/main" id="{00000000-0008-0000-04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8</xdr:col>
      <xdr:colOff>90818</xdr:colOff>
      <xdr:row>82</xdr:row>
      <xdr:rowOff>131433</xdr:rowOff>
    </xdr:from>
    <xdr:ext cx="4676775" cy="2905125"/>
    <xdr:graphicFrame macro="">
      <xdr:nvGraphicFramePr>
        <xdr:cNvPr id="16" name="Chart 16">
          <a:extLst>
            <a:ext uri="{FF2B5EF4-FFF2-40B4-BE49-F238E27FC236}">
              <a16:creationId xmlns:a16="http://schemas.microsoft.com/office/drawing/2014/main" id="{00000000-0008-0000-04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1546102</xdr:colOff>
      <xdr:row>84</xdr:row>
      <xdr:rowOff>30719</xdr:rowOff>
    </xdr:from>
    <xdr:ext cx="4324350" cy="2762250"/>
    <xdr:graphicFrame macro="">
      <xdr:nvGraphicFramePr>
        <xdr:cNvPr id="17" name="Chart 17">
          <a:extLst>
            <a:ext uri="{FF2B5EF4-FFF2-40B4-BE49-F238E27FC236}">
              <a16:creationId xmlns:a16="http://schemas.microsoft.com/office/drawing/2014/main" id="{00000000-0008-0000-04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4</xdr:col>
      <xdr:colOff>1299625</xdr:colOff>
      <xdr:row>101</xdr:row>
      <xdr:rowOff>77787</xdr:rowOff>
    </xdr:from>
    <xdr:ext cx="4700114" cy="2609850"/>
    <xdr:graphicFrame macro="">
      <xdr:nvGraphicFramePr>
        <xdr:cNvPr id="2" name="Chart 14">
          <a:extLst>
            <a:ext uri="{FF2B5EF4-FFF2-40B4-BE49-F238E27FC236}">
              <a16:creationId xmlns:a16="http://schemas.microsoft.com/office/drawing/2014/main" id="{7DF946AE-F25B-4860-9C06-E7EF8F7F29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1121228</xdr:colOff>
      <xdr:row>100</xdr:row>
      <xdr:rowOff>3979</xdr:rowOff>
    </xdr:from>
    <xdr:ext cx="4760314" cy="2905125"/>
    <xdr:graphicFrame macro="">
      <xdr:nvGraphicFramePr>
        <xdr:cNvPr id="3" name="Chart 15">
          <a:extLst>
            <a:ext uri="{FF2B5EF4-FFF2-40B4-BE49-F238E27FC236}">
              <a16:creationId xmlns:a16="http://schemas.microsoft.com/office/drawing/2014/main" id="{D80A1A63-6A0A-4D86-8645-061F49AF7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8</xdr:col>
      <xdr:colOff>90818</xdr:colOff>
      <xdr:row>82</xdr:row>
      <xdr:rowOff>131433</xdr:rowOff>
    </xdr:from>
    <xdr:ext cx="4676775" cy="2905125"/>
    <xdr:graphicFrame macro="">
      <xdr:nvGraphicFramePr>
        <xdr:cNvPr id="4" name="Chart 16">
          <a:extLst>
            <a:ext uri="{FF2B5EF4-FFF2-40B4-BE49-F238E27FC236}">
              <a16:creationId xmlns:a16="http://schemas.microsoft.com/office/drawing/2014/main" id="{F764701D-3567-4472-9CD9-1DBC44BD25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1546102</xdr:colOff>
      <xdr:row>84</xdr:row>
      <xdr:rowOff>30719</xdr:rowOff>
    </xdr:from>
    <xdr:ext cx="4324350" cy="2762250"/>
    <xdr:graphicFrame macro="">
      <xdr:nvGraphicFramePr>
        <xdr:cNvPr id="5" name="Chart 17">
          <a:extLst>
            <a:ext uri="{FF2B5EF4-FFF2-40B4-BE49-F238E27FC236}">
              <a16:creationId xmlns:a16="http://schemas.microsoft.com/office/drawing/2014/main" id="{7E27CD6C-6DED-40CA-BD17-0289E5E6C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oneCellAnchor>
    <xdr:from>
      <xdr:col>4</xdr:col>
      <xdr:colOff>228600</xdr:colOff>
      <xdr:row>19</xdr:row>
      <xdr:rowOff>171450</xdr:rowOff>
    </xdr:from>
    <xdr:ext cx="5715000" cy="3533775"/>
    <xdr:graphicFrame macro="">
      <xdr:nvGraphicFramePr>
        <xdr:cNvPr id="18" name="Chart 18" title="Chart">
          <a:extLst>
            <a:ext uri="{FF2B5EF4-FFF2-40B4-BE49-F238E27FC236}">
              <a16:creationId xmlns:a16="http://schemas.microsoft.com/office/drawing/2014/main" id="{00000000-0008-0000-1C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952500</xdr:colOff>
      <xdr:row>82</xdr:row>
      <xdr:rowOff>28575</xdr:rowOff>
    </xdr:from>
    <xdr:ext cx="6124575" cy="2857500"/>
    <xdr:graphicFrame macro="">
      <xdr:nvGraphicFramePr>
        <xdr:cNvPr id="19" name="Chart 19" title="Chart">
          <a:extLst>
            <a:ext uri="{FF2B5EF4-FFF2-40B4-BE49-F238E27FC236}">
              <a16:creationId xmlns:a16="http://schemas.microsoft.com/office/drawing/2014/main" id="{00000000-0008-0000-1C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4</xdr:col>
      <xdr:colOff>28575</xdr:colOff>
      <xdr:row>82</xdr:row>
      <xdr:rowOff>28575</xdr:rowOff>
    </xdr:from>
    <xdr:ext cx="5791200" cy="2857500"/>
    <xdr:graphicFrame macro="">
      <xdr:nvGraphicFramePr>
        <xdr:cNvPr id="20" name="Chart 20" title="Chart">
          <a:extLst>
            <a:ext uri="{FF2B5EF4-FFF2-40B4-BE49-F238E27FC236}">
              <a16:creationId xmlns:a16="http://schemas.microsoft.com/office/drawing/2014/main" id="{00000000-0008-0000-1C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2</xdr:col>
      <xdr:colOff>923925</xdr:colOff>
      <xdr:row>115</xdr:row>
      <xdr:rowOff>0</xdr:rowOff>
    </xdr:from>
    <xdr:ext cx="4476750" cy="2857500"/>
    <xdr:graphicFrame macro="">
      <xdr:nvGraphicFramePr>
        <xdr:cNvPr id="21" name="Chart 21" title="Chart">
          <a:extLst>
            <a:ext uri="{FF2B5EF4-FFF2-40B4-BE49-F238E27FC236}">
              <a16:creationId xmlns:a16="http://schemas.microsoft.com/office/drawing/2014/main" id="{00000000-0008-0000-1C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1</xdr:col>
      <xdr:colOff>38100</xdr:colOff>
      <xdr:row>115</xdr:row>
      <xdr:rowOff>0</xdr:rowOff>
    </xdr:from>
    <xdr:ext cx="4657725" cy="2857500"/>
    <xdr:graphicFrame macro="">
      <xdr:nvGraphicFramePr>
        <xdr:cNvPr id="22" name="Chart 22" title="Chart">
          <a:extLst>
            <a:ext uri="{FF2B5EF4-FFF2-40B4-BE49-F238E27FC236}">
              <a16:creationId xmlns:a16="http://schemas.microsoft.com/office/drawing/2014/main" id="{00000000-0008-0000-1C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1</xdr:col>
      <xdr:colOff>114300</xdr:colOff>
      <xdr:row>143</xdr:row>
      <xdr:rowOff>76200</xdr:rowOff>
    </xdr:from>
    <xdr:ext cx="7029450" cy="2800350"/>
    <xdr:graphicFrame macro="">
      <xdr:nvGraphicFramePr>
        <xdr:cNvPr id="23" name="Chart 23" title="Chart">
          <a:extLst>
            <a:ext uri="{FF2B5EF4-FFF2-40B4-BE49-F238E27FC236}">
              <a16:creationId xmlns:a16="http://schemas.microsoft.com/office/drawing/2014/main" id="{00000000-0008-0000-1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1</xdr:col>
      <xdr:colOff>0</xdr:colOff>
      <xdr:row>159</xdr:row>
      <xdr:rowOff>19050</xdr:rowOff>
    </xdr:from>
    <xdr:ext cx="10439400" cy="4391025"/>
    <xdr:graphicFrame macro="">
      <xdr:nvGraphicFramePr>
        <xdr:cNvPr id="24" name="Chart 24" title="Chart">
          <a:extLst>
            <a:ext uri="{FF2B5EF4-FFF2-40B4-BE49-F238E27FC236}">
              <a16:creationId xmlns:a16="http://schemas.microsoft.com/office/drawing/2014/main" id="{00000000-0008-0000-1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1</xdr:col>
      <xdr:colOff>0</xdr:colOff>
      <xdr:row>187</xdr:row>
      <xdr:rowOff>0</xdr:rowOff>
    </xdr:from>
    <xdr:ext cx="5715000" cy="3533775"/>
    <xdr:graphicFrame macro="">
      <xdr:nvGraphicFramePr>
        <xdr:cNvPr id="25" name="Chart 25" title="Chart">
          <a:extLst>
            <a:ext uri="{FF2B5EF4-FFF2-40B4-BE49-F238E27FC236}">
              <a16:creationId xmlns:a16="http://schemas.microsoft.com/office/drawing/2014/main" id="{00000000-0008-0000-1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1</xdr:col>
      <xdr:colOff>0</xdr:colOff>
      <xdr:row>206</xdr:row>
      <xdr:rowOff>57150</xdr:rowOff>
    </xdr:from>
    <xdr:ext cx="13325475" cy="4533900"/>
    <xdr:graphicFrame macro="">
      <xdr:nvGraphicFramePr>
        <xdr:cNvPr id="26" name="Chart 26" title="Chart">
          <a:extLst>
            <a:ext uri="{FF2B5EF4-FFF2-40B4-BE49-F238E27FC236}">
              <a16:creationId xmlns:a16="http://schemas.microsoft.com/office/drawing/2014/main" id="{00000000-0008-0000-1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1</xdr:col>
      <xdr:colOff>0</xdr:colOff>
      <xdr:row>231</xdr:row>
      <xdr:rowOff>161925</xdr:rowOff>
    </xdr:from>
    <xdr:ext cx="5514975" cy="1543050"/>
    <xdr:graphicFrame macro="">
      <xdr:nvGraphicFramePr>
        <xdr:cNvPr id="27" name="Chart 27" title="Chart">
          <a:extLst>
            <a:ext uri="{FF2B5EF4-FFF2-40B4-BE49-F238E27FC236}">
              <a16:creationId xmlns:a16="http://schemas.microsoft.com/office/drawing/2014/main" id="{00000000-0008-0000-1C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1</xdr:col>
      <xdr:colOff>0</xdr:colOff>
      <xdr:row>256</xdr:row>
      <xdr:rowOff>0</xdr:rowOff>
    </xdr:from>
    <xdr:ext cx="5676900" cy="1895475"/>
    <xdr:graphicFrame macro="">
      <xdr:nvGraphicFramePr>
        <xdr:cNvPr id="28" name="Chart 28" title="Chart">
          <a:extLst>
            <a:ext uri="{FF2B5EF4-FFF2-40B4-BE49-F238E27FC236}">
              <a16:creationId xmlns:a16="http://schemas.microsoft.com/office/drawing/2014/main" id="{00000000-0008-0000-1C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1</xdr:col>
      <xdr:colOff>0</xdr:colOff>
      <xdr:row>283</xdr:row>
      <xdr:rowOff>47625</xdr:rowOff>
    </xdr:from>
    <xdr:ext cx="7896225" cy="2152650"/>
    <xdr:graphicFrame macro="">
      <xdr:nvGraphicFramePr>
        <xdr:cNvPr id="29" name="Chart 29" title="Chart">
          <a:extLst>
            <a:ext uri="{FF2B5EF4-FFF2-40B4-BE49-F238E27FC236}">
              <a16:creationId xmlns:a16="http://schemas.microsoft.com/office/drawing/2014/main" id="{00000000-0008-0000-1C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oneCellAnchor>
    <xdr:from>
      <xdr:col>1</xdr:col>
      <xdr:colOff>0</xdr:colOff>
      <xdr:row>305</xdr:row>
      <xdr:rowOff>142875</xdr:rowOff>
    </xdr:from>
    <xdr:ext cx="8915400" cy="2876550"/>
    <xdr:graphicFrame macro="">
      <xdr:nvGraphicFramePr>
        <xdr:cNvPr id="30" name="Chart 30" title="Chart">
          <a:extLst>
            <a:ext uri="{FF2B5EF4-FFF2-40B4-BE49-F238E27FC236}">
              <a16:creationId xmlns:a16="http://schemas.microsoft.com/office/drawing/2014/main" id="{00000000-0008-0000-1C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oneCellAnchor>
  <xdr:oneCellAnchor>
    <xdr:from>
      <xdr:col>3</xdr:col>
      <xdr:colOff>561975</xdr:colOff>
      <xdr:row>322</xdr:row>
      <xdr:rowOff>0</xdr:rowOff>
    </xdr:from>
    <xdr:ext cx="7334250" cy="3114675"/>
    <xdr:graphicFrame macro="">
      <xdr:nvGraphicFramePr>
        <xdr:cNvPr id="31" name="Chart 31" title="Chart">
          <a:extLst>
            <a:ext uri="{FF2B5EF4-FFF2-40B4-BE49-F238E27FC236}">
              <a16:creationId xmlns:a16="http://schemas.microsoft.com/office/drawing/2014/main" id="{00000000-0008-0000-1C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fLocksWithSheet="0"/>
  </xdr:oneCellAnchor>
  <xdr:oneCellAnchor>
    <xdr:from>
      <xdr:col>3</xdr:col>
      <xdr:colOff>619125</xdr:colOff>
      <xdr:row>340</xdr:row>
      <xdr:rowOff>95250</xdr:rowOff>
    </xdr:from>
    <xdr:ext cx="7229475" cy="2876550"/>
    <xdr:graphicFrame macro="">
      <xdr:nvGraphicFramePr>
        <xdr:cNvPr id="32" name="Chart 32" title="Chart">
          <a:extLst>
            <a:ext uri="{FF2B5EF4-FFF2-40B4-BE49-F238E27FC236}">
              <a16:creationId xmlns:a16="http://schemas.microsoft.com/office/drawing/2014/main" id="{00000000-0008-0000-1C00-00002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fLocksWithSheet="0"/>
  </xdr:oneCellAnchor>
  <xdr:oneCellAnchor>
    <xdr:from>
      <xdr:col>3</xdr:col>
      <xdr:colOff>619125</xdr:colOff>
      <xdr:row>357</xdr:row>
      <xdr:rowOff>28575</xdr:rowOff>
    </xdr:from>
    <xdr:ext cx="7229475" cy="2876550"/>
    <xdr:graphicFrame macro="">
      <xdr:nvGraphicFramePr>
        <xdr:cNvPr id="33" name="Chart 33" title="Chart">
          <a:extLst>
            <a:ext uri="{FF2B5EF4-FFF2-40B4-BE49-F238E27FC236}">
              <a16:creationId xmlns:a16="http://schemas.microsoft.com/office/drawing/2014/main" id="{00000000-0008-0000-1C00-00002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fLocksWithSheet="0"/>
  </xdr:oneCellAnchor>
  <xdr:oneCellAnchor>
    <xdr:from>
      <xdr:col>3</xdr:col>
      <xdr:colOff>619125</xdr:colOff>
      <xdr:row>373</xdr:row>
      <xdr:rowOff>28575</xdr:rowOff>
    </xdr:from>
    <xdr:ext cx="7229475" cy="2876550"/>
    <xdr:graphicFrame macro="">
      <xdr:nvGraphicFramePr>
        <xdr:cNvPr id="34" name="Chart 34" title="Chart">
          <a:extLst>
            <a:ext uri="{FF2B5EF4-FFF2-40B4-BE49-F238E27FC236}">
              <a16:creationId xmlns:a16="http://schemas.microsoft.com/office/drawing/2014/main" id="{00000000-0008-0000-1C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fLocksWithSheet="0"/>
  </xdr:oneCellAnchor>
  <xdr:oneCellAnchor>
    <xdr:from>
      <xdr:col>1</xdr:col>
      <xdr:colOff>38100</xdr:colOff>
      <xdr:row>98</xdr:row>
      <xdr:rowOff>28575</xdr:rowOff>
    </xdr:from>
    <xdr:ext cx="12725400" cy="3152775"/>
    <xdr:graphicFrame macro="">
      <xdr:nvGraphicFramePr>
        <xdr:cNvPr id="35" name="Chart 35" title="Chart">
          <a:extLst>
            <a:ext uri="{FF2B5EF4-FFF2-40B4-BE49-F238E27FC236}">
              <a16:creationId xmlns:a16="http://schemas.microsoft.com/office/drawing/2014/main" id="{00000000-0008-0000-1C00-00002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fLocksWithSheet="0"/>
  </xdr:oneCellAnchor>
  <xdr:oneCellAnchor>
    <xdr:from>
      <xdr:col>1</xdr:col>
      <xdr:colOff>114300</xdr:colOff>
      <xdr:row>130</xdr:row>
      <xdr:rowOff>171450</xdr:rowOff>
    </xdr:from>
    <xdr:ext cx="8782050" cy="2305050"/>
    <xdr:graphicFrame macro="">
      <xdr:nvGraphicFramePr>
        <xdr:cNvPr id="36" name="Chart 36" title="Chart">
          <a:extLst>
            <a:ext uri="{FF2B5EF4-FFF2-40B4-BE49-F238E27FC236}">
              <a16:creationId xmlns:a16="http://schemas.microsoft.com/office/drawing/2014/main" id="{00000000-0008-0000-1C00-00002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fLocksWithSheet="0"/>
  </xdr:oneCellAnchor>
  <xdr:oneCellAnchor>
    <xdr:from>
      <xdr:col>2</xdr:col>
      <xdr:colOff>1704975</xdr:colOff>
      <xdr:row>187</xdr:row>
      <xdr:rowOff>0</xdr:rowOff>
    </xdr:from>
    <xdr:ext cx="5715000" cy="3533775"/>
    <xdr:graphicFrame macro="">
      <xdr:nvGraphicFramePr>
        <xdr:cNvPr id="37" name="Chart 37" title="Chart">
          <a:extLst>
            <a:ext uri="{FF2B5EF4-FFF2-40B4-BE49-F238E27FC236}">
              <a16:creationId xmlns:a16="http://schemas.microsoft.com/office/drawing/2014/main" id="{00000000-0008-0000-1C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fLocksWithSheet="0"/>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hyperlink" Target="https://finbox.com/NYSE:MSGE/explorer/ev_to_ebitda_ltm/" TargetMode="External"/><Relationship Id="rId2" Type="http://schemas.openxmlformats.org/officeDocument/2006/relationships/hyperlink" Target="https://finbox.com/ASX:EDV/explorer/ev_to_ebitda_ltm/" TargetMode="External"/><Relationship Id="rId1" Type="http://schemas.openxmlformats.org/officeDocument/2006/relationships/hyperlink" Target="https://simplywall.st/stocks/us/media/nyse-lyv/live-nation-entertainment/valuation" TargetMode="External"/><Relationship Id="rId5" Type="http://schemas.openxmlformats.org/officeDocument/2006/relationships/hyperlink" Target="https://ng.investing.com/pro/ASX:CEH/explorer/ev_to_ebitda_ltm" TargetMode="External"/><Relationship Id="rId4" Type="http://schemas.openxmlformats.org/officeDocument/2006/relationships/hyperlink" Target="https://www.reuters.com/markets/asia/crown-plays-its-cards-well-with-blackstone-2022-01-13/"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taxsummaries.pwc.com/australia/corporate/other-taxes" TargetMode="External"/><Relationship Id="rId2" Type="http://schemas.openxmlformats.org/officeDocument/2006/relationships/hyperlink" Target="https://containify.com.au/modified-shipping-containers-for-sale/" TargetMode="External"/><Relationship Id="rId1" Type="http://schemas.openxmlformats.org/officeDocument/2006/relationships/hyperlink" Target="https://containify.com.au/modified-shipping-containers-for-sale/" TargetMode="Externa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BFBF"/>
    <outlinePr summaryBelow="0" summaryRight="0"/>
  </sheetPr>
  <dimension ref="A1:C1002"/>
  <sheetViews>
    <sheetView showGridLines="0" workbookViewId="0">
      <selection activeCell="B7" sqref="B7"/>
    </sheetView>
  </sheetViews>
  <sheetFormatPr defaultColWidth="12.6328125" defaultRowHeight="15" customHeight="1"/>
  <cols>
    <col min="1" max="1" width="4.1796875" bestFit="1" customWidth="1"/>
    <col min="2" max="2" width="27" customWidth="1"/>
    <col min="3" max="3" width="70.36328125" customWidth="1"/>
    <col min="4" max="6" width="12.6328125" customWidth="1"/>
  </cols>
  <sheetData>
    <row r="1" spans="1:3" ht="15" customHeight="1">
      <c r="A1" s="1"/>
      <c r="B1" s="1302" t="s">
        <v>0</v>
      </c>
      <c r="C1" s="1303"/>
    </row>
    <row r="2" spans="1:3" ht="14.5">
      <c r="A2" s="3"/>
      <c r="B2" s="1304" t="s">
        <v>1</v>
      </c>
      <c r="C2" s="1305"/>
    </row>
    <row r="3" spans="1:3" ht="14.5">
      <c r="A3" s="3"/>
      <c r="B3" s="3"/>
      <c r="C3" s="4"/>
    </row>
    <row r="4" spans="1:3" ht="14.5">
      <c r="A4" s="5" t="s">
        <v>2</v>
      </c>
      <c r="B4" s="6" t="s">
        <v>3</v>
      </c>
      <c r="C4" s="7" t="s">
        <v>4</v>
      </c>
    </row>
    <row r="5" spans="1:3" ht="28">
      <c r="A5" s="8">
        <v>1</v>
      </c>
      <c r="B5" s="9" t="s">
        <v>5</v>
      </c>
      <c r="C5" s="10" t="s">
        <v>6</v>
      </c>
    </row>
    <row r="6" spans="1:3" ht="42">
      <c r="A6" s="11">
        <f t="shared" ref="A6:A28" si="0">A5+1</f>
        <v>2</v>
      </c>
      <c r="B6" s="12" t="s">
        <v>7</v>
      </c>
      <c r="C6" s="13" t="s">
        <v>8</v>
      </c>
    </row>
    <row r="7" spans="1:3" ht="25.5" customHeight="1">
      <c r="A7" s="14">
        <f t="shared" si="0"/>
        <v>3</v>
      </c>
      <c r="B7" s="12" t="s">
        <v>9</v>
      </c>
      <c r="C7" s="13" t="s">
        <v>10</v>
      </c>
    </row>
    <row r="8" spans="1:3" ht="28">
      <c r="A8" s="14">
        <f t="shared" si="0"/>
        <v>4</v>
      </c>
      <c r="B8" s="12" t="s">
        <v>11</v>
      </c>
      <c r="C8" s="13" t="s">
        <v>12</v>
      </c>
    </row>
    <row r="9" spans="1:3" ht="28">
      <c r="A9" s="14">
        <f t="shared" si="0"/>
        <v>5</v>
      </c>
      <c r="B9" s="15" t="s">
        <v>13</v>
      </c>
      <c r="C9" s="10" t="s">
        <v>14</v>
      </c>
    </row>
    <row r="10" spans="1:3" ht="28">
      <c r="A10" s="14">
        <f t="shared" si="0"/>
        <v>6</v>
      </c>
      <c r="B10" s="15" t="s">
        <v>15</v>
      </c>
      <c r="C10" s="10" t="s">
        <v>16</v>
      </c>
    </row>
    <row r="11" spans="1:3" ht="28">
      <c r="A11" s="11">
        <f t="shared" si="0"/>
        <v>7</v>
      </c>
      <c r="B11" s="12" t="s">
        <v>17</v>
      </c>
      <c r="C11" s="13" t="s">
        <v>18</v>
      </c>
    </row>
    <row r="12" spans="1:3" ht="28">
      <c r="A12" s="11">
        <f t="shared" si="0"/>
        <v>8</v>
      </c>
      <c r="B12" s="15" t="s">
        <v>19</v>
      </c>
      <c r="C12" s="10" t="s">
        <v>20</v>
      </c>
    </row>
    <row r="13" spans="1:3" ht="28">
      <c r="A13" s="11">
        <f t="shared" si="0"/>
        <v>9</v>
      </c>
      <c r="B13" s="12" t="s">
        <v>21</v>
      </c>
      <c r="C13" s="13" t="s">
        <v>22</v>
      </c>
    </row>
    <row r="14" spans="1:3" ht="28">
      <c r="A14" s="11">
        <f t="shared" si="0"/>
        <v>10</v>
      </c>
      <c r="B14" s="12" t="s">
        <v>23</v>
      </c>
      <c r="C14" s="13" t="s">
        <v>24</v>
      </c>
    </row>
    <row r="15" spans="1:3" ht="28">
      <c r="A15" s="11">
        <f t="shared" si="0"/>
        <v>11</v>
      </c>
      <c r="B15" s="15" t="s">
        <v>25</v>
      </c>
      <c r="C15" s="10" t="s">
        <v>26</v>
      </c>
    </row>
    <row r="16" spans="1:3" ht="28">
      <c r="A16" s="11">
        <f t="shared" si="0"/>
        <v>12</v>
      </c>
      <c r="B16" s="12" t="s">
        <v>27</v>
      </c>
      <c r="C16" s="13" t="s">
        <v>28</v>
      </c>
    </row>
    <row r="17" spans="1:3" ht="28">
      <c r="A17" s="14">
        <f t="shared" si="0"/>
        <v>13</v>
      </c>
      <c r="B17" s="15" t="s">
        <v>29</v>
      </c>
      <c r="C17" s="10" t="s">
        <v>30</v>
      </c>
    </row>
    <row r="18" spans="1:3" ht="28">
      <c r="A18" s="11">
        <f t="shared" si="0"/>
        <v>14</v>
      </c>
      <c r="B18" s="12" t="s">
        <v>31</v>
      </c>
      <c r="C18" s="13" t="s">
        <v>32</v>
      </c>
    </row>
    <row r="19" spans="1:3" ht="14.5">
      <c r="A19" s="14">
        <f t="shared" si="0"/>
        <v>15</v>
      </c>
      <c r="B19" s="15" t="s">
        <v>33</v>
      </c>
      <c r="C19" s="10" t="s">
        <v>34</v>
      </c>
    </row>
    <row r="20" spans="1:3" ht="28">
      <c r="A20" s="11">
        <f t="shared" si="0"/>
        <v>16</v>
      </c>
      <c r="B20" s="12" t="s">
        <v>35</v>
      </c>
      <c r="C20" s="13" t="s">
        <v>36</v>
      </c>
    </row>
    <row r="21" spans="1:3" ht="28">
      <c r="A21" s="14">
        <f t="shared" si="0"/>
        <v>17</v>
      </c>
      <c r="B21" s="15" t="s">
        <v>37</v>
      </c>
      <c r="C21" s="10" t="s">
        <v>38</v>
      </c>
    </row>
    <row r="22" spans="1:3" ht="28">
      <c r="A22" s="11">
        <f t="shared" si="0"/>
        <v>18</v>
      </c>
      <c r="B22" s="12" t="s">
        <v>39</v>
      </c>
      <c r="C22" s="13" t="s">
        <v>40</v>
      </c>
    </row>
    <row r="23" spans="1:3" ht="15.75" customHeight="1">
      <c r="A23" s="14">
        <f t="shared" si="0"/>
        <v>19</v>
      </c>
      <c r="B23" s="15" t="s">
        <v>41</v>
      </c>
      <c r="C23" s="10" t="s">
        <v>42</v>
      </c>
    </row>
    <row r="24" spans="1:3" ht="15.75" customHeight="1">
      <c r="A24" s="11">
        <f t="shared" si="0"/>
        <v>20</v>
      </c>
      <c r="B24" s="12" t="s">
        <v>43</v>
      </c>
      <c r="C24" s="13" t="s">
        <v>44</v>
      </c>
    </row>
    <row r="25" spans="1:3" ht="15.75" customHeight="1">
      <c r="A25" s="14">
        <f t="shared" si="0"/>
        <v>21</v>
      </c>
      <c r="B25" s="15" t="s">
        <v>45</v>
      </c>
      <c r="C25" s="10" t="s">
        <v>46</v>
      </c>
    </row>
    <row r="26" spans="1:3" ht="15.75" customHeight="1">
      <c r="A26" s="11">
        <f t="shared" si="0"/>
        <v>22</v>
      </c>
      <c r="B26" s="12" t="s">
        <v>47</v>
      </c>
      <c r="C26" s="13" t="s">
        <v>48</v>
      </c>
    </row>
    <row r="27" spans="1:3" ht="15.75" customHeight="1">
      <c r="A27" s="16">
        <f t="shared" si="0"/>
        <v>23</v>
      </c>
      <c r="B27" s="17" t="s">
        <v>49</v>
      </c>
      <c r="C27" s="18" t="s">
        <v>50</v>
      </c>
    </row>
    <row r="28" spans="1:3" ht="32.25" customHeight="1">
      <c r="A28" s="19">
        <f t="shared" si="0"/>
        <v>24</v>
      </c>
      <c r="B28" s="20" t="s">
        <v>51</v>
      </c>
      <c r="C28" s="21" t="s">
        <v>52</v>
      </c>
    </row>
    <row r="29" spans="1:3" ht="15.75" customHeight="1">
      <c r="C29" s="22"/>
    </row>
    <row r="30" spans="1:3" ht="15.75" customHeight="1">
      <c r="C30" s="22"/>
    </row>
    <row r="31" spans="1:3" ht="15.75" customHeight="1">
      <c r="C31" s="22"/>
    </row>
    <row r="32" spans="1:3" ht="15.75" customHeight="1">
      <c r="C32" s="22"/>
    </row>
    <row r="33" spans="3:3" ht="15.75" customHeight="1">
      <c r="C33" s="22"/>
    </row>
    <row r="34" spans="3:3" ht="15.75" customHeight="1">
      <c r="C34" s="22"/>
    </row>
    <row r="35" spans="3:3" ht="15.75" customHeight="1">
      <c r="C35" s="22"/>
    </row>
    <row r="36" spans="3:3" ht="15.75" customHeight="1">
      <c r="C36" s="22"/>
    </row>
    <row r="37" spans="3:3" ht="15.75" customHeight="1">
      <c r="C37" s="22"/>
    </row>
    <row r="38" spans="3:3" ht="15.75" customHeight="1">
      <c r="C38" s="22"/>
    </row>
    <row r="39" spans="3:3" ht="15.75" customHeight="1">
      <c r="C39" s="22"/>
    </row>
    <row r="40" spans="3:3" ht="15.75" customHeight="1">
      <c r="C40" s="22"/>
    </row>
    <row r="41" spans="3:3" ht="15.75" customHeight="1">
      <c r="C41" s="22"/>
    </row>
    <row r="42" spans="3:3" ht="15.75" customHeight="1">
      <c r="C42" s="22"/>
    </row>
    <row r="43" spans="3:3" ht="15.75" customHeight="1">
      <c r="C43" s="22"/>
    </row>
    <row r="44" spans="3:3" ht="15.75" customHeight="1">
      <c r="C44" s="22"/>
    </row>
    <row r="45" spans="3:3" ht="15.75" customHeight="1">
      <c r="C45" s="22"/>
    </row>
    <row r="46" spans="3:3" ht="15.75" customHeight="1">
      <c r="C46" s="22"/>
    </row>
    <row r="47" spans="3:3" ht="15.75" customHeight="1">
      <c r="C47" s="22"/>
    </row>
    <row r="48" spans="3:3" ht="15.75" customHeight="1">
      <c r="C48" s="22"/>
    </row>
    <row r="49" spans="3:3" ht="15.75" customHeight="1">
      <c r="C49" s="22"/>
    </row>
    <row r="50" spans="3:3" ht="15.75" customHeight="1">
      <c r="C50" s="22"/>
    </row>
    <row r="51" spans="3:3" ht="15.75" customHeight="1">
      <c r="C51" s="22"/>
    </row>
    <row r="52" spans="3:3" ht="15.75" customHeight="1">
      <c r="C52" s="22"/>
    </row>
    <row r="53" spans="3:3" ht="15.75" customHeight="1">
      <c r="C53" s="22"/>
    </row>
    <row r="54" spans="3:3" ht="15.75" customHeight="1">
      <c r="C54" s="22"/>
    </row>
    <row r="55" spans="3:3" ht="15.75" customHeight="1">
      <c r="C55" s="22"/>
    </row>
    <row r="56" spans="3:3" ht="15.75" customHeight="1">
      <c r="C56" s="22"/>
    </row>
    <row r="57" spans="3:3" ht="15.75" customHeight="1">
      <c r="C57" s="22"/>
    </row>
    <row r="58" spans="3:3" ht="15.75" customHeight="1">
      <c r="C58" s="22"/>
    </row>
    <row r="59" spans="3:3" ht="15.75" customHeight="1">
      <c r="C59" s="22"/>
    </row>
    <row r="60" spans="3:3" ht="15.75" customHeight="1">
      <c r="C60" s="22"/>
    </row>
    <row r="61" spans="3:3" ht="15.75" customHeight="1">
      <c r="C61" s="22"/>
    </row>
    <row r="62" spans="3:3" ht="15.75" customHeight="1">
      <c r="C62" s="22"/>
    </row>
    <row r="63" spans="3:3" ht="15.75" customHeight="1">
      <c r="C63" s="22"/>
    </row>
    <row r="64" spans="3:3" ht="15.75" customHeight="1">
      <c r="C64" s="22"/>
    </row>
    <row r="65" spans="3:3" ht="15.75" customHeight="1">
      <c r="C65" s="22"/>
    </row>
    <row r="66" spans="3:3" ht="15.75" customHeight="1">
      <c r="C66" s="22"/>
    </row>
    <row r="67" spans="3:3" ht="15.75" customHeight="1">
      <c r="C67" s="22"/>
    </row>
    <row r="68" spans="3:3" ht="15.75" customHeight="1">
      <c r="C68" s="22"/>
    </row>
    <row r="69" spans="3:3" ht="15.75" customHeight="1">
      <c r="C69" s="22"/>
    </row>
    <row r="70" spans="3:3" ht="15.75" customHeight="1">
      <c r="C70" s="22"/>
    </row>
    <row r="71" spans="3:3" ht="15.75" customHeight="1">
      <c r="C71" s="22"/>
    </row>
    <row r="72" spans="3:3" ht="15.75" customHeight="1">
      <c r="C72" s="22"/>
    </row>
    <row r="73" spans="3:3" ht="15.75" customHeight="1">
      <c r="C73" s="22"/>
    </row>
    <row r="74" spans="3:3" ht="15.75" customHeight="1">
      <c r="C74" s="22"/>
    </row>
    <row r="75" spans="3:3" ht="15.75" customHeight="1">
      <c r="C75" s="22"/>
    </row>
    <row r="76" spans="3:3" ht="15.75" customHeight="1">
      <c r="C76" s="22"/>
    </row>
    <row r="77" spans="3:3" ht="15.75" customHeight="1">
      <c r="C77" s="22"/>
    </row>
    <row r="78" spans="3:3" ht="15.75" customHeight="1">
      <c r="C78" s="22"/>
    </row>
    <row r="79" spans="3:3" ht="15.75" customHeight="1">
      <c r="C79" s="22"/>
    </row>
    <row r="80" spans="3:3" ht="15.75" customHeight="1">
      <c r="C80" s="22"/>
    </row>
    <row r="81" spans="3:3" ht="15.75" customHeight="1">
      <c r="C81" s="22"/>
    </row>
    <row r="82" spans="3:3" ht="15.75" customHeight="1">
      <c r="C82" s="22"/>
    </row>
    <row r="83" spans="3:3" ht="15.75" customHeight="1">
      <c r="C83" s="22"/>
    </row>
    <row r="84" spans="3:3" ht="15.75" customHeight="1">
      <c r="C84" s="22"/>
    </row>
    <row r="85" spans="3:3" ht="15.75" customHeight="1">
      <c r="C85" s="22"/>
    </row>
    <row r="86" spans="3:3" ht="15.75" customHeight="1">
      <c r="C86" s="22"/>
    </row>
    <row r="87" spans="3:3" ht="15.75" customHeight="1">
      <c r="C87" s="22"/>
    </row>
    <row r="88" spans="3:3" ht="15.75" customHeight="1">
      <c r="C88" s="22"/>
    </row>
    <row r="89" spans="3:3" ht="15.75" customHeight="1">
      <c r="C89" s="22"/>
    </row>
    <row r="90" spans="3:3" ht="15.75" customHeight="1">
      <c r="C90" s="22"/>
    </row>
    <row r="91" spans="3:3" ht="15.75" customHeight="1">
      <c r="C91" s="22"/>
    </row>
    <row r="92" spans="3:3" ht="15.75" customHeight="1">
      <c r="C92" s="22"/>
    </row>
    <row r="93" spans="3:3" ht="15.75" customHeight="1">
      <c r="C93" s="22"/>
    </row>
    <row r="94" spans="3:3" ht="15.75" customHeight="1">
      <c r="C94" s="22"/>
    </row>
    <row r="95" spans="3:3" ht="15.75" customHeight="1">
      <c r="C95" s="22"/>
    </row>
    <row r="96" spans="3:3" ht="15.75" customHeight="1">
      <c r="C96" s="22"/>
    </row>
    <row r="97" spans="3:3" ht="15.75" customHeight="1">
      <c r="C97" s="22"/>
    </row>
    <row r="98" spans="3:3" ht="15.75" customHeight="1">
      <c r="C98" s="22"/>
    </row>
    <row r="99" spans="3:3" ht="15.75" customHeight="1">
      <c r="C99" s="22"/>
    </row>
    <row r="100" spans="3:3" ht="15.75" customHeight="1">
      <c r="C100" s="22"/>
    </row>
    <row r="101" spans="3:3" ht="15.75" customHeight="1">
      <c r="C101" s="22"/>
    </row>
    <row r="102" spans="3:3" ht="15.75" customHeight="1">
      <c r="C102" s="22"/>
    </row>
    <row r="103" spans="3:3" ht="15.75" customHeight="1">
      <c r="C103" s="22"/>
    </row>
    <row r="104" spans="3:3" ht="15.75" customHeight="1">
      <c r="C104" s="22"/>
    </row>
    <row r="105" spans="3:3" ht="15.75" customHeight="1">
      <c r="C105" s="22"/>
    </row>
    <row r="106" spans="3:3" ht="15.75" customHeight="1">
      <c r="C106" s="22"/>
    </row>
    <row r="107" spans="3:3" ht="15.75" customHeight="1">
      <c r="C107" s="22"/>
    </row>
    <row r="108" spans="3:3" ht="15.75" customHeight="1">
      <c r="C108" s="22"/>
    </row>
    <row r="109" spans="3:3" ht="15.75" customHeight="1">
      <c r="C109" s="22"/>
    </row>
    <row r="110" spans="3:3" ht="15.75" customHeight="1">
      <c r="C110" s="22"/>
    </row>
    <row r="111" spans="3:3" ht="15.75" customHeight="1">
      <c r="C111" s="22"/>
    </row>
    <row r="112" spans="3:3" ht="15.75" customHeight="1">
      <c r="C112" s="22"/>
    </row>
    <row r="113" spans="3:3" ht="15.75" customHeight="1">
      <c r="C113" s="22"/>
    </row>
    <row r="114" spans="3:3" ht="15.75" customHeight="1">
      <c r="C114" s="22"/>
    </row>
    <row r="115" spans="3:3" ht="15.75" customHeight="1">
      <c r="C115" s="22"/>
    </row>
    <row r="116" spans="3:3" ht="15.75" customHeight="1">
      <c r="C116" s="22"/>
    </row>
    <row r="117" spans="3:3" ht="15.75" customHeight="1">
      <c r="C117" s="22"/>
    </row>
    <row r="118" spans="3:3" ht="15.75" customHeight="1">
      <c r="C118" s="22"/>
    </row>
    <row r="119" spans="3:3" ht="15.75" customHeight="1">
      <c r="C119" s="22"/>
    </row>
    <row r="120" spans="3:3" ht="15.75" customHeight="1">
      <c r="C120" s="22"/>
    </row>
    <row r="121" spans="3:3" ht="15.75" customHeight="1">
      <c r="C121" s="22"/>
    </row>
    <row r="122" spans="3:3" ht="15.75" customHeight="1">
      <c r="C122" s="22"/>
    </row>
    <row r="123" spans="3:3" ht="15.75" customHeight="1">
      <c r="C123" s="22"/>
    </row>
    <row r="124" spans="3:3" ht="15.75" customHeight="1">
      <c r="C124" s="22"/>
    </row>
    <row r="125" spans="3:3" ht="15.75" customHeight="1">
      <c r="C125" s="22"/>
    </row>
    <row r="126" spans="3:3" ht="15.75" customHeight="1">
      <c r="C126" s="22"/>
    </row>
    <row r="127" spans="3:3" ht="15.75" customHeight="1">
      <c r="C127" s="22"/>
    </row>
    <row r="128" spans="3:3" ht="15.75" customHeight="1">
      <c r="C128" s="22"/>
    </row>
    <row r="129" spans="3:3" ht="15.75" customHeight="1">
      <c r="C129" s="22"/>
    </row>
    <row r="130" spans="3:3" ht="15.75" customHeight="1">
      <c r="C130" s="22"/>
    </row>
    <row r="131" spans="3:3" ht="15.75" customHeight="1">
      <c r="C131" s="22"/>
    </row>
    <row r="132" spans="3:3" ht="15.75" customHeight="1">
      <c r="C132" s="22"/>
    </row>
    <row r="133" spans="3:3" ht="15.75" customHeight="1">
      <c r="C133" s="22"/>
    </row>
    <row r="134" spans="3:3" ht="15.75" customHeight="1">
      <c r="C134" s="22"/>
    </row>
    <row r="135" spans="3:3" ht="15.75" customHeight="1">
      <c r="C135" s="22"/>
    </row>
    <row r="136" spans="3:3" ht="15.75" customHeight="1">
      <c r="C136" s="22"/>
    </row>
    <row r="137" spans="3:3" ht="15.75" customHeight="1">
      <c r="C137" s="22"/>
    </row>
    <row r="138" spans="3:3" ht="15.75" customHeight="1">
      <c r="C138" s="22"/>
    </row>
    <row r="139" spans="3:3" ht="15.75" customHeight="1">
      <c r="C139" s="22"/>
    </row>
    <row r="140" spans="3:3" ht="15.75" customHeight="1">
      <c r="C140" s="22"/>
    </row>
    <row r="141" spans="3:3" ht="15.75" customHeight="1">
      <c r="C141" s="22"/>
    </row>
    <row r="142" spans="3:3" ht="15.75" customHeight="1">
      <c r="C142" s="22"/>
    </row>
    <row r="143" spans="3:3" ht="15.75" customHeight="1">
      <c r="C143" s="22"/>
    </row>
    <row r="144" spans="3:3" ht="15.75" customHeight="1">
      <c r="C144" s="22"/>
    </row>
    <row r="145" spans="3:3" ht="15.75" customHeight="1">
      <c r="C145" s="22"/>
    </row>
    <row r="146" spans="3:3" ht="15.75" customHeight="1">
      <c r="C146" s="22"/>
    </row>
    <row r="147" spans="3:3" ht="15.75" customHeight="1">
      <c r="C147" s="22"/>
    </row>
    <row r="148" spans="3:3" ht="15.75" customHeight="1">
      <c r="C148" s="22"/>
    </row>
    <row r="149" spans="3:3" ht="15.75" customHeight="1">
      <c r="C149" s="22"/>
    </row>
    <row r="150" spans="3:3" ht="15.75" customHeight="1">
      <c r="C150" s="22"/>
    </row>
    <row r="151" spans="3:3" ht="15.75" customHeight="1">
      <c r="C151" s="22"/>
    </row>
    <row r="152" spans="3:3" ht="15.75" customHeight="1">
      <c r="C152" s="22"/>
    </row>
    <row r="153" spans="3:3" ht="15.75" customHeight="1">
      <c r="C153" s="22"/>
    </row>
    <row r="154" spans="3:3" ht="15.75" customHeight="1">
      <c r="C154" s="22"/>
    </row>
    <row r="155" spans="3:3" ht="15.75" customHeight="1">
      <c r="C155" s="22"/>
    </row>
    <row r="156" spans="3:3" ht="15.75" customHeight="1">
      <c r="C156" s="22"/>
    </row>
    <row r="157" spans="3:3" ht="15.75" customHeight="1">
      <c r="C157" s="22"/>
    </row>
    <row r="158" spans="3:3" ht="15.75" customHeight="1">
      <c r="C158" s="22"/>
    </row>
    <row r="159" spans="3:3" ht="15.75" customHeight="1">
      <c r="C159" s="22"/>
    </row>
    <row r="160" spans="3:3" ht="15.75" customHeight="1">
      <c r="C160" s="22"/>
    </row>
    <row r="161" spans="3:3" ht="15.75" customHeight="1">
      <c r="C161" s="22"/>
    </row>
    <row r="162" spans="3:3" ht="15.75" customHeight="1">
      <c r="C162" s="22"/>
    </row>
    <row r="163" spans="3:3" ht="15.75" customHeight="1">
      <c r="C163" s="22"/>
    </row>
    <row r="164" spans="3:3" ht="15.75" customHeight="1">
      <c r="C164" s="22"/>
    </row>
    <row r="165" spans="3:3" ht="15.75" customHeight="1">
      <c r="C165" s="22"/>
    </row>
    <row r="166" spans="3:3" ht="15.75" customHeight="1">
      <c r="C166" s="22"/>
    </row>
    <row r="167" spans="3:3" ht="15.75" customHeight="1">
      <c r="C167" s="22"/>
    </row>
    <row r="168" spans="3:3" ht="15.75" customHeight="1">
      <c r="C168" s="22"/>
    </row>
    <row r="169" spans="3:3" ht="15.75" customHeight="1">
      <c r="C169" s="22"/>
    </row>
    <row r="170" spans="3:3" ht="15.75" customHeight="1">
      <c r="C170" s="22"/>
    </row>
    <row r="171" spans="3:3" ht="15.75" customHeight="1">
      <c r="C171" s="22"/>
    </row>
    <row r="172" spans="3:3" ht="15.75" customHeight="1">
      <c r="C172" s="22"/>
    </row>
    <row r="173" spans="3:3" ht="15.75" customHeight="1">
      <c r="C173" s="22"/>
    </row>
    <row r="174" spans="3:3" ht="15.75" customHeight="1">
      <c r="C174" s="22"/>
    </row>
    <row r="175" spans="3:3" ht="15.75" customHeight="1">
      <c r="C175" s="22"/>
    </row>
    <row r="176" spans="3:3" ht="15.75" customHeight="1">
      <c r="C176" s="22"/>
    </row>
    <row r="177" spans="3:3" ht="15.75" customHeight="1">
      <c r="C177" s="22"/>
    </row>
    <row r="178" spans="3:3" ht="15.75" customHeight="1">
      <c r="C178" s="22"/>
    </row>
    <row r="179" spans="3:3" ht="15.75" customHeight="1">
      <c r="C179" s="22"/>
    </row>
    <row r="180" spans="3:3" ht="15.75" customHeight="1">
      <c r="C180" s="22"/>
    </row>
    <row r="181" spans="3:3" ht="15.75" customHeight="1">
      <c r="C181" s="22"/>
    </row>
    <row r="182" spans="3:3" ht="15.75" customHeight="1">
      <c r="C182" s="22"/>
    </row>
    <row r="183" spans="3:3" ht="15.75" customHeight="1">
      <c r="C183" s="22"/>
    </row>
    <row r="184" spans="3:3" ht="15.75" customHeight="1">
      <c r="C184" s="22"/>
    </row>
    <row r="185" spans="3:3" ht="15.75" customHeight="1">
      <c r="C185" s="22"/>
    </row>
    <row r="186" spans="3:3" ht="15.75" customHeight="1">
      <c r="C186" s="22"/>
    </row>
    <row r="187" spans="3:3" ht="15.75" customHeight="1">
      <c r="C187" s="22"/>
    </row>
    <row r="188" spans="3:3" ht="15.75" customHeight="1">
      <c r="C188" s="22"/>
    </row>
    <row r="189" spans="3:3" ht="15.75" customHeight="1">
      <c r="C189" s="22"/>
    </row>
    <row r="190" spans="3:3" ht="15.75" customHeight="1">
      <c r="C190" s="22"/>
    </row>
    <row r="191" spans="3:3" ht="15.75" customHeight="1">
      <c r="C191" s="22"/>
    </row>
    <row r="192" spans="3:3" ht="15.75" customHeight="1">
      <c r="C192" s="22"/>
    </row>
    <row r="193" spans="3:3" ht="15.75" customHeight="1">
      <c r="C193" s="22"/>
    </row>
    <row r="194" spans="3:3" ht="15.75" customHeight="1">
      <c r="C194" s="22"/>
    </row>
    <row r="195" spans="3:3" ht="15.75" customHeight="1">
      <c r="C195" s="22"/>
    </row>
    <row r="196" spans="3:3" ht="15.75" customHeight="1">
      <c r="C196" s="22"/>
    </row>
    <row r="197" spans="3:3" ht="15.75" customHeight="1">
      <c r="C197" s="22"/>
    </row>
    <row r="198" spans="3:3" ht="15.75" customHeight="1">
      <c r="C198" s="22"/>
    </row>
    <row r="199" spans="3:3" ht="15.75" customHeight="1">
      <c r="C199" s="22"/>
    </row>
    <row r="200" spans="3:3" ht="15.75" customHeight="1">
      <c r="C200" s="22"/>
    </row>
    <row r="201" spans="3:3" ht="15.75" customHeight="1">
      <c r="C201" s="22"/>
    </row>
    <row r="202" spans="3:3" ht="15.75" customHeight="1">
      <c r="C202" s="22"/>
    </row>
    <row r="203" spans="3:3" ht="15.75" customHeight="1">
      <c r="C203" s="22"/>
    </row>
    <row r="204" spans="3:3" ht="15.75" customHeight="1">
      <c r="C204" s="22"/>
    </row>
    <row r="205" spans="3:3" ht="15.75" customHeight="1">
      <c r="C205" s="22"/>
    </row>
    <row r="206" spans="3:3" ht="15.75" customHeight="1">
      <c r="C206" s="22"/>
    </row>
    <row r="207" spans="3:3" ht="15.75" customHeight="1">
      <c r="C207" s="22"/>
    </row>
    <row r="208" spans="3:3" ht="15.75" customHeight="1">
      <c r="C208" s="22"/>
    </row>
    <row r="209" spans="3:3" ht="15.75" customHeight="1">
      <c r="C209" s="22"/>
    </row>
    <row r="210" spans="3:3" ht="15.75" customHeight="1">
      <c r="C210" s="22"/>
    </row>
    <row r="211" spans="3:3" ht="15.75" customHeight="1">
      <c r="C211" s="22"/>
    </row>
    <row r="212" spans="3:3" ht="15.75" customHeight="1">
      <c r="C212" s="22"/>
    </row>
    <row r="213" spans="3:3" ht="15.75" customHeight="1">
      <c r="C213" s="22"/>
    </row>
    <row r="214" spans="3:3" ht="15.75" customHeight="1">
      <c r="C214" s="22"/>
    </row>
    <row r="215" spans="3:3" ht="15.75" customHeight="1">
      <c r="C215" s="22"/>
    </row>
    <row r="216" spans="3:3" ht="15.75" customHeight="1">
      <c r="C216" s="22"/>
    </row>
    <row r="217" spans="3:3" ht="15.75" customHeight="1">
      <c r="C217" s="22"/>
    </row>
    <row r="218" spans="3:3" ht="15.75" customHeight="1">
      <c r="C218" s="22"/>
    </row>
    <row r="219" spans="3:3" ht="15.75" customHeight="1">
      <c r="C219" s="22"/>
    </row>
    <row r="220" spans="3:3" ht="15.75" customHeight="1">
      <c r="C220" s="22"/>
    </row>
    <row r="221" spans="3:3" ht="15.75" customHeight="1">
      <c r="C221" s="22"/>
    </row>
    <row r="222" spans="3:3" ht="15.75" customHeight="1">
      <c r="C222" s="22"/>
    </row>
    <row r="223" spans="3:3" ht="15.75" customHeight="1">
      <c r="C223" s="22"/>
    </row>
    <row r="224" spans="3:3" ht="15.75" customHeight="1">
      <c r="C224" s="22"/>
    </row>
    <row r="225" spans="3:3" ht="15.75" customHeight="1">
      <c r="C225" s="22"/>
    </row>
    <row r="226" spans="3:3" ht="15.75" customHeight="1">
      <c r="C226" s="22"/>
    </row>
    <row r="227" spans="3:3" ht="15.75" customHeight="1">
      <c r="C227" s="22"/>
    </row>
    <row r="228" spans="3:3" ht="15.75" customHeight="1">
      <c r="C228" s="22"/>
    </row>
    <row r="229" spans="3:3" ht="15.75" customHeight="1"/>
    <row r="230" spans="3:3" ht="15.75" customHeight="1"/>
    <row r="231" spans="3:3" ht="15.75" customHeight="1"/>
    <row r="232" spans="3:3" ht="15.75" customHeight="1"/>
    <row r="233" spans="3:3" ht="15.75" customHeight="1"/>
    <row r="234" spans="3:3" ht="15.75" customHeight="1"/>
    <row r="235" spans="3:3" ht="15.75" customHeight="1"/>
    <row r="236" spans="3:3" ht="15.75" customHeight="1"/>
    <row r="237" spans="3:3" ht="15.75" customHeight="1"/>
    <row r="238" spans="3:3" ht="15.75" customHeight="1"/>
    <row r="239" spans="3:3" ht="15.75" customHeight="1"/>
    <row r="240" spans="3:3"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2">
    <mergeCell ref="B1:C1"/>
    <mergeCell ref="B2:C2"/>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9D9D9"/>
    <outlinePr summaryBelow="0" summaryRight="0"/>
  </sheetPr>
  <dimension ref="A1"/>
  <sheetViews>
    <sheetView workbookViewId="0"/>
  </sheetViews>
  <sheetFormatPr defaultColWidth="12.6328125" defaultRowHeight="15" customHeight="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DD7EE"/>
  </sheetPr>
  <dimension ref="A1:A1000"/>
  <sheetViews>
    <sheetView showGridLines="0" workbookViewId="0"/>
  </sheetViews>
  <sheetFormatPr defaultColWidth="12.6328125" defaultRowHeight="15" customHeight="1"/>
  <cols>
    <col min="1" max="1" width="143.453125" customWidth="1"/>
    <col min="2" max="6" width="8.90625" customWidth="1"/>
  </cols>
  <sheetData>
    <row r="1" spans="1:1" ht="18" customHeight="1">
      <c r="A1" s="23" t="s">
        <v>53</v>
      </c>
    </row>
    <row r="2" spans="1:1" ht="30" customHeight="1">
      <c r="A2" s="24" t="s">
        <v>54</v>
      </c>
    </row>
    <row r="3" spans="1:1" ht="63.75" customHeight="1">
      <c r="A3" s="25" t="s">
        <v>55</v>
      </c>
    </row>
    <row r="4" spans="1:1" ht="18" customHeight="1">
      <c r="A4" s="26"/>
    </row>
    <row r="5" spans="1:1" ht="113.25" customHeight="1">
      <c r="A5" s="25" t="s">
        <v>56</v>
      </c>
    </row>
    <row r="6" spans="1:1" ht="18" customHeight="1">
      <c r="A6" s="26"/>
    </row>
    <row r="7" spans="1:1" ht="63.75" customHeight="1">
      <c r="A7" s="25" t="s">
        <v>57</v>
      </c>
    </row>
    <row r="8" spans="1:1" ht="15" customHeight="1">
      <c r="A8" s="26"/>
    </row>
    <row r="9" spans="1:1" ht="31.5" customHeight="1">
      <c r="A9" s="27"/>
    </row>
    <row r="10" spans="1:1" ht="15" customHeight="1">
      <c r="A10" s="26"/>
    </row>
    <row r="11" spans="1:1" ht="48" customHeight="1">
      <c r="A11" s="25" t="s">
        <v>58</v>
      </c>
    </row>
    <row r="12" spans="1:1" ht="15" customHeight="1">
      <c r="A12" s="26"/>
    </row>
    <row r="13" spans="1:1" ht="48" customHeight="1">
      <c r="A13" s="25" t="s">
        <v>59</v>
      </c>
    </row>
    <row r="14" spans="1:1" ht="15" customHeight="1">
      <c r="A14" s="26"/>
    </row>
    <row r="15" spans="1:1" ht="43.5" customHeight="1">
      <c r="A15" s="25" t="s">
        <v>60</v>
      </c>
    </row>
    <row r="17" ht="28.5" customHeight="1"/>
    <row r="18" ht="14.25" customHeight="1"/>
    <row r="19" ht="14.25" customHeight="1"/>
    <row r="20" ht="14.2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25" right="0.25" top="0.35" bottom="0.35"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DD7EE"/>
  </sheetPr>
  <dimension ref="A1:Z1000"/>
  <sheetViews>
    <sheetView showGridLines="0" workbookViewId="0">
      <selection activeCell="H65" sqref="H65"/>
    </sheetView>
  </sheetViews>
  <sheetFormatPr defaultColWidth="12.6328125" defaultRowHeight="15" customHeight="1" outlineLevelRow="1"/>
  <cols>
    <col min="1" max="1" width="1.7265625" customWidth="1"/>
    <col min="2" max="2" width="21.08984375" customWidth="1"/>
    <col min="3" max="14" width="15.08984375" customWidth="1"/>
    <col min="15" max="15" width="1.36328125" customWidth="1"/>
    <col min="16" max="16" width="5.7265625" customWidth="1"/>
    <col min="17" max="26" width="1.36328125" customWidth="1"/>
  </cols>
  <sheetData>
    <row r="1" spans="1:26" ht="14.25" customHeight="1">
      <c r="A1" s="28"/>
      <c r="B1" s="29"/>
      <c r="C1" s="29"/>
      <c r="D1" s="29"/>
      <c r="E1" s="29"/>
      <c r="F1" s="29"/>
      <c r="G1" s="29"/>
      <c r="H1" s="29"/>
      <c r="I1" s="29"/>
      <c r="J1" s="29"/>
      <c r="K1" s="29"/>
      <c r="L1" s="29"/>
      <c r="M1" s="29"/>
      <c r="N1" s="29"/>
      <c r="O1" s="30"/>
      <c r="P1" s="30"/>
      <c r="Q1" s="31"/>
      <c r="R1" s="32"/>
      <c r="S1" s="32"/>
      <c r="T1" s="32"/>
      <c r="U1" s="32"/>
      <c r="V1" s="32"/>
      <c r="W1" s="32"/>
      <c r="X1" s="32"/>
      <c r="Y1" s="32"/>
      <c r="Z1" s="32"/>
    </row>
    <row r="2" spans="1:26" ht="36" customHeight="1">
      <c r="A2" s="33"/>
      <c r="B2" s="1341" t="s">
        <v>61</v>
      </c>
      <c r="C2" s="1342"/>
      <c r="D2" s="1342"/>
      <c r="E2" s="1342"/>
      <c r="F2" s="1342"/>
      <c r="G2" s="1342"/>
      <c r="H2" s="1342"/>
      <c r="I2" s="1342"/>
      <c r="J2" s="1342"/>
      <c r="K2" s="1342"/>
      <c r="L2" s="1342"/>
      <c r="M2" s="1342"/>
      <c r="N2" s="1303"/>
      <c r="O2" s="32"/>
      <c r="P2" s="32"/>
      <c r="Q2" s="35"/>
      <c r="R2" s="32"/>
      <c r="S2" s="32"/>
      <c r="T2" s="32"/>
      <c r="U2" s="32"/>
      <c r="V2" s="32"/>
      <c r="W2" s="32"/>
      <c r="X2" s="32"/>
      <c r="Y2" s="32"/>
      <c r="Z2" s="32"/>
    </row>
    <row r="3" spans="1:26" ht="21.75" customHeight="1">
      <c r="A3" s="33"/>
      <c r="B3" s="1343" t="s">
        <v>62</v>
      </c>
      <c r="C3" s="1342"/>
      <c r="D3" s="1342"/>
      <c r="E3" s="1342"/>
      <c r="F3" s="1342"/>
      <c r="G3" s="1342"/>
      <c r="H3" s="1342"/>
      <c r="I3" s="1342"/>
      <c r="J3" s="1342"/>
      <c r="K3" s="1342"/>
      <c r="L3" s="1303"/>
      <c r="M3" s="36" t="s">
        <v>63</v>
      </c>
      <c r="N3" s="37" t="str">
        <f>'Inputs for Dashboard'!C9</f>
        <v>Base</v>
      </c>
      <c r="O3" s="38"/>
      <c r="P3" s="32"/>
      <c r="Q3" s="39"/>
      <c r="R3" s="32"/>
      <c r="S3" s="32"/>
      <c r="T3" s="32"/>
      <c r="U3" s="32"/>
      <c r="V3" s="32"/>
      <c r="W3" s="32"/>
      <c r="X3" s="32"/>
      <c r="Y3" s="32"/>
      <c r="Z3" s="32"/>
    </row>
    <row r="4" spans="1:26" ht="14.25" customHeight="1">
      <c r="A4" s="33"/>
      <c r="B4" s="26"/>
      <c r="C4" s="26"/>
      <c r="D4" s="26"/>
      <c r="E4" s="26"/>
      <c r="F4" s="26"/>
      <c r="G4" s="26"/>
      <c r="H4" s="26"/>
      <c r="I4" s="26"/>
      <c r="J4" s="26"/>
      <c r="K4" s="26"/>
      <c r="L4" s="26"/>
      <c r="M4" s="26"/>
      <c r="N4" s="26"/>
      <c r="O4" s="32"/>
      <c r="P4" s="32"/>
      <c r="Q4" s="39"/>
      <c r="R4" s="32"/>
      <c r="S4" s="32"/>
      <c r="T4" s="32"/>
      <c r="U4" s="32"/>
      <c r="V4" s="32"/>
      <c r="W4" s="32"/>
      <c r="X4" s="32"/>
      <c r="Y4" s="32"/>
      <c r="Z4" s="32"/>
    </row>
    <row r="5" spans="1:26" ht="21.75" customHeight="1">
      <c r="A5" s="33"/>
      <c r="B5" s="40" t="s">
        <v>64</v>
      </c>
      <c r="C5" s="26"/>
      <c r="D5" s="26"/>
      <c r="E5" s="26"/>
      <c r="F5" s="26"/>
      <c r="G5" s="26"/>
      <c r="H5" s="26"/>
      <c r="I5" s="26"/>
      <c r="J5" s="26"/>
      <c r="K5" s="26"/>
      <c r="L5" s="26"/>
      <c r="M5" s="26"/>
      <c r="N5" s="41"/>
      <c r="O5" s="32"/>
      <c r="P5" s="32"/>
      <c r="Q5" s="39"/>
      <c r="R5" s="32"/>
      <c r="S5" s="32"/>
      <c r="T5" s="32"/>
      <c r="U5" s="32"/>
      <c r="V5" s="32"/>
      <c r="W5" s="32"/>
      <c r="X5" s="32"/>
      <c r="Y5" s="32"/>
      <c r="Z5" s="32"/>
    </row>
    <row r="6" spans="1:26" ht="6" customHeight="1">
      <c r="A6" s="33"/>
      <c r="B6" s="28"/>
      <c r="C6" s="29"/>
      <c r="D6" s="29"/>
      <c r="E6" s="29"/>
      <c r="F6" s="29"/>
      <c r="G6" s="29"/>
      <c r="H6" s="29"/>
      <c r="I6" s="29"/>
      <c r="J6" s="29"/>
      <c r="K6" s="29"/>
      <c r="L6" s="29"/>
      <c r="M6" s="42"/>
      <c r="N6" s="26"/>
      <c r="O6" s="32"/>
      <c r="P6" s="32"/>
      <c r="Q6" s="39"/>
      <c r="R6" s="32"/>
      <c r="S6" s="32"/>
      <c r="T6" s="32"/>
      <c r="U6" s="32"/>
      <c r="V6" s="32"/>
      <c r="W6" s="32"/>
      <c r="X6" s="32"/>
      <c r="Y6" s="32"/>
      <c r="Z6" s="32"/>
    </row>
    <row r="7" spans="1:26" ht="18" customHeight="1">
      <c r="A7" s="33"/>
      <c r="B7" s="1354" t="s">
        <v>65</v>
      </c>
      <c r="C7" s="1355"/>
      <c r="D7" s="1344" t="s">
        <v>66</v>
      </c>
      <c r="E7" s="1345"/>
      <c r="F7" s="1346" t="s">
        <v>67</v>
      </c>
      <c r="G7" s="1347"/>
      <c r="H7" s="1348" t="s">
        <v>68</v>
      </c>
      <c r="I7" s="1349"/>
      <c r="J7" s="1350" t="s">
        <v>69</v>
      </c>
      <c r="K7" s="1351"/>
      <c r="L7" s="1352" t="s">
        <v>70</v>
      </c>
      <c r="M7" s="1353"/>
      <c r="N7" s="26"/>
      <c r="O7" s="32"/>
      <c r="P7" s="32"/>
      <c r="Q7" s="39"/>
      <c r="R7" s="32"/>
      <c r="S7" s="32"/>
      <c r="T7" s="32"/>
      <c r="U7" s="32"/>
      <c r="V7" s="32"/>
      <c r="W7" s="32"/>
      <c r="X7" s="32"/>
      <c r="Y7" s="32"/>
      <c r="Z7" s="32"/>
    </row>
    <row r="8" spans="1:26" ht="21.75" customHeight="1">
      <c r="A8" s="33"/>
      <c r="B8" s="1356">
        <f>'Inputs for Dashboard'!C18</f>
        <v>0.24794586632771631</v>
      </c>
      <c r="C8" s="1357"/>
      <c r="D8" s="1360">
        <f>'Inputs for Dashboard'!C20</f>
        <v>0.33284790951683618</v>
      </c>
      <c r="E8" s="1357"/>
      <c r="F8" s="1362">
        <f>'Inputs for Dashboard'!C22</f>
        <v>17.693182272018159</v>
      </c>
      <c r="G8" s="1357"/>
      <c r="H8" s="1363">
        <f>'Inputs for Dashboard'!C19</f>
        <v>62301606.637933955</v>
      </c>
      <c r="I8" s="1357"/>
      <c r="J8" s="1364">
        <f>'Inputs for Dashboard'!C21</f>
        <v>50077920.037933953</v>
      </c>
      <c r="K8" s="1357"/>
      <c r="L8" s="1365" t="str">
        <f>'Inputs for Dashboard'!C23</f>
        <v>FY30</v>
      </c>
      <c r="M8" s="1366"/>
      <c r="N8" s="26"/>
      <c r="O8" s="32"/>
      <c r="P8" s="32"/>
      <c r="Q8" s="39"/>
      <c r="R8" s="32"/>
      <c r="S8" s="32"/>
      <c r="T8" s="32"/>
      <c r="U8" s="32"/>
      <c r="V8" s="32"/>
      <c r="W8" s="32"/>
      <c r="X8" s="32"/>
      <c r="Y8" s="32"/>
      <c r="Z8" s="32"/>
    </row>
    <row r="9" spans="1:26" ht="21.75" customHeight="1">
      <c r="A9" s="33"/>
      <c r="B9" s="1358"/>
      <c r="C9" s="1359"/>
      <c r="D9" s="1361"/>
      <c r="E9" s="1359"/>
      <c r="F9" s="1361"/>
      <c r="G9" s="1359"/>
      <c r="H9" s="1361"/>
      <c r="I9" s="1359"/>
      <c r="J9" s="1361"/>
      <c r="K9" s="1359"/>
      <c r="L9" s="1361"/>
      <c r="M9" s="1367"/>
      <c r="N9" s="26"/>
      <c r="O9" s="32"/>
      <c r="P9" s="32"/>
      <c r="Q9" s="39"/>
      <c r="R9" s="32"/>
      <c r="S9" s="32"/>
      <c r="T9" s="32"/>
      <c r="U9" s="32"/>
      <c r="V9" s="32"/>
      <c r="W9" s="32"/>
      <c r="X9" s="32"/>
      <c r="Y9" s="32"/>
      <c r="Z9" s="32"/>
    </row>
    <row r="10" spans="1:26" ht="15.75" customHeight="1">
      <c r="A10" s="33"/>
      <c r="B10" s="1368" t="s">
        <v>71</v>
      </c>
      <c r="C10" s="1369"/>
      <c r="D10" s="1370" t="s">
        <v>72</v>
      </c>
      <c r="E10" s="1369"/>
      <c r="F10" s="1370" t="s">
        <v>73</v>
      </c>
      <c r="G10" s="1369"/>
      <c r="H10" s="1370" t="s">
        <v>74</v>
      </c>
      <c r="I10" s="1369"/>
      <c r="J10" s="1370" t="s">
        <v>75</v>
      </c>
      <c r="K10" s="1369"/>
      <c r="L10" s="1370" t="s">
        <v>76</v>
      </c>
      <c r="M10" s="1371"/>
      <c r="N10" s="26"/>
      <c r="O10" s="32"/>
      <c r="P10" s="32"/>
      <c r="Q10" s="39"/>
      <c r="R10" s="32"/>
      <c r="S10" s="32"/>
      <c r="T10" s="32"/>
      <c r="U10" s="32"/>
      <c r="V10" s="32"/>
      <c r="W10" s="32"/>
      <c r="X10" s="32"/>
      <c r="Y10" s="32"/>
      <c r="Z10" s="32"/>
    </row>
    <row r="11" spans="1:26" ht="6" customHeight="1">
      <c r="A11" s="33"/>
      <c r="B11" s="33"/>
      <c r="C11" s="26"/>
      <c r="D11" s="26"/>
      <c r="E11" s="26"/>
      <c r="F11" s="26"/>
      <c r="G11" s="26"/>
      <c r="H11" s="26"/>
      <c r="I11" s="26"/>
      <c r="J11" s="26"/>
      <c r="K11" s="26"/>
      <c r="L11" s="26"/>
      <c r="M11" s="43"/>
      <c r="N11" s="26"/>
      <c r="O11" s="32"/>
      <c r="P11" s="32"/>
      <c r="Q11" s="39"/>
      <c r="R11" s="32"/>
      <c r="S11" s="32"/>
      <c r="T11" s="32"/>
      <c r="U11" s="32"/>
      <c r="V11" s="32"/>
      <c r="W11" s="32"/>
      <c r="X11" s="32"/>
      <c r="Y11" s="32"/>
      <c r="Z11" s="32"/>
    </row>
    <row r="12" spans="1:26" ht="15.75" customHeight="1">
      <c r="A12" s="33"/>
      <c r="B12" s="1372" t="s">
        <v>77</v>
      </c>
      <c r="C12" s="1373"/>
      <c r="D12" s="1306" t="s">
        <v>78</v>
      </c>
      <c r="E12" s="1307"/>
      <c r="F12" s="1308" t="s">
        <v>79</v>
      </c>
      <c r="G12" s="1307"/>
      <c r="H12" s="1308" t="s">
        <v>80</v>
      </c>
      <c r="I12" s="1307"/>
      <c r="J12" s="1308" t="s">
        <v>81</v>
      </c>
      <c r="K12" s="1307"/>
      <c r="L12" s="1308" t="s">
        <v>82</v>
      </c>
      <c r="M12" s="1374"/>
      <c r="N12" s="26"/>
      <c r="O12" s="32"/>
      <c r="P12" s="32"/>
      <c r="Q12" s="39"/>
      <c r="R12" s="32"/>
      <c r="S12" s="32"/>
      <c r="T12" s="32"/>
      <c r="U12" s="32"/>
      <c r="V12" s="32"/>
      <c r="W12" s="32"/>
      <c r="X12" s="32"/>
      <c r="Y12" s="32"/>
      <c r="Z12" s="32"/>
    </row>
    <row r="13" spans="1:26" ht="21.75" customHeight="1">
      <c r="A13" s="33"/>
      <c r="B13" s="1309">
        <f>AVERAGEIF('Inputs for Dashboard'!F61:N61,"&gt;0")</f>
        <v>4.0738366192894055</v>
      </c>
      <c r="C13" s="1310"/>
      <c r="D13" s="1311">
        <f>'Inputs for Dashboard'!C24</f>
        <v>0.70345495527680413</v>
      </c>
      <c r="E13" s="1312"/>
      <c r="F13" s="1313">
        <f>'Inputs for Dashboard'!C10</f>
        <v>0.1</v>
      </c>
      <c r="G13" s="1312"/>
      <c r="H13" s="1379">
        <f>'Inputs for Dashboard'!C12</f>
        <v>7</v>
      </c>
      <c r="I13" s="1312"/>
      <c r="J13" s="1380">
        <f>'Inputs for Dashboard'!C28</f>
        <v>19761525</v>
      </c>
      <c r="K13" s="1312"/>
      <c r="L13" s="1381">
        <f>'Inputs for Dashboard'!C33</f>
        <v>0.58559273956667568</v>
      </c>
      <c r="M13" s="1382"/>
      <c r="N13" s="26"/>
      <c r="O13" s="32"/>
      <c r="P13" s="32"/>
      <c r="Q13" s="39"/>
      <c r="R13" s="32"/>
      <c r="S13" s="32"/>
      <c r="T13" s="32"/>
      <c r="U13" s="32"/>
      <c r="V13" s="32"/>
      <c r="W13" s="32"/>
      <c r="X13" s="32"/>
      <c r="Y13" s="32"/>
      <c r="Z13" s="32"/>
    </row>
    <row r="14" spans="1:26" ht="13.5" customHeight="1">
      <c r="A14" s="33"/>
      <c r="B14" s="26"/>
      <c r="C14" s="26"/>
      <c r="D14" s="26"/>
      <c r="E14" s="26"/>
      <c r="F14" s="26"/>
      <c r="G14" s="26"/>
      <c r="H14" s="26"/>
      <c r="I14" s="26"/>
      <c r="J14" s="26"/>
      <c r="K14" s="26"/>
      <c r="L14" s="26"/>
      <c r="M14" s="26"/>
      <c r="N14" s="26"/>
      <c r="O14" s="32"/>
      <c r="P14" s="32"/>
      <c r="Q14" s="39"/>
      <c r="R14" s="32"/>
      <c r="S14" s="32"/>
      <c r="T14" s="32"/>
      <c r="U14" s="32"/>
      <c r="V14" s="32"/>
      <c r="W14" s="32"/>
      <c r="X14" s="32"/>
      <c r="Y14" s="32"/>
      <c r="Z14" s="32"/>
    </row>
    <row r="15" spans="1:26" ht="7.5" customHeight="1">
      <c r="A15" s="33"/>
      <c r="B15" s="26"/>
      <c r="C15" s="26"/>
      <c r="D15" s="26"/>
      <c r="E15" s="26"/>
      <c r="F15" s="26"/>
      <c r="G15" s="26"/>
      <c r="H15" s="26"/>
      <c r="I15" s="26"/>
      <c r="J15" s="26"/>
      <c r="K15" s="26"/>
      <c r="L15" s="26"/>
      <c r="M15" s="26"/>
      <c r="N15" s="26"/>
      <c r="O15" s="32"/>
      <c r="P15" s="32"/>
      <c r="Q15" s="39"/>
      <c r="R15" s="32"/>
      <c r="S15" s="32"/>
      <c r="T15" s="32"/>
      <c r="U15" s="32"/>
      <c r="V15" s="32"/>
      <c r="W15" s="32"/>
      <c r="X15" s="32"/>
      <c r="Y15" s="32"/>
      <c r="Z15" s="32"/>
    </row>
    <row r="16" spans="1:26" ht="21.75" customHeight="1">
      <c r="A16" s="28"/>
      <c r="B16" s="44" t="s">
        <v>83</v>
      </c>
      <c r="C16" s="45"/>
      <c r="D16" s="45"/>
      <c r="E16" s="45"/>
      <c r="F16" s="45"/>
      <c r="G16" s="45"/>
      <c r="H16" s="45"/>
      <c r="I16" s="45"/>
      <c r="J16" s="45"/>
      <c r="K16" s="45"/>
      <c r="L16" s="45"/>
      <c r="M16" s="45"/>
      <c r="N16" s="45"/>
      <c r="O16" s="30"/>
      <c r="P16" s="30"/>
      <c r="Q16" s="31"/>
      <c r="R16" s="32"/>
      <c r="S16" s="32"/>
      <c r="T16" s="32"/>
      <c r="U16" s="32"/>
      <c r="V16" s="32"/>
      <c r="W16" s="32"/>
      <c r="X16" s="32"/>
      <c r="Y16" s="32"/>
      <c r="Z16" s="32"/>
    </row>
    <row r="17" spans="1:26" ht="18" customHeight="1">
      <c r="A17" s="33"/>
      <c r="B17" s="46" t="s">
        <v>84</v>
      </c>
      <c r="C17" s="26"/>
      <c r="D17" s="26"/>
      <c r="E17" s="26"/>
      <c r="F17" s="26"/>
      <c r="G17" s="26"/>
      <c r="H17" s="26"/>
      <c r="I17" s="26"/>
      <c r="J17" s="26"/>
      <c r="K17" s="26"/>
      <c r="L17" s="26"/>
      <c r="M17" s="26"/>
      <c r="N17" s="26"/>
      <c r="O17" s="32"/>
      <c r="P17" s="32"/>
      <c r="Q17" s="39"/>
      <c r="R17" s="32"/>
      <c r="S17" s="32"/>
      <c r="T17" s="32"/>
      <c r="U17" s="32"/>
      <c r="V17" s="32"/>
      <c r="W17" s="32"/>
      <c r="X17" s="32"/>
      <c r="Y17" s="32"/>
      <c r="Z17" s="32"/>
    </row>
    <row r="18" spans="1:26" ht="14.25" customHeight="1">
      <c r="A18" s="33"/>
      <c r="B18" s="26"/>
      <c r="C18" s="26"/>
      <c r="D18" s="26"/>
      <c r="E18" s="26"/>
      <c r="F18" s="26"/>
      <c r="G18" s="26"/>
      <c r="H18" s="26"/>
      <c r="I18" s="26"/>
      <c r="J18" s="26"/>
      <c r="K18" s="26"/>
      <c r="L18" s="26"/>
      <c r="M18" s="26"/>
      <c r="N18" s="26"/>
      <c r="O18" s="32"/>
      <c r="P18" s="32"/>
      <c r="Q18" s="39"/>
      <c r="R18" s="32"/>
      <c r="S18" s="32"/>
      <c r="T18" s="32"/>
      <c r="U18" s="32"/>
      <c r="V18" s="32"/>
      <c r="W18" s="32"/>
      <c r="X18" s="32"/>
      <c r="Y18" s="32"/>
      <c r="Z18" s="32"/>
    </row>
    <row r="19" spans="1:26" ht="14.25" customHeight="1">
      <c r="A19" s="33"/>
      <c r="B19" s="26"/>
      <c r="C19" s="26"/>
      <c r="D19" s="26"/>
      <c r="E19" s="26"/>
      <c r="F19" s="26"/>
      <c r="G19" s="26"/>
      <c r="H19" s="26"/>
      <c r="I19" s="26"/>
      <c r="J19" s="26"/>
      <c r="K19" s="26"/>
      <c r="L19" s="26"/>
      <c r="M19" s="26"/>
      <c r="N19" s="26"/>
      <c r="O19" s="32"/>
      <c r="P19" s="32"/>
      <c r="Q19" s="39"/>
      <c r="R19" s="32"/>
      <c r="S19" s="32"/>
      <c r="T19" s="32"/>
      <c r="U19" s="32"/>
      <c r="V19" s="32"/>
      <c r="W19" s="32"/>
      <c r="X19" s="32"/>
      <c r="Y19" s="32"/>
      <c r="Z19" s="32"/>
    </row>
    <row r="20" spans="1:26" ht="14.25" customHeight="1">
      <c r="A20" s="33"/>
      <c r="B20" s="26"/>
      <c r="C20" s="26"/>
      <c r="D20" s="26"/>
      <c r="E20" s="26"/>
      <c r="F20" s="26"/>
      <c r="G20" s="26"/>
      <c r="H20" s="26"/>
      <c r="I20" s="26"/>
      <c r="J20" s="26"/>
      <c r="K20" s="26"/>
      <c r="L20" s="26"/>
      <c r="M20" s="26"/>
      <c r="N20" s="26"/>
      <c r="O20" s="32"/>
      <c r="P20" s="32"/>
      <c r="Q20" s="39"/>
      <c r="R20" s="32"/>
      <c r="S20" s="32"/>
      <c r="T20" s="32"/>
      <c r="U20" s="32"/>
      <c r="V20" s="32"/>
      <c r="W20" s="32"/>
      <c r="X20" s="32"/>
      <c r="Y20" s="32"/>
      <c r="Z20" s="32"/>
    </row>
    <row r="21" spans="1:26" ht="14.25" customHeight="1">
      <c r="A21" s="33"/>
      <c r="B21" s="26"/>
      <c r="C21" s="26"/>
      <c r="D21" s="26"/>
      <c r="E21" s="26"/>
      <c r="F21" s="26"/>
      <c r="G21" s="26"/>
      <c r="H21" s="26"/>
      <c r="I21" s="26"/>
      <c r="J21" s="26"/>
      <c r="K21" s="26"/>
      <c r="L21" s="26"/>
      <c r="M21" s="26"/>
      <c r="N21" s="26"/>
      <c r="O21" s="32"/>
      <c r="P21" s="32"/>
      <c r="Q21" s="39"/>
      <c r="R21" s="32"/>
      <c r="S21" s="32"/>
      <c r="T21" s="32"/>
      <c r="U21" s="32"/>
      <c r="V21" s="32"/>
      <c r="W21" s="32"/>
      <c r="X21" s="32"/>
      <c r="Y21" s="32"/>
      <c r="Z21" s="32"/>
    </row>
    <row r="22" spans="1:26" ht="14.25" customHeight="1">
      <c r="A22" s="33"/>
      <c r="B22" s="26"/>
      <c r="C22" s="26"/>
      <c r="D22" s="26"/>
      <c r="E22" s="26"/>
      <c r="F22" s="26"/>
      <c r="G22" s="26"/>
      <c r="H22" s="26"/>
      <c r="I22" s="26"/>
      <c r="J22" s="26"/>
      <c r="K22" s="26"/>
      <c r="L22" s="26"/>
      <c r="M22" s="26"/>
      <c r="N22" s="26"/>
      <c r="O22" s="32"/>
      <c r="P22" s="32"/>
      <c r="Q22" s="39"/>
      <c r="R22" s="32"/>
      <c r="S22" s="32"/>
      <c r="T22" s="32"/>
      <c r="U22" s="32"/>
      <c r="V22" s="32"/>
      <c r="W22" s="32"/>
      <c r="X22" s="32"/>
      <c r="Y22" s="32"/>
      <c r="Z22" s="32"/>
    </row>
    <row r="23" spans="1:26" ht="14.25" customHeight="1">
      <c r="A23" s="33"/>
      <c r="B23" s="26"/>
      <c r="C23" s="26"/>
      <c r="D23" s="26"/>
      <c r="E23" s="26"/>
      <c r="F23" s="26"/>
      <c r="G23" s="26"/>
      <c r="H23" s="26"/>
      <c r="I23" s="26"/>
      <c r="J23" s="26"/>
      <c r="K23" s="26"/>
      <c r="L23" s="26"/>
      <c r="M23" s="26"/>
      <c r="N23" s="26"/>
      <c r="O23" s="32"/>
      <c r="P23" s="32"/>
      <c r="Q23" s="39"/>
      <c r="R23" s="32"/>
      <c r="S23" s="32"/>
      <c r="T23" s="32"/>
      <c r="U23" s="32"/>
      <c r="V23" s="32"/>
      <c r="W23" s="32"/>
      <c r="X23" s="32"/>
      <c r="Y23" s="32"/>
      <c r="Z23" s="32"/>
    </row>
    <row r="24" spans="1:26" ht="14.25" customHeight="1">
      <c r="A24" s="33"/>
      <c r="B24" s="26"/>
      <c r="C24" s="26"/>
      <c r="D24" s="26"/>
      <c r="E24" s="26"/>
      <c r="F24" s="26"/>
      <c r="G24" s="26"/>
      <c r="H24" s="26"/>
      <c r="I24" s="26"/>
      <c r="J24" s="26"/>
      <c r="K24" s="26"/>
      <c r="L24" s="26"/>
      <c r="M24" s="26"/>
      <c r="N24" s="26"/>
      <c r="O24" s="32"/>
      <c r="P24" s="32"/>
      <c r="Q24" s="39"/>
      <c r="R24" s="32"/>
      <c r="S24" s="32"/>
      <c r="T24" s="32"/>
      <c r="U24" s="32"/>
      <c r="V24" s="32"/>
      <c r="W24" s="32"/>
      <c r="X24" s="32"/>
      <c r="Y24" s="32"/>
      <c r="Z24" s="32"/>
    </row>
    <row r="25" spans="1:26" ht="14.25" customHeight="1">
      <c r="A25" s="33"/>
      <c r="B25" s="26"/>
      <c r="C25" s="26"/>
      <c r="D25" s="26"/>
      <c r="E25" s="26"/>
      <c r="F25" s="26"/>
      <c r="G25" s="26"/>
      <c r="H25" s="26"/>
      <c r="I25" s="26"/>
      <c r="J25" s="26"/>
      <c r="K25" s="26"/>
      <c r="L25" s="26"/>
      <c r="M25" s="26"/>
      <c r="N25" s="26"/>
      <c r="O25" s="32"/>
      <c r="P25" s="32"/>
      <c r="Q25" s="39"/>
      <c r="R25" s="32"/>
      <c r="S25" s="32"/>
      <c r="T25" s="32"/>
      <c r="U25" s="32"/>
      <c r="V25" s="32"/>
      <c r="W25" s="32"/>
      <c r="X25" s="32"/>
      <c r="Y25" s="32"/>
      <c r="Z25" s="32"/>
    </row>
    <row r="26" spans="1:26" ht="14.25" customHeight="1">
      <c r="A26" s="33"/>
      <c r="B26" s="26"/>
      <c r="C26" s="26"/>
      <c r="D26" s="26"/>
      <c r="E26" s="26"/>
      <c r="F26" s="26"/>
      <c r="G26" s="26"/>
      <c r="H26" s="26"/>
      <c r="I26" s="26"/>
      <c r="J26" s="26"/>
      <c r="K26" s="26"/>
      <c r="L26" s="26"/>
      <c r="M26" s="26"/>
      <c r="N26" s="26"/>
      <c r="O26" s="32"/>
      <c r="P26" s="32"/>
      <c r="Q26" s="39"/>
      <c r="R26" s="32"/>
      <c r="S26" s="32"/>
      <c r="T26" s="32"/>
      <c r="U26" s="32"/>
      <c r="V26" s="32"/>
      <c r="W26" s="32"/>
      <c r="X26" s="32"/>
      <c r="Y26" s="32"/>
      <c r="Z26" s="32"/>
    </row>
    <row r="27" spans="1:26" ht="14.25" customHeight="1">
      <c r="A27" s="33"/>
      <c r="B27" s="26"/>
      <c r="C27" s="26"/>
      <c r="D27" s="26"/>
      <c r="E27" s="26"/>
      <c r="F27" s="26"/>
      <c r="G27" s="26"/>
      <c r="H27" s="26"/>
      <c r="I27" s="26"/>
      <c r="J27" s="26"/>
      <c r="K27" s="26"/>
      <c r="L27" s="26"/>
      <c r="M27" s="26"/>
      <c r="N27" s="26"/>
      <c r="O27" s="32"/>
      <c r="P27" s="32"/>
      <c r="Q27" s="39"/>
      <c r="R27" s="32"/>
      <c r="S27" s="32"/>
      <c r="T27" s="32"/>
      <c r="U27" s="32"/>
      <c r="V27" s="32"/>
      <c r="W27" s="32"/>
      <c r="X27" s="32"/>
      <c r="Y27" s="32"/>
      <c r="Z27" s="32"/>
    </row>
    <row r="28" spans="1:26" ht="14.25" customHeight="1">
      <c r="A28" s="33"/>
      <c r="B28" s="26"/>
      <c r="C28" s="26"/>
      <c r="D28" s="26"/>
      <c r="E28" s="26"/>
      <c r="F28" s="26"/>
      <c r="G28" s="26"/>
      <c r="H28" s="26"/>
      <c r="I28" s="26"/>
      <c r="J28" s="26"/>
      <c r="K28" s="26"/>
      <c r="L28" s="26"/>
      <c r="M28" s="26"/>
      <c r="N28" s="26"/>
      <c r="O28" s="32"/>
      <c r="P28" s="32"/>
      <c r="Q28" s="39"/>
      <c r="R28" s="32"/>
      <c r="S28" s="32"/>
      <c r="T28" s="32"/>
      <c r="U28" s="32"/>
      <c r="V28" s="32"/>
      <c r="W28" s="32"/>
      <c r="X28" s="32"/>
      <c r="Y28" s="32"/>
      <c r="Z28" s="32"/>
    </row>
    <row r="29" spans="1:26" ht="7.5" customHeight="1">
      <c r="A29" s="47"/>
      <c r="B29" s="48"/>
      <c r="C29" s="48"/>
      <c r="D29" s="48"/>
      <c r="E29" s="48"/>
      <c r="F29" s="48"/>
      <c r="G29" s="48"/>
      <c r="H29" s="48"/>
      <c r="I29" s="48"/>
      <c r="J29" s="48"/>
      <c r="K29" s="48"/>
      <c r="L29" s="48"/>
      <c r="M29" s="48"/>
      <c r="N29" s="48"/>
      <c r="O29" s="49"/>
      <c r="P29" s="49"/>
      <c r="Q29" s="50"/>
      <c r="R29" s="32"/>
      <c r="S29" s="32"/>
      <c r="T29" s="32"/>
      <c r="U29" s="32"/>
      <c r="V29" s="32"/>
      <c r="W29" s="32"/>
      <c r="X29" s="32"/>
      <c r="Y29" s="32"/>
      <c r="Z29" s="32"/>
    </row>
    <row r="30" spans="1:26" ht="21.75" customHeight="1">
      <c r="A30" s="28"/>
      <c r="B30" s="44" t="s">
        <v>85</v>
      </c>
      <c r="C30" s="45"/>
      <c r="D30" s="45"/>
      <c r="E30" s="45"/>
      <c r="F30" s="45"/>
      <c r="G30" s="45"/>
      <c r="H30" s="45"/>
      <c r="I30" s="45"/>
      <c r="J30" s="45"/>
      <c r="K30" s="45"/>
      <c r="L30" s="45"/>
      <c r="M30" s="45"/>
      <c r="N30" s="45"/>
      <c r="O30" s="30"/>
      <c r="P30" s="30"/>
      <c r="Q30" s="31"/>
      <c r="R30" s="32"/>
      <c r="S30" s="32"/>
      <c r="T30" s="32"/>
      <c r="U30" s="32"/>
      <c r="V30" s="32"/>
      <c r="W30" s="32"/>
      <c r="X30" s="32"/>
      <c r="Y30" s="32"/>
      <c r="Z30" s="32"/>
    </row>
    <row r="31" spans="1:26" ht="18" customHeight="1">
      <c r="A31" s="33"/>
      <c r="B31" s="46" t="s">
        <v>86</v>
      </c>
      <c r="C31" s="26"/>
      <c r="D31" s="26"/>
      <c r="E31" s="26"/>
      <c r="F31" s="26"/>
      <c r="G31" s="26"/>
      <c r="H31" s="26"/>
      <c r="I31" s="26"/>
      <c r="J31" s="26"/>
      <c r="K31" s="26"/>
      <c r="L31" s="26"/>
      <c r="M31" s="26"/>
      <c r="N31" s="26"/>
      <c r="O31" s="32"/>
      <c r="P31" s="32"/>
      <c r="Q31" s="39"/>
      <c r="R31" s="32"/>
      <c r="S31" s="32"/>
      <c r="T31" s="32"/>
      <c r="U31" s="32"/>
      <c r="V31" s="32"/>
      <c r="W31" s="32"/>
      <c r="X31" s="32"/>
      <c r="Y31" s="32"/>
      <c r="Z31" s="32"/>
    </row>
    <row r="32" spans="1:26" ht="14.25" customHeight="1">
      <c r="A32" s="33"/>
      <c r="B32" s="26"/>
      <c r="C32" s="26"/>
      <c r="D32" s="26"/>
      <c r="E32" s="26"/>
      <c r="F32" s="26"/>
      <c r="G32" s="26"/>
      <c r="H32" s="26"/>
      <c r="I32" s="26"/>
      <c r="J32" s="26"/>
      <c r="K32" s="26"/>
      <c r="L32" s="26"/>
      <c r="M32" s="26"/>
      <c r="N32" s="26"/>
      <c r="O32" s="32"/>
      <c r="P32" s="32"/>
      <c r="Q32" s="39"/>
      <c r="R32" s="32"/>
      <c r="S32" s="32"/>
      <c r="T32" s="32"/>
      <c r="U32" s="32"/>
      <c r="V32" s="32"/>
      <c r="W32" s="32"/>
      <c r="X32" s="32"/>
      <c r="Y32" s="32"/>
      <c r="Z32" s="32"/>
    </row>
    <row r="33" spans="1:26" ht="14.25" customHeight="1">
      <c r="A33" s="33"/>
      <c r="B33" s="26"/>
      <c r="C33" s="26"/>
      <c r="D33" s="26"/>
      <c r="E33" s="26"/>
      <c r="F33" s="26"/>
      <c r="G33" s="26"/>
      <c r="H33" s="26"/>
      <c r="I33" s="26"/>
      <c r="J33" s="26"/>
      <c r="K33" s="26"/>
      <c r="L33" s="26"/>
      <c r="M33" s="26"/>
      <c r="N33" s="26"/>
      <c r="O33" s="32"/>
      <c r="P33" s="32"/>
      <c r="Q33" s="39"/>
      <c r="R33" s="32"/>
      <c r="S33" s="32"/>
      <c r="T33" s="32"/>
      <c r="U33" s="32"/>
      <c r="V33" s="32"/>
      <c r="W33" s="32"/>
      <c r="X33" s="32"/>
      <c r="Y33" s="32"/>
      <c r="Z33" s="32"/>
    </row>
    <row r="34" spans="1:26" ht="14.25" customHeight="1">
      <c r="A34" s="33"/>
      <c r="B34" s="26"/>
      <c r="C34" s="26"/>
      <c r="D34" s="26"/>
      <c r="E34" s="26"/>
      <c r="F34" s="26"/>
      <c r="G34" s="26"/>
      <c r="H34" s="26"/>
      <c r="I34" s="26"/>
      <c r="J34" s="26"/>
      <c r="K34" s="26"/>
      <c r="L34" s="26"/>
      <c r="M34" s="26"/>
      <c r="N34" s="26"/>
      <c r="O34" s="32"/>
      <c r="P34" s="32"/>
      <c r="Q34" s="39"/>
      <c r="R34" s="32"/>
      <c r="S34" s="32"/>
      <c r="T34" s="32"/>
      <c r="U34" s="32"/>
      <c r="V34" s="32"/>
      <c r="W34" s="32"/>
      <c r="X34" s="32"/>
      <c r="Y34" s="32"/>
      <c r="Z34" s="32"/>
    </row>
    <row r="35" spans="1:26" ht="14.25" customHeight="1">
      <c r="A35" s="33"/>
      <c r="B35" s="26"/>
      <c r="C35" s="26"/>
      <c r="D35" s="26"/>
      <c r="E35" s="26"/>
      <c r="F35" s="26"/>
      <c r="G35" s="26"/>
      <c r="H35" s="26"/>
      <c r="I35" s="26"/>
      <c r="J35" s="26"/>
      <c r="K35" s="26"/>
      <c r="L35" s="26"/>
      <c r="M35" s="26"/>
      <c r="N35" s="26"/>
      <c r="O35" s="32"/>
      <c r="P35" s="32"/>
      <c r="Q35" s="39"/>
      <c r="R35" s="32"/>
      <c r="S35" s="32"/>
      <c r="T35" s="32"/>
      <c r="U35" s="32"/>
      <c r="V35" s="32"/>
      <c r="W35" s="32"/>
      <c r="X35" s="32"/>
      <c r="Y35" s="32"/>
      <c r="Z35" s="32"/>
    </row>
    <row r="36" spans="1:26" ht="14.25" customHeight="1">
      <c r="A36" s="33"/>
      <c r="B36" s="26"/>
      <c r="C36" s="26"/>
      <c r="D36" s="26"/>
      <c r="E36" s="26"/>
      <c r="F36" s="26"/>
      <c r="G36" s="26"/>
      <c r="H36" s="26"/>
      <c r="I36" s="26"/>
      <c r="J36" s="26"/>
      <c r="K36" s="26"/>
      <c r="L36" s="26"/>
      <c r="M36" s="26"/>
      <c r="N36" s="26"/>
      <c r="O36" s="32"/>
      <c r="P36" s="32"/>
      <c r="Q36" s="39"/>
      <c r="R36" s="32"/>
      <c r="S36" s="32"/>
      <c r="T36" s="32"/>
      <c r="U36" s="32"/>
      <c r="V36" s="32"/>
      <c r="W36" s="32"/>
      <c r="X36" s="32"/>
      <c r="Y36" s="32"/>
      <c r="Z36" s="32"/>
    </row>
    <row r="37" spans="1:26" ht="14.25" customHeight="1">
      <c r="A37" s="33"/>
      <c r="B37" s="26"/>
      <c r="C37" s="26"/>
      <c r="D37" s="26"/>
      <c r="E37" s="26"/>
      <c r="F37" s="26"/>
      <c r="G37" s="26"/>
      <c r="H37" s="26"/>
      <c r="I37" s="26"/>
      <c r="J37" s="26"/>
      <c r="K37" s="26"/>
      <c r="L37" s="26"/>
      <c r="M37" s="26"/>
      <c r="N37" s="26"/>
      <c r="O37" s="32"/>
      <c r="P37" s="32"/>
      <c r="Q37" s="39"/>
      <c r="R37" s="32"/>
      <c r="S37" s="32"/>
      <c r="T37" s="32"/>
      <c r="U37" s="32"/>
      <c r="V37" s="32"/>
      <c r="W37" s="32"/>
      <c r="X37" s="32"/>
      <c r="Y37" s="32"/>
      <c r="Z37" s="32"/>
    </row>
    <row r="38" spans="1:26" ht="14.25" customHeight="1">
      <c r="A38" s="33"/>
      <c r="B38" s="26"/>
      <c r="C38" s="26"/>
      <c r="D38" s="26"/>
      <c r="E38" s="26"/>
      <c r="F38" s="26"/>
      <c r="G38" s="26"/>
      <c r="H38" s="26"/>
      <c r="I38" s="26"/>
      <c r="J38" s="26"/>
      <c r="K38" s="26"/>
      <c r="L38" s="26"/>
      <c r="M38" s="26"/>
      <c r="N38" s="26"/>
      <c r="O38" s="32"/>
      <c r="P38" s="32"/>
      <c r="Q38" s="39"/>
      <c r="R38" s="32"/>
      <c r="S38" s="32"/>
      <c r="T38" s="32"/>
      <c r="U38" s="32"/>
      <c r="V38" s="32"/>
      <c r="W38" s="32"/>
      <c r="X38" s="32"/>
      <c r="Y38" s="32"/>
      <c r="Z38" s="32"/>
    </row>
    <row r="39" spans="1:26" ht="14.25" customHeight="1">
      <c r="A39" s="33"/>
      <c r="B39" s="26"/>
      <c r="C39" s="26"/>
      <c r="D39" s="26"/>
      <c r="E39" s="26"/>
      <c r="F39" s="26"/>
      <c r="G39" s="26"/>
      <c r="H39" s="26"/>
      <c r="I39" s="26"/>
      <c r="J39" s="26"/>
      <c r="K39" s="26"/>
      <c r="L39" s="26"/>
      <c r="M39" s="26"/>
      <c r="N39" s="26"/>
      <c r="O39" s="32"/>
      <c r="P39" s="32"/>
      <c r="Q39" s="39"/>
      <c r="R39" s="32"/>
      <c r="S39" s="32"/>
      <c r="T39" s="32"/>
      <c r="U39" s="32"/>
      <c r="V39" s="32"/>
      <c r="W39" s="32"/>
      <c r="X39" s="32"/>
      <c r="Y39" s="32"/>
      <c r="Z39" s="32"/>
    </row>
    <row r="40" spans="1:26" ht="14.25" customHeight="1">
      <c r="A40" s="33"/>
      <c r="B40" s="26"/>
      <c r="C40" s="26"/>
      <c r="D40" s="26"/>
      <c r="E40" s="26"/>
      <c r="F40" s="26"/>
      <c r="G40" s="26"/>
      <c r="H40" s="26"/>
      <c r="I40" s="26"/>
      <c r="J40" s="26"/>
      <c r="K40" s="26"/>
      <c r="L40" s="26"/>
      <c r="M40" s="26"/>
      <c r="N40" s="26"/>
      <c r="O40" s="32"/>
      <c r="P40" s="32"/>
      <c r="Q40" s="39"/>
      <c r="R40" s="32"/>
      <c r="S40" s="32"/>
      <c r="T40" s="32"/>
      <c r="U40" s="32"/>
      <c r="V40" s="32"/>
      <c r="W40" s="32"/>
      <c r="X40" s="32"/>
      <c r="Y40" s="32"/>
      <c r="Z40" s="32"/>
    </row>
    <row r="41" spans="1:26" ht="14.25" customHeight="1">
      <c r="A41" s="33"/>
      <c r="B41" s="26"/>
      <c r="C41" s="26"/>
      <c r="D41" s="26"/>
      <c r="E41" s="26"/>
      <c r="F41" s="26"/>
      <c r="G41" s="26"/>
      <c r="H41" s="26"/>
      <c r="I41" s="26"/>
      <c r="J41" s="26"/>
      <c r="K41" s="26"/>
      <c r="L41" s="26"/>
      <c r="M41" s="26"/>
      <c r="N41" s="26"/>
      <c r="O41" s="32"/>
      <c r="P41" s="32"/>
      <c r="Q41" s="39"/>
      <c r="R41" s="32"/>
      <c r="S41" s="32"/>
      <c r="T41" s="32"/>
      <c r="U41" s="32"/>
      <c r="V41" s="32"/>
      <c r="W41" s="32"/>
      <c r="X41" s="32"/>
      <c r="Y41" s="32"/>
      <c r="Z41" s="32"/>
    </row>
    <row r="42" spans="1:26" ht="14.25" customHeight="1">
      <c r="A42" s="33"/>
      <c r="B42" s="26"/>
      <c r="C42" s="26"/>
      <c r="D42" s="26"/>
      <c r="E42" s="26"/>
      <c r="F42" s="26"/>
      <c r="G42" s="26"/>
      <c r="H42" s="26"/>
      <c r="I42" s="26"/>
      <c r="J42" s="26"/>
      <c r="K42" s="26"/>
      <c r="L42" s="26"/>
      <c r="M42" s="26"/>
      <c r="N42" s="26"/>
      <c r="O42" s="32"/>
      <c r="P42" s="32"/>
      <c r="Q42" s="39"/>
      <c r="R42" s="32"/>
      <c r="S42" s="32"/>
      <c r="T42" s="32"/>
      <c r="U42" s="32"/>
      <c r="V42" s="32"/>
      <c r="W42" s="32"/>
      <c r="X42" s="32"/>
      <c r="Y42" s="32"/>
      <c r="Z42" s="32"/>
    </row>
    <row r="43" spans="1:26" ht="7.5" customHeight="1">
      <c r="A43" s="47"/>
      <c r="B43" s="48"/>
      <c r="C43" s="48"/>
      <c r="D43" s="48"/>
      <c r="E43" s="48"/>
      <c r="F43" s="48"/>
      <c r="G43" s="48"/>
      <c r="H43" s="48"/>
      <c r="I43" s="48"/>
      <c r="J43" s="48"/>
      <c r="K43" s="48"/>
      <c r="L43" s="48"/>
      <c r="M43" s="48"/>
      <c r="N43" s="48"/>
      <c r="O43" s="49"/>
      <c r="P43" s="49"/>
      <c r="Q43" s="50"/>
      <c r="R43" s="32"/>
      <c r="S43" s="32"/>
      <c r="T43" s="32"/>
      <c r="U43" s="32"/>
      <c r="V43" s="32"/>
      <c r="W43" s="32"/>
      <c r="X43" s="32"/>
      <c r="Y43" s="32"/>
      <c r="Z43" s="32"/>
    </row>
    <row r="44" spans="1:26" ht="21.75" customHeight="1">
      <c r="A44" s="28"/>
      <c r="B44" s="44" t="s">
        <v>87</v>
      </c>
      <c r="C44" s="45"/>
      <c r="D44" s="45"/>
      <c r="E44" s="45"/>
      <c r="F44" s="45"/>
      <c r="G44" s="45"/>
      <c r="H44" s="45"/>
      <c r="I44" s="45"/>
      <c r="J44" s="45"/>
      <c r="K44" s="45"/>
      <c r="L44" s="45"/>
      <c r="M44" s="45"/>
      <c r="N44" s="45"/>
      <c r="O44" s="30"/>
      <c r="P44" s="30"/>
      <c r="Q44" s="31"/>
      <c r="R44" s="32"/>
      <c r="S44" s="32"/>
      <c r="T44" s="32"/>
      <c r="U44" s="32"/>
      <c r="V44" s="32"/>
      <c r="W44" s="32"/>
      <c r="X44" s="32"/>
      <c r="Y44" s="32"/>
      <c r="Z44" s="32"/>
    </row>
    <row r="45" spans="1:26" ht="18" customHeight="1">
      <c r="A45" s="33"/>
      <c r="B45" s="46" t="s">
        <v>88</v>
      </c>
      <c r="C45" s="26"/>
      <c r="D45" s="26"/>
      <c r="E45" s="26"/>
      <c r="F45" s="26"/>
      <c r="G45" s="26"/>
      <c r="H45" s="26"/>
      <c r="I45" s="26"/>
      <c r="J45" s="26"/>
      <c r="K45" s="26"/>
      <c r="L45" s="26"/>
      <c r="M45" s="26"/>
      <c r="N45" s="26"/>
      <c r="O45" s="32"/>
      <c r="P45" s="32"/>
      <c r="Q45" s="39"/>
      <c r="R45" s="32"/>
      <c r="S45" s="32"/>
      <c r="T45" s="32"/>
      <c r="U45" s="32"/>
      <c r="V45" s="32"/>
      <c r="W45" s="32"/>
      <c r="X45" s="32"/>
      <c r="Y45" s="32"/>
      <c r="Z45" s="32"/>
    </row>
    <row r="46" spans="1:26" ht="14.25" customHeight="1">
      <c r="A46" s="33"/>
      <c r="B46" s="26"/>
      <c r="C46" s="26"/>
      <c r="D46" s="26"/>
      <c r="E46" s="26"/>
      <c r="F46" s="26"/>
      <c r="G46" s="26"/>
      <c r="H46" s="26"/>
      <c r="I46" s="26"/>
      <c r="J46" s="26"/>
      <c r="K46" s="26"/>
      <c r="L46" s="26"/>
      <c r="M46" s="26"/>
      <c r="N46" s="26"/>
      <c r="O46" s="32"/>
      <c r="P46" s="32"/>
      <c r="Q46" s="39"/>
      <c r="R46" s="32"/>
      <c r="S46" s="32"/>
      <c r="T46" s="32"/>
      <c r="U46" s="32"/>
      <c r="V46" s="32"/>
      <c r="W46" s="32"/>
      <c r="X46" s="32"/>
      <c r="Y46" s="32"/>
      <c r="Z46" s="32"/>
    </row>
    <row r="47" spans="1:26" ht="14.25" customHeight="1">
      <c r="A47" s="33"/>
      <c r="B47" s="26"/>
      <c r="C47" s="26"/>
      <c r="D47" s="26"/>
      <c r="E47" s="26"/>
      <c r="F47" s="26"/>
      <c r="G47" s="26"/>
      <c r="H47" s="26"/>
      <c r="I47" s="26"/>
      <c r="J47" s="26"/>
      <c r="K47" s="26"/>
      <c r="L47" s="26"/>
      <c r="M47" s="26"/>
      <c r="N47" s="26"/>
      <c r="O47" s="32"/>
      <c r="P47" s="32"/>
      <c r="Q47" s="39"/>
      <c r="R47" s="32"/>
      <c r="S47" s="32"/>
      <c r="T47" s="32"/>
      <c r="U47" s="32"/>
      <c r="V47" s="32"/>
      <c r="W47" s="32"/>
      <c r="X47" s="32"/>
      <c r="Y47" s="32"/>
      <c r="Z47" s="32"/>
    </row>
    <row r="48" spans="1:26" ht="14.25" customHeight="1">
      <c r="A48" s="33"/>
      <c r="B48" s="26"/>
      <c r="C48" s="26"/>
      <c r="D48" s="26"/>
      <c r="E48" s="26"/>
      <c r="F48" s="26"/>
      <c r="G48" s="26"/>
      <c r="H48" s="26"/>
      <c r="I48" s="26"/>
      <c r="J48" s="26"/>
      <c r="K48" s="26"/>
      <c r="L48" s="26"/>
      <c r="M48" s="26"/>
      <c r="N48" s="26"/>
      <c r="O48" s="32"/>
      <c r="P48" s="32"/>
      <c r="Q48" s="39"/>
      <c r="R48" s="32"/>
      <c r="S48" s="32"/>
      <c r="T48" s="32"/>
      <c r="U48" s="32"/>
      <c r="V48" s="32"/>
      <c r="W48" s="32"/>
      <c r="X48" s="32"/>
      <c r="Y48" s="32"/>
      <c r="Z48" s="32"/>
    </row>
    <row r="49" spans="1:26" ht="14.25" customHeight="1">
      <c r="A49" s="33"/>
      <c r="B49" s="26"/>
      <c r="C49" s="26"/>
      <c r="D49" s="26"/>
      <c r="E49" s="26"/>
      <c r="F49" s="26"/>
      <c r="G49" s="26"/>
      <c r="H49" s="26"/>
      <c r="I49" s="26"/>
      <c r="J49" s="26"/>
      <c r="K49" s="26"/>
      <c r="L49" s="26"/>
      <c r="M49" s="26"/>
      <c r="N49" s="26"/>
      <c r="O49" s="32"/>
      <c r="P49" s="32"/>
      <c r="Q49" s="39"/>
      <c r="R49" s="32"/>
      <c r="S49" s="32"/>
      <c r="T49" s="32"/>
      <c r="U49" s="32"/>
      <c r="V49" s="32"/>
      <c r="W49" s="32"/>
      <c r="X49" s="32"/>
      <c r="Y49" s="32"/>
      <c r="Z49" s="32"/>
    </row>
    <row r="50" spans="1:26" ht="14.25" customHeight="1">
      <c r="A50" s="33"/>
      <c r="B50" s="26"/>
      <c r="C50" s="26"/>
      <c r="D50" s="26"/>
      <c r="E50" s="26"/>
      <c r="F50" s="26"/>
      <c r="G50" s="26"/>
      <c r="H50" s="26"/>
      <c r="I50" s="26"/>
      <c r="J50" s="26"/>
      <c r="K50" s="26"/>
      <c r="L50" s="26"/>
      <c r="M50" s="26"/>
      <c r="N50" s="26"/>
      <c r="O50" s="32"/>
      <c r="P50" s="32"/>
      <c r="Q50" s="39"/>
      <c r="R50" s="32"/>
      <c r="S50" s="32"/>
      <c r="T50" s="32"/>
      <c r="U50" s="32"/>
      <c r="V50" s="32"/>
      <c r="W50" s="32"/>
      <c r="X50" s="32"/>
      <c r="Y50" s="32"/>
      <c r="Z50" s="32"/>
    </row>
    <row r="51" spans="1:26" ht="14.25" customHeight="1">
      <c r="A51" s="33"/>
      <c r="B51" s="26"/>
      <c r="C51" s="26"/>
      <c r="D51" s="26"/>
      <c r="E51" s="26"/>
      <c r="F51" s="26"/>
      <c r="G51" s="26"/>
      <c r="H51" s="26"/>
      <c r="I51" s="26"/>
      <c r="J51" s="26"/>
      <c r="K51" s="26"/>
      <c r="L51" s="26"/>
      <c r="M51" s="26"/>
      <c r="N51" s="26"/>
      <c r="O51" s="32"/>
      <c r="P51" s="32"/>
      <c r="Q51" s="39"/>
      <c r="R51" s="32"/>
      <c r="S51" s="32"/>
      <c r="T51" s="32"/>
      <c r="U51" s="32"/>
      <c r="V51" s="32"/>
      <c r="W51" s="32"/>
      <c r="X51" s="32"/>
      <c r="Y51" s="32"/>
      <c r="Z51" s="32"/>
    </row>
    <row r="52" spans="1:26" ht="14.25" customHeight="1">
      <c r="A52" s="33"/>
      <c r="B52" s="26"/>
      <c r="C52" s="26"/>
      <c r="D52" s="26"/>
      <c r="E52" s="26"/>
      <c r="F52" s="26"/>
      <c r="G52" s="26"/>
      <c r="H52" s="26"/>
      <c r="I52" s="26"/>
      <c r="J52" s="26"/>
      <c r="K52" s="26"/>
      <c r="L52" s="26"/>
      <c r="M52" s="26"/>
      <c r="N52" s="26"/>
      <c r="O52" s="32"/>
      <c r="P52" s="32"/>
      <c r="Q52" s="39"/>
      <c r="R52" s="32"/>
      <c r="S52" s="32"/>
      <c r="T52" s="32"/>
      <c r="U52" s="32"/>
      <c r="V52" s="32"/>
      <c r="W52" s="32"/>
      <c r="X52" s="32"/>
      <c r="Y52" s="32"/>
      <c r="Z52" s="32"/>
    </row>
    <row r="53" spans="1:26" ht="14.25" customHeight="1">
      <c r="A53" s="33"/>
      <c r="B53" s="26"/>
      <c r="C53" s="26"/>
      <c r="D53" s="26"/>
      <c r="E53" s="26"/>
      <c r="F53" s="26"/>
      <c r="G53" s="26"/>
      <c r="H53" s="26"/>
      <c r="I53" s="26"/>
      <c r="J53" s="26"/>
      <c r="K53" s="26"/>
      <c r="L53" s="26"/>
      <c r="M53" s="26"/>
      <c r="N53" s="26"/>
      <c r="O53" s="32"/>
      <c r="P53" s="32"/>
      <c r="Q53" s="39"/>
      <c r="R53" s="32"/>
      <c r="S53" s="32"/>
      <c r="T53" s="32"/>
      <c r="U53" s="32"/>
      <c r="V53" s="32"/>
      <c r="W53" s="32"/>
      <c r="X53" s="32"/>
      <c r="Y53" s="32"/>
      <c r="Z53" s="32"/>
    </row>
    <row r="54" spans="1:26" ht="14.25" customHeight="1">
      <c r="A54" s="33"/>
      <c r="B54" s="26"/>
      <c r="C54" s="26"/>
      <c r="D54" s="26"/>
      <c r="E54" s="26"/>
      <c r="F54" s="26"/>
      <c r="G54" s="26"/>
      <c r="H54" s="26"/>
      <c r="I54" s="26"/>
      <c r="J54" s="26"/>
      <c r="K54" s="26"/>
      <c r="L54" s="26"/>
      <c r="M54" s="26"/>
      <c r="N54" s="26"/>
      <c r="O54" s="32"/>
      <c r="P54" s="32"/>
      <c r="Q54" s="39"/>
      <c r="R54" s="32"/>
      <c r="S54" s="32"/>
      <c r="T54" s="32"/>
      <c r="U54" s="32"/>
      <c r="V54" s="32"/>
      <c r="W54" s="32"/>
      <c r="X54" s="32"/>
      <c r="Y54" s="32"/>
      <c r="Z54" s="32"/>
    </row>
    <row r="55" spans="1:26" ht="14.25" customHeight="1">
      <c r="A55" s="33"/>
      <c r="B55" s="26"/>
      <c r="C55" s="26"/>
      <c r="D55" s="26"/>
      <c r="E55" s="26"/>
      <c r="F55" s="26"/>
      <c r="G55" s="26"/>
      <c r="H55" s="26"/>
      <c r="I55" s="26"/>
      <c r="J55" s="26"/>
      <c r="K55" s="26"/>
      <c r="L55" s="26"/>
      <c r="M55" s="26"/>
      <c r="N55" s="26"/>
      <c r="O55" s="32"/>
      <c r="P55" s="32"/>
      <c r="Q55" s="39"/>
      <c r="R55" s="32"/>
      <c r="S55" s="32"/>
      <c r="T55" s="32"/>
      <c r="U55" s="32"/>
      <c r="V55" s="32"/>
      <c r="W55" s="32"/>
      <c r="X55" s="32"/>
      <c r="Y55" s="32"/>
      <c r="Z55" s="32"/>
    </row>
    <row r="56" spans="1:26" ht="14.25" customHeight="1">
      <c r="A56" s="33"/>
      <c r="B56" s="26"/>
      <c r="C56" s="26"/>
      <c r="D56" s="26"/>
      <c r="E56" s="26"/>
      <c r="F56" s="26"/>
      <c r="G56" s="26"/>
      <c r="H56" s="26"/>
      <c r="I56" s="26"/>
      <c r="J56" s="26"/>
      <c r="K56" s="26"/>
      <c r="L56" s="26"/>
      <c r="M56" s="26"/>
      <c r="N56" s="26"/>
      <c r="O56" s="32"/>
      <c r="P56" s="32"/>
      <c r="Q56" s="39"/>
      <c r="R56" s="32"/>
      <c r="S56" s="32"/>
      <c r="T56" s="32"/>
      <c r="U56" s="32"/>
      <c r="V56" s="32"/>
      <c r="W56" s="32"/>
      <c r="X56" s="32"/>
      <c r="Y56" s="32"/>
      <c r="Z56" s="32"/>
    </row>
    <row r="57" spans="1:26" ht="7.5" customHeight="1">
      <c r="A57" s="47"/>
      <c r="B57" s="48"/>
      <c r="C57" s="48"/>
      <c r="D57" s="48"/>
      <c r="E57" s="48"/>
      <c r="F57" s="48"/>
      <c r="G57" s="48"/>
      <c r="H57" s="48"/>
      <c r="I57" s="48"/>
      <c r="J57" s="48"/>
      <c r="K57" s="48"/>
      <c r="L57" s="48"/>
      <c r="M57" s="48"/>
      <c r="N57" s="48"/>
      <c r="O57" s="49"/>
      <c r="P57" s="49"/>
      <c r="Q57" s="50"/>
      <c r="R57" s="32"/>
      <c r="S57" s="32"/>
      <c r="T57" s="32"/>
      <c r="U57" s="32"/>
      <c r="V57" s="32"/>
      <c r="W57" s="32"/>
      <c r="X57" s="32"/>
      <c r="Y57" s="32"/>
      <c r="Z57" s="32"/>
    </row>
    <row r="58" spans="1:26" ht="21.75" customHeight="1">
      <c r="A58" s="28"/>
      <c r="B58" s="44" t="s">
        <v>89</v>
      </c>
      <c r="C58" s="45"/>
      <c r="D58" s="45"/>
      <c r="E58" s="45"/>
      <c r="F58" s="45"/>
      <c r="G58" s="45"/>
      <c r="H58" s="45"/>
      <c r="I58" s="45"/>
      <c r="J58" s="45"/>
      <c r="K58" s="45"/>
      <c r="L58" s="45"/>
      <c r="M58" s="45"/>
      <c r="N58" s="45"/>
      <c r="O58" s="30"/>
      <c r="P58" s="30"/>
      <c r="Q58" s="31"/>
      <c r="R58" s="32"/>
      <c r="S58" s="32"/>
      <c r="T58" s="32"/>
      <c r="U58" s="32"/>
      <c r="V58" s="32"/>
      <c r="W58" s="32"/>
      <c r="X58" s="32"/>
      <c r="Y58" s="32"/>
      <c r="Z58" s="32"/>
    </row>
    <row r="59" spans="1:26" ht="18" customHeight="1">
      <c r="A59" s="33"/>
      <c r="B59" s="46" t="s">
        <v>90</v>
      </c>
      <c r="C59" s="26"/>
      <c r="D59" s="26"/>
      <c r="E59" s="26"/>
      <c r="F59" s="26"/>
      <c r="G59" s="26"/>
      <c r="H59" s="26"/>
      <c r="I59" s="26"/>
      <c r="J59" s="26"/>
      <c r="K59" s="26"/>
      <c r="L59" s="26"/>
      <c r="M59" s="26"/>
      <c r="N59" s="26"/>
      <c r="O59" s="32"/>
      <c r="P59" s="32"/>
      <c r="Q59" s="39"/>
      <c r="R59" s="32"/>
      <c r="S59" s="32"/>
      <c r="T59" s="32"/>
      <c r="U59" s="32"/>
      <c r="V59" s="32"/>
      <c r="W59" s="32"/>
      <c r="X59" s="32"/>
      <c r="Y59" s="32"/>
      <c r="Z59" s="32"/>
    </row>
    <row r="60" spans="1:26" ht="14.25" customHeight="1">
      <c r="A60" s="33"/>
      <c r="B60" s="26"/>
      <c r="C60" s="26"/>
      <c r="D60" s="26"/>
      <c r="E60" s="26"/>
      <c r="F60" s="26"/>
      <c r="G60" s="26"/>
      <c r="H60" s="26"/>
      <c r="I60" s="26"/>
      <c r="J60" s="26"/>
      <c r="K60" s="26"/>
      <c r="L60" s="26"/>
      <c r="M60" s="26"/>
      <c r="N60" s="26"/>
      <c r="O60" s="32"/>
      <c r="P60" s="32"/>
      <c r="Q60" s="39"/>
      <c r="R60" s="32"/>
      <c r="S60" s="32"/>
      <c r="T60" s="32"/>
      <c r="U60" s="32"/>
      <c r="V60" s="32"/>
      <c r="W60" s="32"/>
      <c r="X60" s="32"/>
      <c r="Y60" s="32"/>
      <c r="Z60" s="32"/>
    </row>
    <row r="61" spans="1:26" ht="14.25" customHeight="1">
      <c r="A61" s="33"/>
      <c r="B61" s="26"/>
      <c r="C61" s="26"/>
      <c r="D61" s="26"/>
      <c r="E61" s="26"/>
      <c r="F61" s="26"/>
      <c r="G61" s="26"/>
      <c r="H61" s="26"/>
      <c r="I61" s="26"/>
      <c r="J61" s="26"/>
      <c r="K61" s="26"/>
      <c r="L61" s="26"/>
      <c r="M61" s="26"/>
      <c r="N61" s="26"/>
      <c r="O61" s="32"/>
      <c r="P61" s="32"/>
      <c r="Q61" s="39"/>
      <c r="R61" s="32"/>
      <c r="S61" s="32"/>
      <c r="T61" s="32"/>
      <c r="U61" s="32"/>
      <c r="V61" s="32"/>
      <c r="W61" s="32"/>
      <c r="X61" s="32"/>
      <c r="Y61" s="32"/>
      <c r="Z61" s="32"/>
    </row>
    <row r="62" spans="1:26" ht="14.25" customHeight="1">
      <c r="A62" s="33"/>
      <c r="B62" s="26"/>
      <c r="C62" s="26"/>
      <c r="D62" s="26"/>
      <c r="E62" s="26"/>
      <c r="F62" s="26"/>
      <c r="G62" s="26"/>
      <c r="H62" s="26"/>
      <c r="I62" s="26"/>
      <c r="J62" s="26"/>
      <c r="K62" s="26"/>
      <c r="L62" s="26"/>
      <c r="M62" s="26"/>
      <c r="N62" s="26"/>
      <c r="O62" s="32"/>
      <c r="P62" s="32"/>
      <c r="Q62" s="39"/>
      <c r="R62" s="32"/>
      <c r="S62" s="32"/>
      <c r="T62" s="32"/>
      <c r="U62" s="32"/>
      <c r="V62" s="32"/>
      <c r="W62" s="32"/>
      <c r="X62" s="32"/>
      <c r="Y62" s="32"/>
      <c r="Z62" s="32"/>
    </row>
    <row r="63" spans="1:26" ht="14.25" customHeight="1">
      <c r="A63" s="33"/>
      <c r="B63" s="26"/>
      <c r="C63" s="26"/>
      <c r="D63" s="26"/>
      <c r="E63" s="26"/>
      <c r="F63" s="26"/>
      <c r="G63" s="26"/>
      <c r="H63" s="26"/>
      <c r="I63" s="26"/>
      <c r="J63" s="26"/>
      <c r="K63" s="26"/>
      <c r="L63" s="26"/>
      <c r="M63" s="26"/>
      <c r="N63" s="26"/>
      <c r="O63" s="32"/>
      <c r="P63" s="32"/>
      <c r="Q63" s="39"/>
      <c r="R63" s="32"/>
      <c r="S63" s="32"/>
      <c r="T63" s="32"/>
      <c r="U63" s="32"/>
      <c r="V63" s="32"/>
      <c r="W63" s="32"/>
      <c r="X63" s="32"/>
      <c r="Y63" s="32"/>
      <c r="Z63" s="32"/>
    </row>
    <row r="64" spans="1:26" ht="14.25" customHeight="1">
      <c r="A64" s="33"/>
      <c r="B64" s="26"/>
      <c r="C64" s="26"/>
      <c r="D64" s="26"/>
      <c r="E64" s="26"/>
      <c r="F64" s="26"/>
      <c r="G64" s="26"/>
      <c r="H64" s="26"/>
      <c r="I64" s="26"/>
      <c r="J64" s="26"/>
      <c r="K64" s="26"/>
      <c r="L64" s="26"/>
      <c r="M64" s="26"/>
      <c r="N64" s="26"/>
      <c r="O64" s="32"/>
      <c r="P64" s="32"/>
      <c r="Q64" s="39"/>
      <c r="R64" s="32"/>
      <c r="S64" s="32"/>
      <c r="T64" s="32"/>
      <c r="U64" s="32"/>
      <c r="V64" s="32"/>
      <c r="W64" s="32"/>
      <c r="X64" s="32"/>
      <c r="Y64" s="32"/>
      <c r="Z64" s="32"/>
    </row>
    <row r="65" spans="1:26" ht="14.25" customHeight="1">
      <c r="A65" s="33"/>
      <c r="B65" s="26"/>
      <c r="C65" s="26"/>
      <c r="D65" s="26"/>
      <c r="E65" s="26"/>
      <c r="F65" s="26"/>
      <c r="G65" s="26"/>
      <c r="H65" s="26"/>
      <c r="I65" s="26"/>
      <c r="J65" s="26"/>
      <c r="K65" s="26"/>
      <c r="L65" s="26"/>
      <c r="M65" s="26"/>
      <c r="N65" s="26"/>
      <c r="O65" s="32"/>
      <c r="P65" s="32"/>
      <c r="Q65" s="39"/>
      <c r="R65" s="32"/>
      <c r="S65" s="32"/>
      <c r="T65" s="32"/>
      <c r="U65" s="32"/>
      <c r="V65" s="32"/>
      <c r="W65" s="32"/>
      <c r="X65" s="32"/>
      <c r="Y65" s="32"/>
      <c r="Z65" s="32"/>
    </row>
    <row r="66" spans="1:26" ht="14.25" customHeight="1">
      <c r="A66" s="33"/>
      <c r="B66" s="26"/>
      <c r="C66" s="26"/>
      <c r="D66" s="26"/>
      <c r="E66" s="26"/>
      <c r="F66" s="26"/>
      <c r="G66" s="26"/>
      <c r="H66" s="26"/>
      <c r="I66" s="26"/>
      <c r="J66" s="26"/>
      <c r="K66" s="26"/>
      <c r="L66" s="26"/>
      <c r="M66" s="26"/>
      <c r="N66" s="26"/>
      <c r="O66" s="32"/>
      <c r="P66" s="32"/>
      <c r="Q66" s="39"/>
      <c r="R66" s="32"/>
      <c r="S66" s="32"/>
      <c r="T66" s="32"/>
      <c r="U66" s="32"/>
      <c r="V66" s="32"/>
      <c r="W66" s="32"/>
      <c r="X66" s="32"/>
      <c r="Y66" s="32"/>
      <c r="Z66" s="32"/>
    </row>
    <row r="67" spans="1:26" ht="14.25" customHeight="1">
      <c r="A67" s="33"/>
      <c r="B67" s="26"/>
      <c r="C67" s="26"/>
      <c r="D67" s="26"/>
      <c r="E67" s="26"/>
      <c r="F67" s="26"/>
      <c r="G67" s="26"/>
      <c r="H67" s="26"/>
      <c r="I67" s="26"/>
      <c r="J67" s="26"/>
      <c r="K67" s="26"/>
      <c r="L67" s="26"/>
      <c r="M67" s="26"/>
      <c r="N67" s="26"/>
      <c r="O67" s="32"/>
      <c r="P67" s="32"/>
      <c r="Q67" s="39"/>
      <c r="R67" s="32"/>
      <c r="S67" s="32"/>
      <c r="T67" s="32"/>
      <c r="U67" s="32"/>
      <c r="V67" s="32"/>
      <c r="W67" s="32"/>
      <c r="X67" s="32"/>
      <c r="Y67" s="32"/>
      <c r="Z67" s="32"/>
    </row>
    <row r="68" spans="1:26" ht="14.25" customHeight="1">
      <c r="A68" s="33"/>
      <c r="B68" s="26"/>
      <c r="C68" s="26"/>
      <c r="D68" s="26"/>
      <c r="E68" s="26"/>
      <c r="F68" s="26"/>
      <c r="G68" s="26"/>
      <c r="H68" s="26"/>
      <c r="I68" s="26"/>
      <c r="J68" s="26"/>
      <c r="K68" s="26"/>
      <c r="L68" s="26"/>
      <c r="M68" s="26"/>
      <c r="N68" s="26"/>
      <c r="O68" s="32"/>
      <c r="P68" s="32"/>
      <c r="Q68" s="39"/>
      <c r="R68" s="32"/>
      <c r="S68" s="32"/>
      <c r="T68" s="32"/>
      <c r="U68" s="32"/>
      <c r="V68" s="32"/>
      <c r="W68" s="32"/>
      <c r="X68" s="32"/>
      <c r="Y68" s="32"/>
      <c r="Z68" s="32"/>
    </row>
    <row r="69" spans="1:26" ht="14.25" customHeight="1">
      <c r="A69" s="33"/>
      <c r="B69" s="26"/>
      <c r="C69" s="26"/>
      <c r="D69" s="26"/>
      <c r="E69" s="26"/>
      <c r="F69" s="26"/>
      <c r="G69" s="26"/>
      <c r="H69" s="26"/>
      <c r="I69" s="26"/>
      <c r="J69" s="26"/>
      <c r="K69" s="26"/>
      <c r="L69" s="26"/>
      <c r="M69" s="26"/>
      <c r="N69" s="26"/>
      <c r="O69" s="32"/>
      <c r="P69" s="32"/>
      <c r="Q69" s="39"/>
      <c r="R69" s="32"/>
      <c r="S69" s="32"/>
      <c r="T69" s="32"/>
      <c r="U69" s="32"/>
      <c r="V69" s="32"/>
      <c r="W69" s="32"/>
      <c r="X69" s="32"/>
      <c r="Y69" s="32"/>
      <c r="Z69" s="32"/>
    </row>
    <row r="70" spans="1:26" ht="14.25" customHeight="1">
      <c r="A70" s="33"/>
      <c r="B70" s="26"/>
      <c r="C70" s="26"/>
      <c r="D70" s="26"/>
      <c r="E70" s="26"/>
      <c r="F70" s="26"/>
      <c r="G70" s="26"/>
      <c r="H70" s="26"/>
      <c r="I70" s="26"/>
      <c r="J70" s="26"/>
      <c r="K70" s="26"/>
      <c r="L70" s="26"/>
      <c r="M70" s="26"/>
      <c r="N70" s="26"/>
      <c r="O70" s="32"/>
      <c r="P70" s="32"/>
      <c r="Q70" s="39"/>
      <c r="R70" s="32"/>
      <c r="S70" s="32"/>
      <c r="T70" s="32"/>
      <c r="U70" s="32"/>
      <c r="V70" s="32"/>
      <c r="W70" s="32"/>
      <c r="X70" s="32"/>
      <c r="Y70" s="32"/>
      <c r="Z70" s="32"/>
    </row>
    <row r="71" spans="1:26" ht="7.5" customHeight="1">
      <c r="A71" s="47"/>
      <c r="B71" s="48"/>
      <c r="C71" s="48"/>
      <c r="D71" s="48"/>
      <c r="E71" s="48"/>
      <c r="F71" s="48"/>
      <c r="G71" s="48"/>
      <c r="H71" s="48"/>
      <c r="I71" s="48"/>
      <c r="J71" s="48"/>
      <c r="K71" s="48"/>
      <c r="L71" s="48"/>
      <c r="M71" s="48"/>
      <c r="N71" s="48"/>
      <c r="O71" s="49"/>
      <c r="P71" s="49"/>
      <c r="Q71" s="50"/>
      <c r="R71" s="32"/>
      <c r="S71" s="32"/>
      <c r="T71" s="32"/>
      <c r="U71" s="32"/>
      <c r="V71" s="32"/>
      <c r="W71" s="32"/>
      <c r="X71" s="32"/>
      <c r="Y71" s="32"/>
      <c r="Z71" s="32"/>
    </row>
    <row r="72" spans="1:26" ht="21.75" customHeight="1">
      <c r="A72" s="28"/>
      <c r="B72" s="44" t="s">
        <v>91</v>
      </c>
      <c r="C72" s="45"/>
      <c r="D72" s="45"/>
      <c r="E72" s="45"/>
      <c r="F72" s="45"/>
      <c r="G72" s="45"/>
      <c r="H72" s="45"/>
      <c r="I72" s="45"/>
      <c r="J72" s="45"/>
      <c r="K72" s="45"/>
      <c r="L72" s="45"/>
      <c r="M72" s="45"/>
      <c r="N72" s="45"/>
      <c r="O72" s="30"/>
      <c r="P72" s="30"/>
      <c r="Q72" s="31"/>
      <c r="R72" s="32"/>
      <c r="S72" s="32"/>
      <c r="T72" s="32"/>
      <c r="U72" s="32"/>
      <c r="V72" s="32"/>
      <c r="W72" s="32"/>
      <c r="X72" s="32"/>
      <c r="Y72" s="32"/>
      <c r="Z72" s="32"/>
    </row>
    <row r="73" spans="1:26" ht="18" customHeight="1">
      <c r="A73" s="33"/>
      <c r="B73" s="46" t="s">
        <v>92</v>
      </c>
      <c r="C73" s="26"/>
      <c r="D73" s="26"/>
      <c r="E73" s="26"/>
      <c r="F73" s="26"/>
      <c r="G73" s="26"/>
      <c r="H73" s="26"/>
      <c r="I73" s="26"/>
      <c r="J73" s="26"/>
      <c r="K73" s="26"/>
      <c r="L73" s="26"/>
      <c r="M73" s="26"/>
      <c r="N73" s="26"/>
      <c r="O73" s="32"/>
      <c r="P73" s="32"/>
      <c r="Q73" s="39"/>
      <c r="R73" s="32"/>
      <c r="S73" s="32"/>
      <c r="T73" s="32"/>
      <c r="U73" s="32"/>
      <c r="V73" s="32"/>
      <c r="W73" s="32"/>
      <c r="X73" s="32"/>
      <c r="Y73" s="32"/>
      <c r="Z73" s="32"/>
    </row>
    <row r="74" spans="1:26" ht="6" customHeight="1">
      <c r="A74" s="33"/>
      <c r="B74" s="26"/>
      <c r="C74" s="26"/>
      <c r="D74" s="26"/>
      <c r="E74" s="26"/>
      <c r="F74" s="26"/>
      <c r="G74" s="26"/>
      <c r="H74" s="26"/>
      <c r="I74" s="26"/>
      <c r="J74" s="26"/>
      <c r="K74" s="26"/>
      <c r="L74" s="26"/>
      <c r="M74" s="26"/>
      <c r="N74" s="26"/>
      <c r="O74" s="32"/>
      <c r="P74" s="32"/>
      <c r="Q74" s="39"/>
      <c r="R74" s="32"/>
      <c r="S74" s="32"/>
      <c r="T74" s="32"/>
      <c r="U74" s="32"/>
      <c r="V74" s="32"/>
      <c r="W74" s="32"/>
      <c r="X74" s="32"/>
      <c r="Y74" s="32"/>
      <c r="Z74" s="32"/>
    </row>
    <row r="75" spans="1:26" ht="24" customHeight="1">
      <c r="A75" s="33"/>
      <c r="B75" s="1314" t="s">
        <v>93</v>
      </c>
      <c r="C75" s="1315"/>
      <c r="D75" s="1315"/>
      <c r="E75" s="1315"/>
      <c r="F75" s="1315"/>
      <c r="G75" s="1316"/>
      <c r="H75" s="26"/>
      <c r="I75" s="1314" t="s">
        <v>94</v>
      </c>
      <c r="J75" s="1315"/>
      <c r="K75" s="1315"/>
      <c r="L75" s="1315"/>
      <c r="M75" s="1315"/>
      <c r="N75" s="1316"/>
      <c r="O75" s="32"/>
      <c r="P75" s="32"/>
      <c r="Q75" s="39"/>
      <c r="R75" s="32"/>
      <c r="S75" s="32"/>
      <c r="T75" s="32"/>
      <c r="U75" s="32"/>
      <c r="V75" s="32"/>
      <c r="W75" s="32"/>
      <c r="X75" s="32"/>
      <c r="Y75" s="32"/>
      <c r="Z75" s="32"/>
    </row>
    <row r="76" spans="1:26" ht="18" customHeight="1">
      <c r="A76" s="33"/>
      <c r="B76" s="51" t="s">
        <v>95</v>
      </c>
      <c r="C76" s="52" t="s">
        <v>96</v>
      </c>
      <c r="D76" s="52" t="s">
        <v>97</v>
      </c>
      <c r="E76" s="53" t="s">
        <v>98</v>
      </c>
      <c r="F76" s="52" t="s">
        <v>99</v>
      </c>
      <c r="G76" s="54" t="s">
        <v>100</v>
      </c>
      <c r="H76" s="26"/>
      <c r="I76" s="55" t="s">
        <v>101</v>
      </c>
      <c r="J76" s="56" t="s">
        <v>96</v>
      </c>
      <c r="K76" s="56" t="s">
        <v>97</v>
      </c>
      <c r="L76" s="53" t="s">
        <v>98</v>
      </c>
      <c r="M76" s="56" t="s">
        <v>99</v>
      </c>
      <c r="N76" s="57" t="s">
        <v>100</v>
      </c>
      <c r="O76" s="32"/>
      <c r="P76" s="32"/>
      <c r="Q76" s="39"/>
      <c r="R76" s="32"/>
      <c r="S76" s="32"/>
      <c r="T76" s="32"/>
      <c r="U76" s="32"/>
      <c r="V76" s="32"/>
      <c r="W76" s="32"/>
      <c r="X76" s="32"/>
      <c r="Y76" s="32"/>
      <c r="Z76" s="32"/>
    </row>
    <row r="77" spans="1:26" ht="14.25" customHeight="1">
      <c r="A77" s="33"/>
      <c r="B77" s="58">
        <v>0.08</v>
      </c>
      <c r="C77" s="59">
        <f>'Inputs for Dashboard'!C80</f>
        <v>63401161.517881677</v>
      </c>
      <c r="D77" s="59">
        <f>'Inputs for Dashboard'!D80</f>
        <v>70048481.062748015</v>
      </c>
      <c r="E77" s="59">
        <f>'Inputs for Dashboard'!E80</f>
        <v>76695800.607614338</v>
      </c>
      <c r="F77" s="59">
        <f>'Inputs for Dashboard'!F80</f>
        <v>83343120.152480677</v>
      </c>
      <c r="G77" s="60">
        <f>'Inputs for Dashboard'!G80</f>
        <v>89990439.697347015</v>
      </c>
      <c r="H77" s="26"/>
      <c r="I77" s="61">
        <v>-0.2</v>
      </c>
      <c r="J77" s="62">
        <f>'Inputs for Dashboard'!C88</f>
        <v>0.23284823592363457</v>
      </c>
      <c r="K77" s="62">
        <f>'Inputs for Dashboard'!D88</f>
        <v>0.25283306591157939</v>
      </c>
      <c r="L77" s="62">
        <f>'Inputs for Dashboard'!E88</f>
        <v>0.27040638312803944</v>
      </c>
      <c r="M77" s="62">
        <f>'Inputs for Dashboard'!F88</f>
        <v>0.28611164076450946</v>
      </c>
      <c r="N77" s="63">
        <f>'Inputs for Dashboard'!G88</f>
        <v>0.30032491948679896</v>
      </c>
      <c r="O77" s="32"/>
      <c r="P77" s="32"/>
      <c r="Q77" s="39"/>
      <c r="R77" s="32"/>
      <c r="S77" s="32"/>
      <c r="T77" s="32"/>
      <c r="U77" s="32"/>
      <c r="V77" s="32"/>
      <c r="W77" s="32"/>
      <c r="X77" s="32"/>
      <c r="Y77" s="32"/>
      <c r="Z77" s="32"/>
    </row>
    <row r="78" spans="1:26" ht="14.25" customHeight="1">
      <c r="A78" s="33"/>
      <c r="B78" s="58">
        <v>0.09</v>
      </c>
      <c r="C78" s="59">
        <f>'Inputs for Dashboard'!C81</f>
        <v>60028461.423050061</v>
      </c>
      <c r="D78" s="59">
        <f>'Inputs for Dashboard'!D81</f>
        <v>66113664.285444453</v>
      </c>
      <c r="E78" s="59">
        <f>'Inputs for Dashboard'!E81</f>
        <v>72198867.147838846</v>
      </c>
      <c r="F78" s="59">
        <f>'Inputs for Dashboard'!F81</f>
        <v>78284070.010233238</v>
      </c>
      <c r="G78" s="60">
        <f>'Inputs for Dashboard'!G81</f>
        <v>84369272.872627646</v>
      </c>
      <c r="H78" s="26"/>
      <c r="I78" s="61">
        <v>-0.1</v>
      </c>
      <c r="J78" s="62">
        <f>'Inputs for Dashboard'!C89</f>
        <v>0.24808918514192646</v>
      </c>
      <c r="K78" s="62">
        <f>'Inputs for Dashboard'!D89</f>
        <v>0.26832107536819372</v>
      </c>
      <c r="L78" s="62">
        <f>'Inputs for Dashboard'!E89</f>
        <v>0.28611164076450946</v>
      </c>
      <c r="M78" s="62">
        <f>'Inputs for Dashboard'!F89</f>
        <v>0.30201105290201458</v>
      </c>
      <c r="N78" s="63">
        <f>'Inputs for Dashboard'!G89</f>
        <v>0.31640004170192748</v>
      </c>
      <c r="O78" s="32"/>
      <c r="P78" s="32"/>
      <c r="Q78" s="39"/>
      <c r="R78" s="32"/>
      <c r="S78" s="32"/>
      <c r="T78" s="32"/>
      <c r="U78" s="32"/>
      <c r="V78" s="32"/>
      <c r="W78" s="32"/>
      <c r="X78" s="32"/>
      <c r="Y78" s="32"/>
      <c r="Z78" s="32"/>
    </row>
    <row r="79" spans="1:26" ht="14.25" customHeight="1">
      <c r="A79" s="33"/>
      <c r="B79" s="64">
        <v>0.1</v>
      </c>
      <c r="C79" s="59">
        <f>'Inputs for Dashboard'!C82</f>
        <v>56967946.93867366</v>
      </c>
      <c r="D79" s="59">
        <f>'Inputs for Dashboard'!D82</f>
        <v>62543064.053671986</v>
      </c>
      <c r="E79" s="65">
        <f>'Inputs for Dashboard'!E82</f>
        <v>68118181.168670326</v>
      </c>
      <c r="F79" s="59">
        <f>'Inputs for Dashboard'!F82</f>
        <v>73693298.283668652</v>
      </c>
      <c r="G79" s="60">
        <f>'Inputs for Dashboard'!G82</f>
        <v>79268415.398666993</v>
      </c>
      <c r="H79" s="26"/>
      <c r="I79" s="66" t="s">
        <v>102</v>
      </c>
      <c r="J79" s="62">
        <f>'Inputs for Dashboard'!C90</f>
        <v>0.26188226413789328</v>
      </c>
      <c r="K79" s="62">
        <f>'Inputs for Dashboard'!D90</f>
        <v>0.28233774420329283</v>
      </c>
      <c r="L79" s="67">
        <f>'Inputs for Dashboard'!E90</f>
        <v>0.30032491948679896</v>
      </c>
      <c r="M79" s="62">
        <f>'Inputs for Dashboard'!F90</f>
        <v>0.31640004170192748</v>
      </c>
      <c r="N79" s="63">
        <f>'Inputs for Dashboard'!G90</f>
        <v>0.33094804835212854</v>
      </c>
      <c r="O79" s="32"/>
      <c r="P79" s="32"/>
      <c r="Q79" s="39"/>
      <c r="R79" s="32"/>
      <c r="S79" s="32"/>
      <c r="T79" s="32"/>
      <c r="U79" s="32"/>
      <c r="V79" s="32"/>
      <c r="W79" s="32"/>
      <c r="X79" s="32"/>
      <c r="Y79" s="32"/>
      <c r="Z79" s="32"/>
    </row>
    <row r="80" spans="1:26" ht="14.25" customHeight="1">
      <c r="A80" s="33"/>
      <c r="B80" s="58">
        <v>0.11</v>
      </c>
      <c r="C80" s="59">
        <f>'Inputs for Dashboard'!C83</f>
        <v>54188267.562956184</v>
      </c>
      <c r="D80" s="59">
        <f>'Inputs for Dashboard'!D83</f>
        <v>59300104.7820016</v>
      </c>
      <c r="E80" s="59">
        <f>'Inputs for Dashboard'!E83</f>
        <v>64411942.001047015</v>
      </c>
      <c r="F80" s="59">
        <f>'Inputs for Dashboard'!F83</f>
        <v>69523779.220092431</v>
      </c>
      <c r="G80" s="60">
        <f>'Inputs for Dashboard'!G83</f>
        <v>74635616.439137861</v>
      </c>
      <c r="H80" s="26"/>
      <c r="I80" s="61">
        <v>0.1</v>
      </c>
      <c r="J80" s="62">
        <f>'Inputs for Dashboard'!C91</f>
        <v>0.27449089080165257</v>
      </c>
      <c r="K80" s="62">
        <f>'Inputs for Dashboard'!D91</f>
        <v>0.29515076038793087</v>
      </c>
      <c r="L80" s="62">
        <f>'Inputs for Dashboard'!E91</f>
        <v>0.31331766208833867</v>
      </c>
      <c r="M80" s="62">
        <f>'Inputs for Dashboard'!F91</f>
        <v>0.3295534056390268</v>
      </c>
      <c r="N80" s="63">
        <f>'Inputs for Dashboard'!G91</f>
        <v>0.34424677480819432</v>
      </c>
      <c r="O80" s="32"/>
      <c r="P80" s="32"/>
      <c r="Q80" s="39"/>
      <c r="R80" s="32"/>
      <c r="S80" s="32"/>
      <c r="T80" s="32"/>
      <c r="U80" s="32"/>
      <c r="V80" s="32"/>
      <c r="W80" s="32"/>
      <c r="X80" s="32"/>
      <c r="Y80" s="32"/>
      <c r="Z80" s="32"/>
    </row>
    <row r="81" spans="1:26" ht="14.25" customHeight="1">
      <c r="A81" s="33"/>
      <c r="B81" s="68">
        <v>0.12</v>
      </c>
      <c r="C81" s="69">
        <f>'Inputs for Dashboard'!C84</f>
        <v>51661463.253472403</v>
      </c>
      <c r="D81" s="69">
        <f>'Inputs for Dashboard'!D84</f>
        <v>56352166.420937181</v>
      </c>
      <c r="E81" s="69">
        <f>'Inputs for Dashboard'!E84</f>
        <v>61042869.588401973</v>
      </c>
      <c r="F81" s="69">
        <f>'Inputs for Dashboard'!F84</f>
        <v>65733572.755866751</v>
      </c>
      <c r="G81" s="70">
        <f>'Inputs for Dashboard'!G84</f>
        <v>70424275.923331544</v>
      </c>
      <c r="H81" s="26"/>
      <c r="I81" s="71">
        <v>0.2</v>
      </c>
      <c r="J81" s="72">
        <f>'Inputs for Dashboard'!C92</f>
        <v>0.28611164076450946</v>
      </c>
      <c r="K81" s="72">
        <f>'Inputs for Dashboard'!D92</f>
        <v>0.30695988610181124</v>
      </c>
      <c r="L81" s="72">
        <f>'Inputs for Dashboard'!E92</f>
        <v>0.32529243278547004</v>
      </c>
      <c r="M81" s="72">
        <f>'Inputs for Dashboard'!F92</f>
        <v>0.3416762131072526</v>
      </c>
      <c r="N81" s="73">
        <f>'Inputs for Dashboard'!G92</f>
        <v>0.35650355574807002</v>
      </c>
      <c r="O81" s="32"/>
      <c r="P81" s="32"/>
      <c r="Q81" s="39"/>
      <c r="R81" s="32"/>
      <c r="S81" s="32"/>
      <c r="T81" s="32"/>
      <c r="U81" s="32"/>
      <c r="V81" s="32"/>
      <c r="W81" s="32"/>
      <c r="X81" s="32"/>
      <c r="Y81" s="32"/>
      <c r="Z81" s="32"/>
    </row>
    <row r="82" spans="1:26" ht="7.5" customHeight="1">
      <c r="A82" s="33"/>
      <c r="B82" s="26"/>
      <c r="C82" s="26"/>
      <c r="D82" s="26"/>
      <c r="E82" s="26"/>
      <c r="F82" s="26"/>
      <c r="G82" s="26"/>
      <c r="H82" s="26"/>
      <c r="I82" s="26"/>
      <c r="J82" s="26"/>
      <c r="K82" s="26"/>
      <c r="L82" s="26"/>
      <c r="M82" s="26"/>
      <c r="N82" s="26"/>
      <c r="O82" s="32"/>
      <c r="P82" s="32"/>
      <c r="Q82" s="39"/>
      <c r="R82" s="32"/>
      <c r="S82" s="32"/>
      <c r="T82" s="32"/>
      <c r="U82" s="32"/>
      <c r="V82" s="32"/>
      <c r="W82" s="32"/>
      <c r="X82" s="32"/>
      <c r="Y82" s="32"/>
      <c r="Z82" s="32"/>
    </row>
    <row r="83" spans="1:26" ht="7.5" customHeight="1">
      <c r="A83" s="47"/>
      <c r="B83" s="48"/>
      <c r="C83" s="48"/>
      <c r="D83" s="48"/>
      <c r="E83" s="48"/>
      <c r="F83" s="48"/>
      <c r="G83" s="48"/>
      <c r="H83" s="48"/>
      <c r="I83" s="48"/>
      <c r="J83" s="48"/>
      <c r="K83" s="48"/>
      <c r="L83" s="48"/>
      <c r="M83" s="48"/>
      <c r="N83" s="48"/>
      <c r="O83" s="49"/>
      <c r="P83" s="49"/>
      <c r="Q83" s="50"/>
      <c r="R83" s="32"/>
      <c r="S83" s="32"/>
      <c r="T83" s="32"/>
      <c r="U83" s="32"/>
      <c r="V83" s="32"/>
      <c r="W83" s="32"/>
      <c r="X83" s="32"/>
      <c r="Y83" s="32"/>
      <c r="Z83" s="32"/>
    </row>
    <row r="84" spans="1:26" ht="21.75" customHeight="1">
      <c r="A84" s="28"/>
      <c r="B84" s="74" t="s">
        <v>103</v>
      </c>
      <c r="C84" s="29"/>
      <c r="D84" s="29"/>
      <c r="E84" s="29"/>
      <c r="F84" s="29"/>
      <c r="G84" s="29"/>
      <c r="H84" s="29"/>
      <c r="I84" s="29"/>
      <c r="J84" s="29"/>
      <c r="K84" s="29"/>
      <c r="L84" s="29"/>
      <c r="M84" s="29"/>
      <c r="N84" s="29"/>
      <c r="O84" s="30"/>
      <c r="P84" s="30"/>
      <c r="Q84" s="31"/>
      <c r="R84" s="32"/>
      <c r="S84" s="32"/>
      <c r="T84" s="32"/>
      <c r="U84" s="32"/>
      <c r="V84" s="32"/>
      <c r="W84" s="32"/>
      <c r="X84" s="32"/>
      <c r="Y84" s="32"/>
      <c r="Z84" s="32"/>
    </row>
    <row r="85" spans="1:26" ht="18" customHeight="1">
      <c r="A85" s="33"/>
      <c r="B85" s="46" t="s">
        <v>104</v>
      </c>
      <c r="C85" s="26"/>
      <c r="D85" s="26"/>
      <c r="E85" s="26"/>
      <c r="F85" s="26"/>
      <c r="G85" s="26"/>
      <c r="H85" s="26"/>
      <c r="I85" s="26"/>
      <c r="J85" s="26"/>
      <c r="K85" s="26"/>
      <c r="L85" s="26"/>
      <c r="M85" s="26"/>
      <c r="N85" s="26"/>
      <c r="O85" s="32"/>
      <c r="P85" s="32"/>
      <c r="Q85" s="39"/>
      <c r="R85" s="32"/>
      <c r="S85" s="32"/>
      <c r="T85" s="32"/>
      <c r="U85" s="32"/>
      <c r="V85" s="32"/>
      <c r="W85" s="32"/>
      <c r="X85" s="32"/>
      <c r="Y85" s="32"/>
      <c r="Z85" s="32"/>
    </row>
    <row r="86" spans="1:26" ht="7.5" customHeight="1">
      <c r="A86" s="33"/>
      <c r="B86" s="26"/>
      <c r="C86" s="26"/>
      <c r="D86" s="26"/>
      <c r="E86" s="26"/>
      <c r="F86" s="26"/>
      <c r="G86" s="26"/>
      <c r="H86" s="26"/>
      <c r="I86" s="26"/>
      <c r="J86" s="26"/>
      <c r="K86" s="26"/>
      <c r="L86" s="26"/>
      <c r="M86" s="26"/>
      <c r="N86" s="26"/>
      <c r="O86" s="32"/>
      <c r="P86" s="32"/>
      <c r="Q86" s="39"/>
      <c r="R86" s="32"/>
      <c r="S86" s="32"/>
      <c r="T86" s="32"/>
      <c r="U86" s="32"/>
      <c r="V86" s="32"/>
      <c r="W86" s="32"/>
      <c r="X86" s="32"/>
      <c r="Y86" s="32"/>
      <c r="Z86" s="32"/>
    </row>
    <row r="87" spans="1:26" ht="13.5" customHeight="1">
      <c r="A87" s="33"/>
      <c r="B87" s="1324" t="s">
        <v>105</v>
      </c>
      <c r="C87" s="1318"/>
      <c r="D87" s="1325"/>
      <c r="E87" s="1317" t="s">
        <v>106</v>
      </c>
      <c r="F87" s="1318"/>
      <c r="G87" s="1319"/>
      <c r="H87" s="1375" t="s">
        <v>107</v>
      </c>
      <c r="I87" s="1318"/>
      <c r="J87" s="1376"/>
      <c r="K87" s="1383" t="s">
        <v>108</v>
      </c>
      <c r="L87" s="1318"/>
      <c r="M87" s="1318"/>
      <c r="N87" s="1384"/>
      <c r="O87" s="32"/>
      <c r="P87" s="32"/>
      <c r="Q87" s="39"/>
      <c r="R87" s="32"/>
      <c r="S87" s="32"/>
      <c r="T87" s="32"/>
      <c r="U87" s="32"/>
      <c r="V87" s="32"/>
      <c r="W87" s="32"/>
      <c r="X87" s="32"/>
      <c r="Y87" s="32"/>
      <c r="Z87" s="32"/>
    </row>
    <row r="88" spans="1:26" ht="24" customHeight="1">
      <c r="A88" s="33"/>
      <c r="B88" s="1326">
        <f>'Inputs for Dashboard'!H151</f>
        <v>162.34200000000004</v>
      </c>
      <c r="C88" s="1321"/>
      <c r="D88" s="1327"/>
      <c r="E88" s="1320">
        <f>'Inputs for Dashboard'!H152</f>
        <v>126988.22167068842</v>
      </c>
      <c r="F88" s="1321"/>
      <c r="G88" s="1322"/>
      <c r="H88" s="1377">
        <f>('Inputs for Dashboard'!N40/'Inputs for Dashboard'!F40)^(1/8)-1</f>
        <v>3.3412769456272029E-2</v>
      </c>
      <c r="I88" s="1321"/>
      <c r="J88" s="1378"/>
      <c r="K88" s="1385">
        <f>'Inputs for Dashboard'!N40-'Inputs for Dashboard'!F40</f>
        <v>5645596.8010677062</v>
      </c>
      <c r="L88" s="1321"/>
      <c r="M88" s="1321"/>
      <c r="N88" s="1369"/>
      <c r="O88" s="32"/>
      <c r="P88" s="32"/>
      <c r="Q88" s="39"/>
      <c r="R88" s="32"/>
      <c r="S88" s="32"/>
      <c r="T88" s="32"/>
      <c r="U88" s="32"/>
      <c r="V88" s="32"/>
      <c r="W88" s="32"/>
      <c r="X88" s="32"/>
      <c r="Y88" s="32"/>
      <c r="Z88" s="32"/>
    </row>
    <row r="89" spans="1:26" ht="14.25" customHeight="1">
      <c r="A89" s="33"/>
      <c r="B89" s="26"/>
      <c r="C89" s="26"/>
      <c r="D89" s="26"/>
      <c r="E89" s="26"/>
      <c r="F89" s="26"/>
      <c r="G89" s="26"/>
      <c r="H89" s="26"/>
      <c r="I89" s="26"/>
      <c r="J89" s="26"/>
      <c r="K89" s="26"/>
      <c r="L89" s="26"/>
      <c r="M89" s="26"/>
      <c r="N89" s="26"/>
      <c r="O89" s="32"/>
      <c r="P89" s="32"/>
      <c r="Q89" s="39"/>
      <c r="R89" s="32"/>
      <c r="S89" s="32"/>
      <c r="T89" s="32"/>
      <c r="U89" s="32"/>
      <c r="V89" s="32"/>
      <c r="W89" s="32"/>
      <c r="X89" s="32"/>
      <c r="Y89" s="32"/>
      <c r="Z89" s="32"/>
    </row>
    <row r="90" spans="1:26" ht="14.25" customHeight="1">
      <c r="A90" s="33"/>
      <c r="B90" s="26"/>
      <c r="C90" s="26"/>
      <c r="D90" s="26"/>
      <c r="E90" s="26"/>
      <c r="F90" s="26"/>
      <c r="G90" s="26"/>
      <c r="H90" s="26"/>
      <c r="I90" s="26"/>
      <c r="J90" s="26"/>
      <c r="K90" s="26"/>
      <c r="L90" s="26"/>
      <c r="M90" s="26"/>
      <c r="N90" s="26"/>
      <c r="O90" s="32"/>
      <c r="P90" s="32"/>
      <c r="Q90" s="39"/>
      <c r="R90" s="32"/>
      <c r="S90" s="32"/>
      <c r="T90" s="32"/>
      <c r="U90" s="32"/>
      <c r="V90" s="32"/>
      <c r="W90" s="32"/>
      <c r="X90" s="32"/>
      <c r="Y90" s="32"/>
      <c r="Z90" s="32"/>
    </row>
    <row r="91" spans="1:26" ht="14.25" customHeight="1">
      <c r="A91" s="33"/>
      <c r="B91" s="26"/>
      <c r="C91" s="26"/>
      <c r="D91" s="26"/>
      <c r="E91" s="26"/>
      <c r="F91" s="26"/>
      <c r="G91" s="26"/>
      <c r="H91" s="26"/>
      <c r="I91" s="26"/>
      <c r="J91" s="26"/>
      <c r="K91" s="26"/>
      <c r="L91" s="26"/>
      <c r="M91" s="26"/>
      <c r="N91" s="26"/>
      <c r="O91" s="32"/>
      <c r="P91" s="32"/>
      <c r="Q91" s="39"/>
      <c r="R91" s="32"/>
      <c r="S91" s="32"/>
      <c r="T91" s="32"/>
      <c r="U91" s="32"/>
      <c r="V91" s="32"/>
      <c r="W91" s="32"/>
      <c r="X91" s="32"/>
      <c r="Y91" s="32"/>
      <c r="Z91" s="32"/>
    </row>
    <row r="92" spans="1:26" ht="14.25" customHeight="1">
      <c r="A92" s="33"/>
      <c r="B92" s="26"/>
      <c r="C92" s="26"/>
      <c r="D92" s="26"/>
      <c r="E92" s="26"/>
      <c r="F92" s="26"/>
      <c r="G92" s="26"/>
      <c r="H92" s="26"/>
      <c r="I92" s="26"/>
      <c r="J92" s="26"/>
      <c r="K92" s="26"/>
      <c r="L92" s="26"/>
      <c r="M92" s="26"/>
      <c r="N92" s="26"/>
      <c r="O92" s="32"/>
      <c r="P92" s="32"/>
      <c r="Q92" s="39"/>
      <c r="R92" s="32"/>
      <c r="S92" s="32"/>
      <c r="T92" s="32"/>
      <c r="U92" s="32"/>
      <c r="V92" s="32"/>
      <c r="W92" s="32"/>
      <c r="X92" s="32"/>
      <c r="Y92" s="32"/>
      <c r="Z92" s="32"/>
    </row>
    <row r="93" spans="1:26" ht="14.25" customHeight="1" outlineLevel="1">
      <c r="A93" s="33"/>
      <c r="B93" s="26"/>
      <c r="C93" s="26"/>
      <c r="D93" s="26"/>
      <c r="E93" s="26"/>
      <c r="F93" s="26"/>
      <c r="G93" s="26"/>
      <c r="H93" s="26"/>
      <c r="I93" s="26"/>
      <c r="J93" s="26"/>
      <c r="K93" s="26"/>
      <c r="L93" s="26"/>
      <c r="M93" s="26"/>
      <c r="N93" s="26"/>
      <c r="O93" s="32"/>
      <c r="P93" s="32"/>
      <c r="Q93" s="39"/>
      <c r="R93" s="32"/>
      <c r="S93" s="32"/>
      <c r="T93" s="32"/>
      <c r="U93" s="32"/>
      <c r="V93" s="32"/>
      <c r="W93" s="32"/>
      <c r="X93" s="32"/>
      <c r="Y93" s="32"/>
      <c r="Z93" s="32"/>
    </row>
    <row r="94" spans="1:26" ht="14.25" customHeight="1" outlineLevel="1">
      <c r="A94" s="33"/>
      <c r="B94" s="26"/>
      <c r="C94" s="26"/>
      <c r="D94" s="26"/>
      <c r="E94" s="26"/>
      <c r="F94" s="26"/>
      <c r="G94" s="26"/>
      <c r="H94" s="26"/>
      <c r="I94" s="26"/>
      <c r="J94" s="26"/>
      <c r="K94" s="26"/>
      <c r="L94" s="26"/>
      <c r="M94" s="26"/>
      <c r="N94" s="26"/>
      <c r="O94" s="32"/>
      <c r="P94" s="32"/>
      <c r="Q94" s="39"/>
      <c r="R94" s="32"/>
      <c r="S94" s="32"/>
      <c r="T94" s="32"/>
      <c r="U94" s="32"/>
      <c r="V94" s="32"/>
      <c r="W94" s="32"/>
      <c r="X94" s="32"/>
      <c r="Y94" s="32"/>
      <c r="Z94" s="32"/>
    </row>
    <row r="95" spans="1:26" ht="14.25" customHeight="1" outlineLevel="1">
      <c r="A95" s="33"/>
      <c r="B95" s="26"/>
      <c r="C95" s="26"/>
      <c r="D95" s="26"/>
      <c r="E95" s="26"/>
      <c r="F95" s="26"/>
      <c r="G95" s="26"/>
      <c r="H95" s="26"/>
      <c r="I95" s="26"/>
      <c r="J95" s="26"/>
      <c r="K95" s="26"/>
      <c r="L95" s="26"/>
      <c r="M95" s="26"/>
      <c r="N95" s="26"/>
      <c r="O95" s="32"/>
      <c r="P95" s="32"/>
      <c r="Q95" s="39"/>
      <c r="R95" s="32"/>
      <c r="S95" s="32"/>
      <c r="T95" s="32"/>
      <c r="U95" s="32"/>
      <c r="V95" s="32"/>
      <c r="W95" s="32"/>
      <c r="X95" s="32"/>
      <c r="Y95" s="32"/>
      <c r="Z95" s="32"/>
    </row>
    <row r="96" spans="1:26" ht="14.25" customHeight="1" outlineLevel="1">
      <c r="A96" s="33"/>
      <c r="B96" s="26"/>
      <c r="C96" s="26"/>
      <c r="D96" s="26"/>
      <c r="E96" s="26"/>
      <c r="F96" s="26"/>
      <c r="G96" s="26"/>
      <c r="H96" s="26"/>
      <c r="I96" s="26"/>
      <c r="J96" s="26"/>
      <c r="K96" s="26"/>
      <c r="L96" s="26"/>
      <c r="M96" s="26"/>
      <c r="N96" s="26"/>
      <c r="O96" s="32"/>
      <c r="P96" s="32"/>
      <c r="Q96" s="39"/>
      <c r="R96" s="32"/>
      <c r="S96" s="32"/>
      <c r="T96" s="32"/>
      <c r="U96" s="32"/>
      <c r="V96" s="32"/>
      <c r="W96" s="32"/>
      <c r="X96" s="32"/>
      <c r="Y96" s="32"/>
      <c r="Z96" s="32"/>
    </row>
    <row r="97" spans="1:26" ht="14.25" customHeight="1" outlineLevel="1">
      <c r="A97" s="33"/>
      <c r="B97" s="26"/>
      <c r="C97" s="26"/>
      <c r="D97" s="26"/>
      <c r="E97" s="26"/>
      <c r="F97" s="26"/>
      <c r="G97" s="26"/>
      <c r="H97" s="26"/>
      <c r="I97" s="26"/>
      <c r="J97" s="26"/>
      <c r="K97" s="26"/>
      <c r="L97" s="26"/>
      <c r="M97" s="26"/>
      <c r="N97" s="26"/>
      <c r="O97" s="32"/>
      <c r="P97" s="32"/>
      <c r="Q97" s="39"/>
      <c r="R97" s="32"/>
      <c r="S97" s="32"/>
      <c r="T97" s="32"/>
      <c r="U97" s="32"/>
      <c r="V97" s="32"/>
      <c r="W97" s="32"/>
      <c r="X97" s="32"/>
      <c r="Y97" s="32"/>
      <c r="Z97" s="32"/>
    </row>
    <row r="98" spans="1:26" ht="14.25" customHeight="1" outlineLevel="1">
      <c r="A98" s="33"/>
      <c r="B98" s="26"/>
      <c r="C98" s="26"/>
      <c r="D98" s="26"/>
      <c r="E98" s="26"/>
      <c r="F98" s="26"/>
      <c r="G98" s="26"/>
      <c r="H98" s="26"/>
      <c r="I98" s="26"/>
      <c r="J98" s="26"/>
      <c r="K98" s="26"/>
      <c r="L98" s="26"/>
      <c r="M98" s="26"/>
      <c r="N98" s="26"/>
      <c r="O98" s="32"/>
      <c r="P98" s="32"/>
      <c r="Q98" s="39"/>
      <c r="R98" s="32"/>
      <c r="S98" s="32"/>
      <c r="T98" s="32"/>
      <c r="U98" s="32"/>
      <c r="V98" s="32"/>
      <c r="W98" s="32"/>
      <c r="X98" s="32"/>
      <c r="Y98" s="32"/>
      <c r="Z98" s="32"/>
    </row>
    <row r="99" spans="1:26" ht="14.25" customHeight="1" outlineLevel="1">
      <c r="A99" s="33"/>
      <c r="B99" s="26"/>
      <c r="C99" s="26"/>
      <c r="D99" s="26"/>
      <c r="E99" s="26"/>
      <c r="F99" s="26"/>
      <c r="G99" s="26"/>
      <c r="H99" s="26"/>
      <c r="I99" s="26"/>
      <c r="J99" s="26"/>
      <c r="K99" s="26"/>
      <c r="L99" s="26"/>
      <c r="M99" s="26"/>
      <c r="N99" s="26"/>
      <c r="O99" s="32"/>
      <c r="P99" s="32"/>
      <c r="Q99" s="39"/>
      <c r="R99" s="32"/>
      <c r="S99" s="32"/>
      <c r="T99" s="32"/>
      <c r="U99" s="32"/>
      <c r="V99" s="32"/>
      <c r="W99" s="32"/>
      <c r="X99" s="32"/>
      <c r="Y99" s="32"/>
      <c r="Z99" s="32"/>
    </row>
    <row r="100" spans="1:26" ht="14.25" customHeight="1" outlineLevel="1">
      <c r="A100" s="33"/>
      <c r="B100" s="26"/>
      <c r="C100" s="26"/>
      <c r="D100" s="26"/>
      <c r="E100" s="26"/>
      <c r="F100" s="26"/>
      <c r="G100" s="26"/>
      <c r="H100" s="26"/>
      <c r="I100" s="26"/>
      <c r="J100" s="26"/>
      <c r="K100" s="26"/>
      <c r="L100" s="26"/>
      <c r="M100" s="26"/>
      <c r="N100" s="26"/>
      <c r="O100" s="32"/>
      <c r="P100" s="32"/>
      <c r="Q100" s="39"/>
      <c r="R100" s="32"/>
      <c r="S100" s="32"/>
      <c r="T100" s="32"/>
      <c r="U100" s="32"/>
      <c r="V100" s="32"/>
      <c r="W100" s="32"/>
      <c r="X100" s="32"/>
      <c r="Y100" s="32"/>
      <c r="Z100" s="32"/>
    </row>
    <row r="101" spans="1:26" ht="7.5" customHeight="1" outlineLevel="1">
      <c r="A101" s="47"/>
      <c r="B101" s="48"/>
      <c r="C101" s="48"/>
      <c r="D101" s="48"/>
      <c r="E101" s="48"/>
      <c r="F101" s="48"/>
      <c r="G101" s="48"/>
      <c r="H101" s="48"/>
      <c r="I101" s="48"/>
      <c r="J101" s="48"/>
      <c r="K101" s="48"/>
      <c r="L101" s="48"/>
      <c r="M101" s="48"/>
      <c r="N101" s="48"/>
      <c r="O101" s="49"/>
      <c r="P101" s="49"/>
      <c r="Q101" s="50"/>
      <c r="R101" s="32"/>
      <c r="S101" s="32"/>
      <c r="T101" s="32"/>
      <c r="U101" s="32"/>
      <c r="V101" s="32"/>
      <c r="W101" s="32"/>
      <c r="X101" s="32"/>
      <c r="Y101" s="32"/>
      <c r="Z101" s="32"/>
    </row>
    <row r="102" spans="1:26" ht="21.75" customHeight="1" outlineLevel="1">
      <c r="A102" s="28"/>
      <c r="B102" s="74" t="s">
        <v>109</v>
      </c>
      <c r="C102" s="29"/>
      <c r="D102" s="29"/>
      <c r="E102" s="29"/>
      <c r="F102" s="29"/>
      <c r="G102" s="29"/>
      <c r="H102" s="29"/>
      <c r="I102" s="29"/>
      <c r="J102" s="29"/>
      <c r="K102" s="29"/>
      <c r="L102" s="29"/>
      <c r="M102" s="29"/>
      <c r="N102" s="29"/>
      <c r="O102" s="30"/>
      <c r="P102" s="30"/>
      <c r="Q102" s="31"/>
      <c r="R102" s="32"/>
      <c r="S102" s="32"/>
      <c r="T102" s="32"/>
      <c r="U102" s="32"/>
      <c r="V102" s="32"/>
      <c r="W102" s="32"/>
      <c r="X102" s="32"/>
      <c r="Y102" s="32"/>
      <c r="Z102" s="32"/>
    </row>
    <row r="103" spans="1:26" ht="18" customHeight="1" outlineLevel="1">
      <c r="A103" s="33"/>
      <c r="B103" s="46" t="s">
        <v>110</v>
      </c>
      <c r="C103" s="26"/>
      <c r="D103" s="26"/>
      <c r="E103" s="26"/>
      <c r="F103" s="26"/>
      <c r="G103" s="26"/>
      <c r="H103" s="26"/>
      <c r="I103" s="26"/>
      <c r="J103" s="26"/>
      <c r="K103" s="26"/>
      <c r="L103" s="26"/>
      <c r="M103" s="26"/>
      <c r="N103" s="26"/>
      <c r="O103" s="32"/>
      <c r="P103" s="32"/>
      <c r="Q103" s="39"/>
      <c r="R103" s="32"/>
      <c r="S103" s="32"/>
      <c r="T103" s="32"/>
      <c r="U103" s="32"/>
      <c r="V103" s="32"/>
      <c r="W103" s="32"/>
      <c r="X103" s="32"/>
      <c r="Y103" s="32"/>
      <c r="Z103" s="32"/>
    </row>
    <row r="104" spans="1:26" ht="7.5" customHeight="1" outlineLevel="1">
      <c r="A104" s="33"/>
      <c r="B104" s="26"/>
      <c r="C104" s="26"/>
      <c r="D104" s="26"/>
      <c r="E104" s="26"/>
      <c r="F104" s="26"/>
      <c r="G104" s="26"/>
      <c r="H104" s="26"/>
      <c r="I104" s="26"/>
      <c r="J104" s="26"/>
      <c r="K104" s="26"/>
      <c r="L104" s="26"/>
      <c r="M104" s="26"/>
      <c r="N104" s="26"/>
      <c r="O104" s="32"/>
      <c r="P104" s="32"/>
      <c r="Q104" s="39"/>
      <c r="R104" s="32"/>
      <c r="S104" s="32"/>
      <c r="T104" s="32"/>
      <c r="U104" s="32"/>
      <c r="V104" s="32"/>
      <c r="W104" s="32"/>
      <c r="X104" s="32"/>
      <c r="Y104" s="32"/>
      <c r="Z104" s="32"/>
    </row>
    <row r="105" spans="1:26" ht="14.25" customHeight="1" outlineLevel="1">
      <c r="A105" s="33"/>
      <c r="B105" s="26"/>
      <c r="C105" s="26"/>
      <c r="D105" s="26"/>
      <c r="E105" s="26"/>
      <c r="F105" s="26"/>
      <c r="G105" s="26"/>
      <c r="H105" s="26"/>
      <c r="I105" s="26"/>
      <c r="J105" s="26"/>
      <c r="K105" s="26"/>
      <c r="L105" s="26"/>
      <c r="M105" s="26"/>
      <c r="N105" s="26"/>
      <c r="O105" s="32"/>
      <c r="P105" s="32"/>
      <c r="Q105" s="39"/>
      <c r="R105" s="32"/>
      <c r="S105" s="32"/>
      <c r="T105" s="32"/>
      <c r="U105" s="32"/>
      <c r="V105" s="32"/>
      <c r="W105" s="32"/>
      <c r="X105" s="32"/>
      <c r="Y105" s="32"/>
      <c r="Z105" s="32"/>
    </row>
    <row r="106" spans="1:26" ht="14.25" customHeight="1" outlineLevel="1">
      <c r="A106" s="33"/>
      <c r="B106" s="26"/>
      <c r="C106" s="26"/>
      <c r="D106" s="26"/>
      <c r="E106" s="26"/>
      <c r="F106" s="26"/>
      <c r="G106" s="26"/>
      <c r="H106" s="26"/>
      <c r="I106" s="26"/>
      <c r="J106" s="26"/>
      <c r="K106" s="26"/>
      <c r="L106" s="26"/>
      <c r="M106" s="26"/>
      <c r="N106" s="26"/>
      <c r="O106" s="32"/>
      <c r="P106" s="32"/>
      <c r="Q106" s="39"/>
      <c r="R106" s="32"/>
      <c r="S106" s="32"/>
      <c r="T106" s="32"/>
      <c r="U106" s="32"/>
      <c r="V106" s="32"/>
      <c r="W106" s="32"/>
      <c r="X106" s="32"/>
      <c r="Y106" s="32"/>
      <c r="Z106" s="32"/>
    </row>
    <row r="107" spans="1:26" ht="14.25" customHeight="1" outlineLevel="1">
      <c r="A107" s="33"/>
      <c r="B107" s="26"/>
      <c r="C107" s="26"/>
      <c r="D107" s="26"/>
      <c r="E107" s="26"/>
      <c r="F107" s="26"/>
      <c r="G107" s="26"/>
      <c r="H107" s="26"/>
      <c r="I107" s="26"/>
      <c r="J107" s="26"/>
      <c r="K107" s="26"/>
      <c r="L107" s="26"/>
      <c r="M107" s="26"/>
      <c r="N107" s="26"/>
      <c r="O107" s="32"/>
      <c r="P107" s="32"/>
      <c r="Q107" s="39"/>
      <c r="R107" s="32"/>
      <c r="S107" s="32"/>
      <c r="T107" s="32"/>
      <c r="U107" s="32"/>
      <c r="V107" s="32"/>
      <c r="W107" s="32"/>
      <c r="X107" s="32"/>
      <c r="Y107" s="32"/>
      <c r="Z107" s="32"/>
    </row>
    <row r="108" spans="1:26" ht="14.25" customHeight="1" outlineLevel="1">
      <c r="A108" s="33"/>
      <c r="B108" s="26"/>
      <c r="C108" s="26"/>
      <c r="D108" s="26"/>
      <c r="E108" s="26"/>
      <c r="F108" s="26"/>
      <c r="G108" s="26"/>
      <c r="H108" s="26"/>
      <c r="I108" s="26"/>
      <c r="J108" s="26"/>
      <c r="K108" s="26"/>
      <c r="L108" s="26"/>
      <c r="M108" s="26"/>
      <c r="N108" s="26"/>
      <c r="O108" s="32"/>
      <c r="P108" s="32"/>
      <c r="Q108" s="39"/>
      <c r="R108" s="32"/>
      <c r="S108" s="32"/>
      <c r="T108" s="32"/>
      <c r="U108" s="32"/>
      <c r="V108" s="32"/>
      <c r="W108" s="32"/>
      <c r="X108" s="32"/>
      <c r="Y108" s="32"/>
      <c r="Z108" s="32"/>
    </row>
    <row r="109" spans="1:26" ht="14.25" customHeight="1" outlineLevel="1">
      <c r="A109" s="33"/>
      <c r="B109" s="26"/>
      <c r="C109" s="26"/>
      <c r="D109" s="26"/>
      <c r="E109" s="26"/>
      <c r="F109" s="26"/>
      <c r="G109" s="26"/>
      <c r="H109" s="26"/>
      <c r="I109" s="26"/>
      <c r="J109" s="26"/>
      <c r="K109" s="26"/>
      <c r="L109" s="26"/>
      <c r="M109" s="26"/>
      <c r="N109" s="26"/>
      <c r="O109" s="32"/>
      <c r="P109" s="32"/>
      <c r="Q109" s="39"/>
      <c r="R109" s="32"/>
      <c r="S109" s="32"/>
      <c r="T109" s="32"/>
      <c r="U109" s="32"/>
      <c r="V109" s="32"/>
      <c r="W109" s="32"/>
      <c r="X109" s="32"/>
      <c r="Y109" s="32"/>
      <c r="Z109" s="32"/>
    </row>
    <row r="110" spans="1:26" ht="14.25" customHeight="1" outlineLevel="1">
      <c r="A110" s="33"/>
      <c r="B110" s="26"/>
      <c r="C110" s="26"/>
      <c r="D110" s="26"/>
      <c r="E110" s="26"/>
      <c r="F110" s="26"/>
      <c r="G110" s="26"/>
      <c r="H110" s="26"/>
      <c r="I110" s="26"/>
      <c r="J110" s="26"/>
      <c r="K110" s="26"/>
      <c r="L110" s="26"/>
      <c r="M110" s="26"/>
      <c r="N110" s="26"/>
      <c r="O110" s="32"/>
      <c r="P110" s="32"/>
      <c r="Q110" s="39"/>
      <c r="R110" s="32"/>
      <c r="S110" s="32"/>
      <c r="T110" s="32"/>
      <c r="U110" s="32"/>
      <c r="V110" s="32"/>
      <c r="W110" s="32"/>
      <c r="X110" s="32"/>
      <c r="Y110" s="32"/>
      <c r="Z110" s="32"/>
    </row>
    <row r="111" spans="1:26" ht="14.25" customHeight="1" outlineLevel="1">
      <c r="A111" s="33"/>
      <c r="B111" s="26"/>
      <c r="C111" s="26"/>
      <c r="D111" s="26"/>
      <c r="E111" s="26"/>
      <c r="F111" s="26"/>
      <c r="G111" s="26"/>
      <c r="H111" s="26"/>
      <c r="I111" s="26"/>
      <c r="J111" s="26"/>
      <c r="K111" s="26"/>
      <c r="L111" s="26"/>
      <c r="M111" s="26"/>
      <c r="N111" s="26"/>
      <c r="O111" s="32"/>
      <c r="P111" s="32"/>
      <c r="Q111" s="39"/>
      <c r="R111" s="32"/>
      <c r="S111" s="32"/>
      <c r="T111" s="32"/>
      <c r="U111" s="32"/>
      <c r="V111" s="32"/>
      <c r="W111" s="32"/>
      <c r="X111" s="32"/>
      <c r="Y111" s="32"/>
      <c r="Z111" s="32"/>
    </row>
    <row r="112" spans="1:26" ht="14.25" customHeight="1" outlineLevel="1">
      <c r="A112" s="33"/>
      <c r="B112" s="26"/>
      <c r="C112" s="26"/>
      <c r="D112" s="26"/>
      <c r="E112" s="26"/>
      <c r="F112" s="26"/>
      <c r="G112" s="26"/>
      <c r="H112" s="26"/>
      <c r="I112" s="26"/>
      <c r="J112" s="26"/>
      <c r="K112" s="26"/>
      <c r="L112" s="26"/>
      <c r="M112" s="26"/>
      <c r="N112" s="26"/>
      <c r="O112" s="32"/>
      <c r="P112" s="32"/>
      <c r="Q112" s="39"/>
      <c r="R112" s="32"/>
      <c r="S112" s="32"/>
      <c r="T112" s="32"/>
      <c r="U112" s="32"/>
      <c r="V112" s="32"/>
      <c r="W112" s="32"/>
      <c r="X112" s="32"/>
      <c r="Y112" s="32"/>
      <c r="Z112" s="32"/>
    </row>
    <row r="113" spans="1:26" ht="14.25" customHeight="1" outlineLevel="1">
      <c r="A113" s="33"/>
      <c r="B113" s="26"/>
      <c r="C113" s="26"/>
      <c r="D113" s="26"/>
      <c r="E113" s="26"/>
      <c r="F113" s="26"/>
      <c r="G113" s="26"/>
      <c r="H113" s="26"/>
      <c r="I113" s="26"/>
      <c r="J113" s="26"/>
      <c r="K113" s="26"/>
      <c r="L113" s="26"/>
      <c r="M113" s="26"/>
      <c r="N113" s="26"/>
      <c r="O113" s="32"/>
      <c r="P113" s="32"/>
      <c r="Q113" s="39"/>
      <c r="R113" s="32"/>
      <c r="S113" s="32"/>
      <c r="T113" s="32"/>
      <c r="U113" s="32"/>
      <c r="V113" s="32"/>
      <c r="W113" s="32"/>
      <c r="X113" s="32"/>
      <c r="Y113" s="32"/>
      <c r="Z113" s="32"/>
    </row>
    <row r="114" spans="1:26" ht="14.25" customHeight="1" outlineLevel="1">
      <c r="A114" s="33"/>
      <c r="B114" s="26"/>
      <c r="C114" s="26"/>
      <c r="D114" s="26"/>
      <c r="E114" s="26"/>
      <c r="F114" s="26"/>
      <c r="G114" s="26"/>
      <c r="H114" s="26"/>
      <c r="I114" s="26"/>
      <c r="J114" s="26"/>
      <c r="K114" s="26"/>
      <c r="L114" s="26"/>
      <c r="M114" s="26"/>
      <c r="N114" s="26"/>
      <c r="O114" s="32"/>
      <c r="P114" s="32"/>
      <c r="Q114" s="39"/>
      <c r="R114" s="32"/>
      <c r="S114" s="32"/>
      <c r="T114" s="32"/>
      <c r="U114" s="32"/>
      <c r="V114" s="32"/>
      <c r="W114" s="32"/>
      <c r="X114" s="32"/>
      <c r="Y114" s="32"/>
      <c r="Z114" s="32"/>
    </row>
    <row r="115" spans="1:26" ht="14.25" customHeight="1" outlineLevel="1">
      <c r="A115" s="33"/>
      <c r="B115" s="26"/>
      <c r="C115" s="26"/>
      <c r="D115" s="26"/>
      <c r="E115" s="26"/>
      <c r="F115" s="26"/>
      <c r="G115" s="26"/>
      <c r="H115" s="26"/>
      <c r="I115" s="26"/>
      <c r="J115" s="26"/>
      <c r="K115" s="26"/>
      <c r="L115" s="26"/>
      <c r="M115" s="26"/>
      <c r="N115" s="26"/>
      <c r="O115" s="32"/>
      <c r="P115" s="32"/>
      <c r="Q115" s="39"/>
      <c r="R115" s="32"/>
      <c r="S115" s="32"/>
      <c r="T115" s="32"/>
      <c r="U115" s="32"/>
      <c r="V115" s="32"/>
      <c r="W115" s="32"/>
      <c r="X115" s="32"/>
      <c r="Y115" s="32"/>
      <c r="Z115" s="32"/>
    </row>
    <row r="116" spans="1:26" ht="7.5" customHeight="1" outlineLevel="1">
      <c r="A116" s="47"/>
      <c r="B116" s="48"/>
      <c r="C116" s="48"/>
      <c r="D116" s="48"/>
      <c r="E116" s="48"/>
      <c r="F116" s="48"/>
      <c r="G116" s="48"/>
      <c r="H116" s="48"/>
      <c r="I116" s="48"/>
      <c r="J116" s="48"/>
      <c r="K116" s="48"/>
      <c r="L116" s="48"/>
      <c r="M116" s="48"/>
      <c r="N116" s="48"/>
      <c r="O116" s="49"/>
      <c r="P116" s="49"/>
      <c r="Q116" s="50"/>
      <c r="R116" s="32"/>
      <c r="S116" s="32"/>
      <c r="T116" s="32"/>
      <c r="U116" s="32"/>
      <c r="V116" s="32"/>
      <c r="W116" s="32"/>
      <c r="X116" s="32"/>
      <c r="Y116" s="32"/>
      <c r="Z116" s="32"/>
    </row>
    <row r="117" spans="1:26" ht="21.75" customHeight="1" outlineLevel="1">
      <c r="A117" s="28"/>
      <c r="B117" s="74" t="s">
        <v>111</v>
      </c>
      <c r="C117" s="29"/>
      <c r="D117" s="29"/>
      <c r="E117" s="29"/>
      <c r="F117" s="29"/>
      <c r="G117" s="29"/>
      <c r="H117" s="29"/>
      <c r="I117" s="29"/>
      <c r="J117" s="29"/>
      <c r="K117" s="29"/>
      <c r="L117" s="29"/>
      <c r="M117" s="29"/>
      <c r="N117" s="29"/>
      <c r="O117" s="30"/>
      <c r="P117" s="30"/>
      <c r="Q117" s="31"/>
      <c r="R117" s="32"/>
      <c r="S117" s="32"/>
      <c r="T117" s="32"/>
      <c r="U117" s="32"/>
      <c r="V117" s="32"/>
      <c r="W117" s="32"/>
      <c r="X117" s="32"/>
      <c r="Y117" s="32"/>
      <c r="Z117" s="32"/>
    </row>
    <row r="118" spans="1:26" ht="18" customHeight="1" outlineLevel="1">
      <c r="A118" s="33"/>
      <c r="B118" s="46" t="s">
        <v>112</v>
      </c>
      <c r="C118" s="26"/>
      <c r="D118" s="26"/>
      <c r="E118" s="26"/>
      <c r="F118" s="26"/>
      <c r="G118" s="26"/>
      <c r="H118" s="26"/>
      <c r="I118" s="26"/>
      <c r="J118" s="26"/>
      <c r="K118" s="26"/>
      <c r="L118" s="26"/>
      <c r="M118" s="26"/>
      <c r="N118" s="26"/>
      <c r="O118" s="32"/>
      <c r="P118" s="32"/>
      <c r="Q118" s="39"/>
      <c r="R118" s="32"/>
      <c r="S118" s="32"/>
      <c r="T118" s="32"/>
      <c r="U118" s="32"/>
      <c r="V118" s="32"/>
      <c r="W118" s="32"/>
      <c r="X118" s="32"/>
      <c r="Y118" s="32"/>
      <c r="Z118" s="32"/>
    </row>
    <row r="119" spans="1:26" ht="7.5" customHeight="1" outlineLevel="1">
      <c r="A119" s="33"/>
      <c r="B119" s="26"/>
      <c r="C119" s="26"/>
      <c r="D119" s="26"/>
      <c r="E119" s="26"/>
      <c r="F119" s="26"/>
      <c r="G119" s="26"/>
      <c r="H119" s="26"/>
      <c r="I119" s="26"/>
      <c r="J119" s="26"/>
      <c r="K119" s="26"/>
      <c r="L119" s="26"/>
      <c r="M119" s="26"/>
      <c r="N119" s="26"/>
      <c r="O119" s="32"/>
      <c r="P119" s="32"/>
      <c r="Q119" s="39"/>
      <c r="R119" s="32"/>
      <c r="S119" s="32"/>
      <c r="T119" s="32"/>
      <c r="U119" s="32"/>
      <c r="V119" s="32"/>
      <c r="W119" s="32"/>
      <c r="X119" s="32"/>
      <c r="Y119" s="32"/>
      <c r="Z119" s="32"/>
    </row>
    <row r="120" spans="1:26" ht="14.25" customHeight="1" outlineLevel="1">
      <c r="A120" s="33"/>
      <c r="B120" s="75" t="s">
        <v>113</v>
      </c>
      <c r="C120" s="76" t="s">
        <v>114</v>
      </c>
      <c r="D120" s="76" t="s">
        <v>115</v>
      </c>
      <c r="E120" s="76" t="s">
        <v>116</v>
      </c>
      <c r="F120" s="77" t="s">
        <v>117</v>
      </c>
      <c r="G120" s="26"/>
      <c r="H120" s="26"/>
      <c r="I120" s="26"/>
      <c r="J120" s="26"/>
      <c r="K120" s="26"/>
      <c r="L120" s="26"/>
      <c r="M120" s="26"/>
      <c r="N120" s="26"/>
      <c r="O120" s="32"/>
      <c r="P120" s="32"/>
      <c r="Q120" s="39"/>
      <c r="R120" s="32"/>
      <c r="S120" s="32"/>
      <c r="T120" s="32"/>
      <c r="U120" s="32"/>
      <c r="V120" s="32"/>
      <c r="W120" s="32"/>
      <c r="X120" s="32"/>
      <c r="Y120" s="32"/>
      <c r="Z120" s="32"/>
    </row>
    <row r="121" spans="1:26" ht="14.25" customHeight="1" outlineLevel="1">
      <c r="A121" s="33"/>
      <c r="B121" s="78" t="str">
        <f>'Inputs for Dashboard'!B174</f>
        <v>Base</v>
      </c>
      <c r="C121" s="79">
        <f>'Inputs for Dashboard'!C174</f>
        <v>0</v>
      </c>
      <c r="D121" s="79">
        <f>'Inputs for Dashboard'!D174</f>
        <v>0</v>
      </c>
      <c r="E121" s="80" t="str">
        <f>'Inputs for Dashboard'!E174</f>
        <v>Baseline</v>
      </c>
      <c r="F121" s="81" t="str">
        <f>'Inputs for Dashboard'!F174</f>
        <v>●●○○○</v>
      </c>
      <c r="G121" s="26"/>
      <c r="H121" s="26"/>
      <c r="I121" s="26"/>
      <c r="J121" s="26"/>
      <c r="K121" s="26"/>
      <c r="L121" s="26"/>
      <c r="M121" s="26"/>
      <c r="N121" s="26"/>
      <c r="O121" s="32"/>
      <c r="P121" s="32"/>
      <c r="Q121" s="39"/>
      <c r="R121" s="32"/>
      <c r="S121" s="32"/>
      <c r="T121" s="32"/>
      <c r="U121" s="32"/>
      <c r="V121" s="32"/>
      <c r="W121" s="32"/>
      <c r="X121" s="32"/>
      <c r="Y121" s="32"/>
      <c r="Z121" s="32"/>
    </row>
    <row r="122" spans="1:26" ht="14.25" customHeight="1" outlineLevel="1">
      <c r="A122" s="33"/>
      <c r="B122" s="82" t="str">
        <f>'Inputs for Dashboard'!B175</f>
        <v>Optimistic</v>
      </c>
      <c r="C122" s="83">
        <f>'Inputs for Dashboard'!C175</f>
        <v>0.1</v>
      </c>
      <c r="D122" s="83">
        <f>'Inputs for Dashboard'!D175</f>
        <v>-0.05</v>
      </c>
      <c r="E122" s="84">
        <f>'Inputs for Dashboard'!E175</f>
        <v>2.95</v>
      </c>
      <c r="F122" s="85" t="str">
        <f>'Inputs for Dashboard'!F175</f>
        <v>●○○○○</v>
      </c>
      <c r="G122" s="26"/>
      <c r="H122" s="26"/>
      <c r="I122" s="26"/>
      <c r="J122" s="26"/>
      <c r="K122" s="26"/>
      <c r="L122" s="26"/>
      <c r="M122" s="26"/>
      <c r="N122" s="26"/>
      <c r="O122" s="32"/>
      <c r="P122" s="32"/>
      <c r="Q122" s="39"/>
      <c r="R122" s="32"/>
      <c r="S122" s="32"/>
      <c r="T122" s="32"/>
      <c r="U122" s="32"/>
      <c r="V122" s="32"/>
      <c r="W122" s="32"/>
      <c r="X122" s="32"/>
      <c r="Y122" s="32"/>
      <c r="Z122" s="32"/>
    </row>
    <row r="123" spans="1:26" ht="14.25" customHeight="1" outlineLevel="1">
      <c r="A123" s="33"/>
      <c r="B123" s="86" t="str">
        <f>'Inputs for Dashboard'!B176</f>
        <v>Pessimistic</v>
      </c>
      <c r="C123" s="87">
        <f>'Inputs for Dashboard'!C176</f>
        <v>-0.15</v>
      </c>
      <c r="D123" s="87">
        <f>'Inputs for Dashboard'!D176</f>
        <v>0.1</v>
      </c>
      <c r="E123" s="88">
        <f>'Inputs for Dashboard'!E176</f>
        <v>-5.08</v>
      </c>
      <c r="F123" s="89" t="str">
        <f>'Inputs for Dashboard'!F176</f>
        <v>●●●●○</v>
      </c>
      <c r="G123" s="26"/>
      <c r="H123" s="26"/>
      <c r="I123" s="26"/>
      <c r="J123" s="26"/>
      <c r="K123" s="26"/>
      <c r="L123" s="26"/>
      <c r="M123" s="26"/>
      <c r="N123" s="26"/>
      <c r="O123" s="32"/>
      <c r="P123" s="32"/>
      <c r="Q123" s="39"/>
      <c r="R123" s="32"/>
      <c r="S123" s="32"/>
      <c r="T123" s="32"/>
      <c r="U123" s="32"/>
      <c r="V123" s="32"/>
      <c r="W123" s="32"/>
      <c r="X123" s="32"/>
      <c r="Y123" s="32"/>
      <c r="Z123" s="32"/>
    </row>
    <row r="124" spans="1:26" ht="14.25" customHeight="1" outlineLevel="1">
      <c r="A124" s="33"/>
      <c r="B124" s="82" t="str">
        <f>'Inputs for Dashboard'!B177</f>
        <v>Delayed +3m</v>
      </c>
      <c r="C124" s="83">
        <f>'Inputs for Dashboard'!C177</f>
        <v>0</v>
      </c>
      <c r="D124" s="83">
        <f>'Inputs for Dashboard'!D177</f>
        <v>0</v>
      </c>
      <c r="E124" s="84">
        <f>'Inputs for Dashboard'!E177</f>
        <v>-1.02</v>
      </c>
      <c r="F124" s="85" t="str">
        <f>'Inputs for Dashboard'!F177</f>
        <v>●●●○○</v>
      </c>
      <c r="G124" s="26"/>
      <c r="H124" s="26"/>
      <c r="I124" s="26"/>
      <c r="J124" s="26"/>
      <c r="K124" s="26"/>
      <c r="L124" s="26"/>
      <c r="M124" s="26"/>
      <c r="N124" s="26"/>
      <c r="O124" s="32"/>
      <c r="P124" s="32"/>
      <c r="Q124" s="39"/>
      <c r="R124" s="32"/>
      <c r="S124" s="32"/>
      <c r="T124" s="32"/>
      <c r="U124" s="32"/>
      <c r="V124" s="32"/>
      <c r="W124" s="32"/>
      <c r="X124" s="32"/>
      <c r="Y124" s="32"/>
      <c r="Z124" s="32"/>
    </row>
    <row r="125" spans="1:26" ht="14.25" customHeight="1" outlineLevel="1">
      <c r="A125" s="33"/>
      <c r="B125" s="86" t="str">
        <f>'Inputs for Dashboard'!B178</f>
        <v>Delayed +6m</v>
      </c>
      <c r="C125" s="87">
        <f>'Inputs for Dashboard'!C178</f>
        <v>0</v>
      </c>
      <c r="D125" s="87">
        <f>'Inputs for Dashboard'!D178</f>
        <v>0</v>
      </c>
      <c r="E125" s="88">
        <f>'Inputs for Dashboard'!E178</f>
        <v>-2.04</v>
      </c>
      <c r="F125" s="89" t="str">
        <f>'Inputs for Dashboard'!F178</f>
        <v>●●●●○</v>
      </c>
      <c r="G125" s="26"/>
      <c r="H125" s="26"/>
      <c r="I125" s="26"/>
      <c r="J125" s="26"/>
      <c r="K125" s="26"/>
      <c r="L125" s="26"/>
      <c r="M125" s="26"/>
      <c r="N125" s="26"/>
      <c r="O125" s="32"/>
      <c r="P125" s="32"/>
      <c r="Q125" s="39"/>
      <c r="R125" s="32"/>
      <c r="S125" s="32"/>
      <c r="T125" s="32"/>
      <c r="U125" s="32"/>
      <c r="V125" s="32"/>
      <c r="W125" s="32"/>
      <c r="X125" s="32"/>
      <c r="Y125" s="32"/>
      <c r="Z125" s="32"/>
    </row>
    <row r="126" spans="1:26" ht="14.25" customHeight="1" outlineLevel="1">
      <c r="A126" s="33"/>
      <c r="B126" s="82" t="str">
        <f>'Inputs for Dashboard'!B179</f>
        <v>Capex +10%</v>
      </c>
      <c r="C126" s="83">
        <f>'Inputs for Dashboard'!C179</f>
        <v>0</v>
      </c>
      <c r="D126" s="83">
        <f>'Inputs for Dashboard'!D179</f>
        <v>0.1</v>
      </c>
      <c r="E126" s="84">
        <f>'Inputs for Dashboard'!E179</f>
        <v>-2.0299999999999998</v>
      </c>
      <c r="F126" s="85" t="str">
        <f>'Inputs for Dashboard'!F179</f>
        <v>●●●○○</v>
      </c>
      <c r="G126" s="26"/>
      <c r="H126" s="26"/>
      <c r="I126" s="26"/>
      <c r="J126" s="26"/>
      <c r="K126" s="26"/>
      <c r="L126" s="26"/>
      <c r="M126" s="26"/>
      <c r="N126" s="26"/>
      <c r="O126" s="32"/>
      <c r="P126" s="32"/>
      <c r="Q126" s="39"/>
      <c r="R126" s="32"/>
      <c r="S126" s="32"/>
      <c r="T126" s="32"/>
      <c r="U126" s="32"/>
      <c r="V126" s="32"/>
      <c r="W126" s="32"/>
      <c r="X126" s="32"/>
      <c r="Y126" s="32"/>
      <c r="Z126" s="32"/>
    </row>
    <row r="127" spans="1:26" ht="14.25" customHeight="1" outlineLevel="1">
      <c r="A127" s="33"/>
      <c r="B127" s="86" t="str">
        <f>'Inputs for Dashboard'!B180</f>
        <v>Capex +20%</v>
      </c>
      <c r="C127" s="87">
        <f>'Inputs for Dashboard'!C180</f>
        <v>0</v>
      </c>
      <c r="D127" s="87">
        <f>'Inputs for Dashboard'!D180</f>
        <v>0.2</v>
      </c>
      <c r="E127" s="88">
        <f>'Inputs for Dashboard'!E180</f>
        <v>-4.05</v>
      </c>
      <c r="F127" s="89" t="str">
        <f>'Inputs for Dashboard'!F180</f>
        <v>●●●●○</v>
      </c>
      <c r="G127" s="26"/>
      <c r="H127" s="26"/>
      <c r="I127" s="26"/>
      <c r="J127" s="26"/>
      <c r="K127" s="26"/>
      <c r="L127" s="26"/>
      <c r="M127" s="26"/>
      <c r="N127" s="26"/>
      <c r="O127" s="32"/>
      <c r="P127" s="32"/>
      <c r="Q127" s="39"/>
      <c r="R127" s="32"/>
      <c r="S127" s="32"/>
      <c r="T127" s="32"/>
      <c r="U127" s="32"/>
      <c r="V127" s="32"/>
      <c r="W127" s="32"/>
      <c r="X127" s="32"/>
      <c r="Y127" s="32"/>
      <c r="Z127" s="32"/>
    </row>
    <row r="128" spans="1:26" ht="14.25" customHeight="1" outlineLevel="1">
      <c r="A128" s="33"/>
      <c r="B128" s="90" t="str">
        <f>'Inputs for Dashboard'!B181</f>
        <v>Sponsorship Under</v>
      </c>
      <c r="C128" s="91">
        <f>'Inputs for Dashboard'!C181</f>
        <v>-0.1</v>
      </c>
      <c r="D128" s="91">
        <f>'Inputs for Dashboard'!D181</f>
        <v>0</v>
      </c>
      <c r="E128" s="92">
        <f>'Inputs for Dashboard'!E181</f>
        <v>-2.0299999999999998</v>
      </c>
      <c r="F128" s="93" t="str">
        <f>'Inputs for Dashboard'!F181</f>
        <v>●●●○○</v>
      </c>
      <c r="G128" s="26"/>
      <c r="H128" s="26"/>
      <c r="I128" s="26"/>
      <c r="J128" s="26"/>
      <c r="K128" s="26"/>
      <c r="L128" s="26"/>
      <c r="M128" s="26"/>
      <c r="N128" s="26"/>
      <c r="O128" s="32"/>
      <c r="P128" s="32"/>
      <c r="Q128" s="39"/>
      <c r="R128" s="32"/>
      <c r="S128" s="32"/>
      <c r="T128" s="32"/>
      <c r="U128" s="32"/>
      <c r="V128" s="32"/>
      <c r="W128" s="32"/>
      <c r="X128" s="32"/>
      <c r="Y128" s="32"/>
      <c r="Z128" s="32"/>
    </row>
    <row r="129" spans="1:26" ht="14.25" customHeight="1" outlineLevel="1">
      <c r="A129" s="33"/>
      <c r="B129" s="26"/>
      <c r="C129" s="26"/>
      <c r="D129" s="26"/>
      <c r="E129" s="26"/>
      <c r="F129" s="26"/>
      <c r="G129" s="26"/>
      <c r="H129" s="26"/>
      <c r="I129" s="26"/>
      <c r="J129" s="26"/>
      <c r="K129" s="26"/>
      <c r="L129" s="26"/>
      <c r="M129" s="26"/>
      <c r="N129" s="26"/>
      <c r="O129" s="32"/>
      <c r="P129" s="32"/>
      <c r="Q129" s="39"/>
      <c r="R129" s="32"/>
      <c r="S129" s="32"/>
      <c r="T129" s="32"/>
      <c r="U129" s="32"/>
      <c r="V129" s="32"/>
      <c r="W129" s="32"/>
      <c r="X129" s="32"/>
      <c r="Y129" s="32"/>
      <c r="Z129" s="32"/>
    </row>
    <row r="130" spans="1:26" ht="14.25" customHeight="1" outlineLevel="1">
      <c r="A130" s="33"/>
      <c r="B130" s="26"/>
      <c r="C130" s="26"/>
      <c r="D130" s="26"/>
      <c r="E130" s="26"/>
      <c r="F130" s="26"/>
      <c r="G130" s="26"/>
      <c r="H130" s="26"/>
      <c r="I130" s="26"/>
      <c r="J130" s="26"/>
      <c r="K130" s="26"/>
      <c r="L130" s="26"/>
      <c r="M130" s="26"/>
      <c r="N130" s="26"/>
      <c r="O130" s="32"/>
      <c r="P130" s="32"/>
      <c r="Q130" s="39"/>
      <c r="R130" s="32"/>
      <c r="S130" s="32"/>
      <c r="T130" s="32"/>
      <c r="U130" s="32"/>
      <c r="V130" s="32"/>
      <c r="W130" s="32"/>
      <c r="X130" s="32"/>
      <c r="Y130" s="32"/>
      <c r="Z130" s="32"/>
    </row>
    <row r="131" spans="1:26" ht="14.25" customHeight="1" outlineLevel="1">
      <c r="A131" s="33"/>
      <c r="B131" s="26"/>
      <c r="C131" s="26"/>
      <c r="D131" s="26"/>
      <c r="E131" s="26"/>
      <c r="F131" s="26"/>
      <c r="G131" s="26"/>
      <c r="H131" s="26"/>
      <c r="I131" s="26"/>
      <c r="J131" s="26"/>
      <c r="K131" s="26"/>
      <c r="L131" s="26"/>
      <c r="M131" s="26"/>
      <c r="N131" s="26"/>
      <c r="O131" s="32"/>
      <c r="P131" s="32"/>
      <c r="Q131" s="39"/>
      <c r="R131" s="32"/>
      <c r="S131" s="32"/>
      <c r="T131" s="32"/>
      <c r="U131" s="32"/>
      <c r="V131" s="32"/>
      <c r="W131" s="32"/>
      <c r="X131" s="32"/>
      <c r="Y131" s="32"/>
      <c r="Z131" s="32"/>
    </row>
    <row r="132" spans="1:26" ht="14.25" customHeight="1" outlineLevel="1">
      <c r="A132" s="47"/>
      <c r="B132" s="48"/>
      <c r="C132" s="48"/>
      <c r="D132" s="48"/>
      <c r="E132" s="48"/>
      <c r="F132" s="48"/>
      <c r="G132" s="48"/>
      <c r="H132" s="48"/>
      <c r="I132" s="48"/>
      <c r="J132" s="48"/>
      <c r="K132" s="48"/>
      <c r="L132" s="48"/>
      <c r="M132" s="48"/>
      <c r="N132" s="48"/>
      <c r="O132" s="49"/>
      <c r="P132" s="49"/>
      <c r="Q132" s="50"/>
      <c r="R132" s="32"/>
      <c r="S132" s="32"/>
      <c r="T132" s="32"/>
      <c r="U132" s="32"/>
      <c r="V132" s="32"/>
      <c r="W132" s="32"/>
      <c r="X132" s="32"/>
      <c r="Y132" s="32"/>
      <c r="Z132" s="32"/>
    </row>
    <row r="133" spans="1:26" ht="7.5" customHeight="1">
      <c r="A133" s="33"/>
      <c r="B133" s="26"/>
      <c r="C133" s="26"/>
      <c r="D133" s="26"/>
      <c r="E133" s="26"/>
      <c r="F133" s="26"/>
      <c r="G133" s="26"/>
      <c r="H133" s="26"/>
      <c r="I133" s="26"/>
      <c r="J133" s="26"/>
      <c r="K133" s="26"/>
      <c r="L133" s="26"/>
      <c r="M133" s="26"/>
      <c r="N133" s="26"/>
      <c r="O133" s="32"/>
      <c r="P133" s="32"/>
      <c r="Q133" s="39"/>
      <c r="R133" s="32"/>
      <c r="S133" s="32"/>
      <c r="T133" s="32"/>
      <c r="U133" s="32"/>
      <c r="V133" s="32"/>
      <c r="W133" s="32"/>
      <c r="X133" s="32"/>
      <c r="Y133" s="32"/>
      <c r="Z133" s="32"/>
    </row>
    <row r="134" spans="1:26" ht="21.75" customHeight="1">
      <c r="A134" s="33"/>
      <c r="B134" s="40" t="s">
        <v>118</v>
      </c>
      <c r="C134" s="26"/>
      <c r="D134" s="26"/>
      <c r="E134" s="26"/>
      <c r="F134" s="26"/>
      <c r="G134" s="26"/>
      <c r="H134" s="26"/>
      <c r="I134" s="26"/>
      <c r="J134" s="26"/>
      <c r="K134" s="26"/>
      <c r="L134" s="26"/>
      <c r="M134" s="26"/>
      <c r="N134" s="26"/>
      <c r="O134" s="32"/>
      <c r="P134" s="32"/>
      <c r="Q134" s="39"/>
      <c r="R134" s="32"/>
      <c r="S134" s="32"/>
      <c r="T134" s="32"/>
      <c r="U134" s="32"/>
      <c r="V134" s="32"/>
      <c r="W134" s="32"/>
      <c r="X134" s="32"/>
      <c r="Y134" s="32"/>
      <c r="Z134" s="32"/>
    </row>
    <row r="135" spans="1:26" ht="18" customHeight="1">
      <c r="A135" s="33"/>
      <c r="B135" s="46" t="s">
        <v>119</v>
      </c>
      <c r="C135" s="26"/>
      <c r="D135" s="26"/>
      <c r="E135" s="26"/>
      <c r="F135" s="26"/>
      <c r="G135" s="26"/>
      <c r="H135" s="26"/>
      <c r="I135" s="26"/>
      <c r="J135" s="26"/>
      <c r="K135" s="26"/>
      <c r="L135" s="26"/>
      <c r="M135" s="26"/>
      <c r="N135" s="26"/>
      <c r="O135" s="32"/>
      <c r="P135" s="32"/>
      <c r="Q135" s="39"/>
      <c r="R135" s="32"/>
      <c r="S135" s="32"/>
      <c r="T135" s="32"/>
      <c r="U135" s="32"/>
      <c r="V135" s="32"/>
      <c r="W135" s="32"/>
      <c r="X135" s="32"/>
      <c r="Y135" s="32"/>
      <c r="Z135" s="32"/>
    </row>
    <row r="136" spans="1:26" ht="7.5" customHeight="1">
      <c r="A136" s="33"/>
      <c r="B136" s="26"/>
      <c r="C136" s="26"/>
      <c r="D136" s="26"/>
      <c r="E136" s="26"/>
      <c r="F136" s="26"/>
      <c r="G136" s="26"/>
      <c r="H136" s="26"/>
      <c r="I136" s="26"/>
      <c r="J136" s="26"/>
      <c r="K136" s="26"/>
      <c r="L136" s="26"/>
      <c r="M136" s="26"/>
      <c r="N136" s="26"/>
      <c r="O136" s="32"/>
      <c r="P136" s="32"/>
      <c r="Q136" s="39"/>
      <c r="R136" s="32"/>
      <c r="S136" s="32"/>
      <c r="T136" s="32"/>
      <c r="U136" s="32"/>
      <c r="V136" s="32"/>
      <c r="W136" s="32"/>
      <c r="X136" s="32"/>
      <c r="Y136" s="32"/>
      <c r="Z136" s="32"/>
    </row>
    <row r="137" spans="1:26" ht="14.25" customHeight="1">
      <c r="A137" s="33"/>
      <c r="B137" s="94" t="s">
        <v>120</v>
      </c>
      <c r="C137" s="95"/>
      <c r="D137" s="96"/>
      <c r="E137" s="26"/>
      <c r="F137" s="26"/>
      <c r="G137" s="26"/>
      <c r="H137" s="26"/>
      <c r="I137" s="26"/>
      <c r="J137" s="26"/>
      <c r="K137" s="26"/>
      <c r="L137" s="26"/>
      <c r="M137" s="26"/>
      <c r="N137" s="26"/>
      <c r="O137" s="32"/>
      <c r="P137" s="32"/>
      <c r="Q137" s="39"/>
      <c r="R137" s="32"/>
      <c r="S137" s="32"/>
      <c r="T137" s="32"/>
      <c r="U137" s="32"/>
      <c r="V137" s="32"/>
      <c r="W137" s="32"/>
      <c r="X137" s="32"/>
      <c r="Y137" s="32"/>
      <c r="Z137" s="32"/>
    </row>
    <row r="138" spans="1:26" ht="14.25" customHeight="1">
      <c r="A138" s="33"/>
      <c r="B138" s="97" t="s">
        <v>121</v>
      </c>
      <c r="C138" s="98" t="s">
        <v>122</v>
      </c>
      <c r="D138" s="99" t="s">
        <v>123</v>
      </c>
      <c r="E138" s="26"/>
      <c r="F138" s="26"/>
      <c r="G138" s="26"/>
      <c r="H138" s="26"/>
      <c r="I138" s="26"/>
      <c r="J138" s="26"/>
      <c r="K138" s="26"/>
      <c r="L138" s="26"/>
      <c r="M138" s="26"/>
      <c r="N138" s="26"/>
      <c r="O138" s="32"/>
      <c r="P138" s="32"/>
      <c r="Q138" s="39"/>
      <c r="R138" s="32"/>
      <c r="S138" s="32"/>
      <c r="T138" s="32"/>
      <c r="U138" s="32"/>
      <c r="V138" s="32"/>
      <c r="W138" s="32"/>
      <c r="X138" s="32"/>
      <c r="Y138" s="32"/>
      <c r="Z138" s="32"/>
    </row>
    <row r="139" spans="1:26" ht="14.25" customHeight="1">
      <c r="A139" s="33"/>
      <c r="B139" s="100" t="s">
        <v>124</v>
      </c>
      <c r="C139" s="101">
        <f>'Inputs for Dashboard'!C188</f>
        <v>30048862.997447755</v>
      </c>
      <c r="D139" s="102">
        <f t="shared" ref="D139:D140" si="0">C139/$C$141</f>
        <v>0.48231281051990915</v>
      </c>
      <c r="E139" s="26"/>
      <c r="F139" s="26"/>
      <c r="G139" s="26"/>
      <c r="H139" s="26"/>
      <c r="I139" s="26"/>
      <c r="J139" s="26"/>
      <c r="K139" s="26"/>
      <c r="L139" s="26"/>
      <c r="M139" s="26"/>
      <c r="N139" s="26"/>
      <c r="O139" s="32"/>
      <c r="P139" s="32"/>
      <c r="Q139" s="39"/>
      <c r="R139" s="32"/>
      <c r="S139" s="32"/>
      <c r="T139" s="32"/>
      <c r="U139" s="32"/>
      <c r="V139" s="32"/>
      <c r="W139" s="32"/>
      <c r="X139" s="32"/>
      <c r="Y139" s="32"/>
      <c r="Z139" s="32"/>
    </row>
    <row r="140" spans="1:26" ht="14.25" customHeight="1">
      <c r="A140" s="33"/>
      <c r="B140" s="103" t="s">
        <v>125</v>
      </c>
      <c r="C140" s="101">
        <f>'Inputs for Dashboard'!C189</f>
        <v>32252743.640486203</v>
      </c>
      <c r="D140" s="102">
        <f t="shared" si="0"/>
        <v>0.51768718948009085</v>
      </c>
      <c r="E140" s="26"/>
      <c r="F140" s="26"/>
      <c r="G140" s="26"/>
      <c r="H140" s="26"/>
      <c r="I140" s="26"/>
      <c r="J140" s="26"/>
      <c r="K140" s="26"/>
      <c r="L140" s="26"/>
      <c r="M140" s="26"/>
      <c r="N140" s="26"/>
      <c r="O140" s="32"/>
      <c r="P140" s="32"/>
      <c r="Q140" s="39"/>
      <c r="R140" s="32"/>
      <c r="S140" s="32"/>
      <c r="T140" s="32"/>
      <c r="U140" s="32"/>
      <c r="V140" s="32"/>
      <c r="W140" s="32"/>
      <c r="X140" s="32"/>
      <c r="Y140" s="32"/>
      <c r="Z140" s="32"/>
    </row>
    <row r="141" spans="1:26" ht="14.25" customHeight="1">
      <c r="A141" s="33"/>
      <c r="B141" s="104" t="s">
        <v>126</v>
      </c>
      <c r="C141" s="105">
        <f>'Inputs for Dashboard'!C190</f>
        <v>62301606.637933955</v>
      </c>
      <c r="D141" s="106">
        <v>1</v>
      </c>
      <c r="E141" s="26"/>
      <c r="F141" s="26"/>
      <c r="G141" s="26"/>
      <c r="H141" s="26"/>
      <c r="I141" s="26"/>
      <c r="J141" s="26"/>
      <c r="K141" s="26"/>
      <c r="L141" s="26"/>
      <c r="M141" s="26"/>
      <c r="N141" s="26"/>
      <c r="O141" s="32"/>
      <c r="P141" s="32"/>
      <c r="Q141" s="39"/>
      <c r="R141" s="32"/>
      <c r="S141" s="32"/>
      <c r="T141" s="32"/>
      <c r="U141" s="32"/>
      <c r="V141" s="32"/>
      <c r="W141" s="32"/>
      <c r="X141" s="32"/>
      <c r="Y141" s="32"/>
      <c r="Z141" s="32"/>
    </row>
    <row r="142" spans="1:26" ht="14.25" customHeight="1">
      <c r="A142" s="33"/>
      <c r="B142" s="103" t="s">
        <v>127</v>
      </c>
      <c r="C142" s="107">
        <f>'Inputs for Dashboard'!C191</f>
        <v>-12675915</v>
      </c>
      <c r="D142" s="102">
        <f t="shared" ref="D142:D144" si="1">C142/$C$141</f>
        <v>-0.2034604833494284</v>
      </c>
      <c r="E142" s="26"/>
      <c r="F142" s="26"/>
      <c r="G142" s="26"/>
      <c r="H142" s="26"/>
      <c r="I142" s="26"/>
      <c r="J142" s="26"/>
      <c r="K142" s="26"/>
      <c r="L142" s="26"/>
      <c r="M142" s="26"/>
      <c r="N142" s="26"/>
      <c r="O142" s="32"/>
      <c r="P142" s="32"/>
      <c r="Q142" s="39"/>
      <c r="R142" s="32"/>
      <c r="S142" s="32"/>
      <c r="T142" s="32"/>
      <c r="U142" s="32"/>
      <c r="V142" s="32"/>
      <c r="W142" s="32"/>
      <c r="X142" s="32"/>
      <c r="Y142" s="32"/>
      <c r="Z142" s="32"/>
    </row>
    <row r="143" spans="1:26" ht="14.25" customHeight="1">
      <c r="A143" s="33"/>
      <c r="B143" s="103" t="s">
        <v>128</v>
      </c>
      <c r="C143" s="108">
        <f>'Inputs for Dashboard'!C192</f>
        <v>-452228.39999999851</v>
      </c>
      <c r="D143" s="102">
        <f t="shared" si="1"/>
        <v>-7.2586956324918834E-3</v>
      </c>
      <c r="E143" s="26"/>
      <c r="F143" s="26"/>
      <c r="G143" s="26"/>
      <c r="H143" s="26"/>
      <c r="I143" s="26"/>
      <c r="J143" s="26"/>
      <c r="K143" s="26"/>
      <c r="L143" s="26"/>
      <c r="M143" s="26"/>
      <c r="N143" s="26"/>
      <c r="O143" s="32"/>
      <c r="P143" s="32"/>
      <c r="Q143" s="39"/>
      <c r="R143" s="32"/>
      <c r="S143" s="32"/>
      <c r="T143" s="32"/>
      <c r="U143" s="32"/>
      <c r="V143" s="32"/>
      <c r="W143" s="32"/>
      <c r="X143" s="32"/>
      <c r="Y143" s="32"/>
      <c r="Z143" s="32"/>
    </row>
    <row r="144" spans="1:26" ht="14.25" customHeight="1">
      <c r="A144" s="33"/>
      <c r="B144" s="109" t="s">
        <v>69</v>
      </c>
      <c r="C144" s="110">
        <f>'Inputs for Dashboard'!C193</f>
        <v>50077920.037933953</v>
      </c>
      <c r="D144" s="111">
        <f t="shared" si="1"/>
        <v>0.80379821228306347</v>
      </c>
      <c r="E144" s="26"/>
      <c r="F144" s="26"/>
      <c r="G144" s="26"/>
      <c r="H144" s="26"/>
      <c r="I144" s="26"/>
      <c r="J144" s="26"/>
      <c r="K144" s="26"/>
      <c r="L144" s="26"/>
      <c r="M144" s="26"/>
      <c r="N144" s="26"/>
      <c r="O144" s="32"/>
      <c r="P144" s="32"/>
      <c r="Q144" s="39"/>
      <c r="R144" s="32"/>
      <c r="S144" s="32"/>
      <c r="T144" s="32"/>
      <c r="U144" s="32"/>
      <c r="V144" s="32"/>
      <c r="W144" s="32"/>
      <c r="X144" s="32"/>
      <c r="Y144" s="32"/>
      <c r="Z144" s="32"/>
    </row>
    <row r="145" spans="1:26" ht="14.25" customHeight="1">
      <c r="A145" s="33"/>
      <c r="B145" s="26"/>
      <c r="C145" s="26"/>
      <c r="D145" s="26"/>
      <c r="E145" s="26"/>
      <c r="F145" s="26"/>
      <c r="G145" s="26"/>
      <c r="H145" s="26"/>
      <c r="I145" s="26"/>
      <c r="J145" s="26"/>
      <c r="K145" s="26"/>
      <c r="L145" s="26"/>
      <c r="M145" s="26"/>
      <c r="N145" s="26"/>
      <c r="O145" s="32"/>
      <c r="P145" s="32"/>
      <c r="Q145" s="39"/>
      <c r="R145" s="32"/>
      <c r="S145" s="32"/>
      <c r="T145" s="32"/>
      <c r="U145" s="32"/>
      <c r="V145" s="32"/>
      <c r="W145" s="32"/>
      <c r="X145" s="32"/>
      <c r="Y145" s="32"/>
      <c r="Z145" s="32"/>
    </row>
    <row r="146" spans="1:26" ht="14.25" customHeight="1">
      <c r="A146" s="33"/>
      <c r="B146" s="94" t="s">
        <v>129</v>
      </c>
      <c r="C146" s="96"/>
      <c r="D146" s="26"/>
      <c r="E146" s="26"/>
      <c r="F146" s="26"/>
      <c r="G146" s="26"/>
      <c r="H146" s="26"/>
      <c r="I146" s="26"/>
      <c r="J146" s="26"/>
      <c r="K146" s="26"/>
      <c r="L146" s="26"/>
      <c r="M146" s="26"/>
      <c r="N146" s="26"/>
      <c r="O146" s="32"/>
      <c r="P146" s="32"/>
      <c r="Q146" s="39"/>
      <c r="R146" s="32"/>
      <c r="S146" s="32"/>
      <c r="T146" s="32"/>
      <c r="U146" s="32"/>
      <c r="V146" s="32"/>
      <c r="W146" s="32"/>
      <c r="X146" s="32"/>
      <c r="Y146" s="32"/>
      <c r="Z146" s="32"/>
    </row>
    <row r="147" spans="1:26" ht="14.25" customHeight="1">
      <c r="A147" s="33"/>
      <c r="B147" s="103" t="s">
        <v>130</v>
      </c>
      <c r="C147" s="112" t="str">
        <f>'Inputs for Dashboard'!C196</f>
        <v>FY38</v>
      </c>
      <c r="D147" s="26"/>
      <c r="E147" s="26"/>
      <c r="F147" s="26"/>
      <c r="G147" s="26"/>
      <c r="H147" s="26"/>
      <c r="I147" s="26"/>
      <c r="J147" s="26"/>
      <c r="K147" s="26"/>
      <c r="L147" s="26"/>
      <c r="M147" s="26"/>
      <c r="N147" s="26"/>
      <c r="O147" s="32"/>
      <c r="P147" s="32"/>
      <c r="Q147" s="39"/>
      <c r="R147" s="32"/>
      <c r="S147" s="32"/>
      <c r="T147" s="32"/>
      <c r="U147" s="32"/>
      <c r="V147" s="32"/>
      <c r="W147" s="32"/>
      <c r="X147" s="32"/>
      <c r="Y147" s="32"/>
      <c r="Z147" s="32"/>
    </row>
    <row r="148" spans="1:26" ht="14.25" customHeight="1">
      <c r="A148" s="33"/>
      <c r="B148" s="103" t="s">
        <v>131</v>
      </c>
      <c r="C148" s="113">
        <f>'Inputs for Dashboard'!C197</f>
        <v>13901342.685076447</v>
      </c>
      <c r="D148" s="26"/>
      <c r="E148" s="26"/>
      <c r="F148" s="26"/>
      <c r="G148" s="26"/>
      <c r="H148" s="26"/>
      <c r="I148" s="26"/>
      <c r="J148" s="26"/>
      <c r="K148" s="26"/>
      <c r="L148" s="26"/>
      <c r="M148" s="26"/>
      <c r="N148" s="26"/>
      <c r="O148" s="32"/>
      <c r="P148" s="32"/>
      <c r="Q148" s="39"/>
      <c r="R148" s="32"/>
      <c r="S148" s="32"/>
      <c r="T148" s="32"/>
      <c r="U148" s="32"/>
      <c r="V148" s="32"/>
      <c r="W148" s="32"/>
      <c r="X148" s="32"/>
      <c r="Y148" s="32"/>
      <c r="Z148" s="32"/>
    </row>
    <row r="149" spans="1:26" ht="14.25" customHeight="1">
      <c r="A149" s="33"/>
      <c r="B149" s="103" t="s">
        <v>132</v>
      </c>
      <c r="C149" s="114">
        <f>'Inputs for Dashboard'!C198</f>
        <v>7</v>
      </c>
      <c r="D149" s="26"/>
      <c r="E149" s="26"/>
      <c r="F149" s="26"/>
      <c r="G149" s="26"/>
      <c r="H149" s="26"/>
      <c r="I149" s="26"/>
      <c r="J149" s="26"/>
      <c r="K149" s="26"/>
      <c r="L149" s="26"/>
      <c r="M149" s="26"/>
      <c r="N149" s="26"/>
      <c r="O149" s="32"/>
      <c r="P149" s="32"/>
      <c r="Q149" s="39"/>
      <c r="R149" s="32"/>
      <c r="S149" s="32"/>
      <c r="T149" s="32"/>
      <c r="U149" s="32"/>
      <c r="V149" s="32"/>
      <c r="W149" s="32"/>
      <c r="X149" s="32"/>
      <c r="Y149" s="32"/>
      <c r="Z149" s="32"/>
    </row>
    <row r="150" spans="1:26" ht="14.25" customHeight="1">
      <c r="A150" s="33"/>
      <c r="B150" s="103" t="s">
        <v>133</v>
      </c>
      <c r="C150" s="113">
        <f>'Inputs for Dashboard'!C199</f>
        <v>97309398.795535132</v>
      </c>
      <c r="D150" s="26"/>
      <c r="E150" s="26"/>
      <c r="F150" s="26"/>
      <c r="G150" s="26"/>
      <c r="H150" s="26"/>
      <c r="I150" s="26"/>
      <c r="J150" s="26"/>
      <c r="K150" s="26"/>
      <c r="L150" s="26"/>
      <c r="M150" s="26"/>
      <c r="N150" s="26"/>
      <c r="O150" s="32"/>
      <c r="P150" s="32"/>
      <c r="Q150" s="39"/>
      <c r="R150" s="32"/>
      <c r="S150" s="32"/>
      <c r="T150" s="32"/>
      <c r="U150" s="32"/>
      <c r="V150" s="32"/>
      <c r="W150" s="32"/>
      <c r="X150" s="32"/>
      <c r="Y150" s="32"/>
      <c r="Z150" s="32"/>
    </row>
    <row r="151" spans="1:26" ht="14.25" customHeight="1">
      <c r="A151" s="33"/>
      <c r="B151" s="115" t="s">
        <v>134</v>
      </c>
      <c r="C151" s="116">
        <f>D140</f>
        <v>0.51768718948009085</v>
      </c>
      <c r="D151" s="26"/>
      <c r="E151" s="26"/>
      <c r="F151" s="26"/>
      <c r="G151" s="26"/>
      <c r="H151" s="26"/>
      <c r="I151" s="26"/>
      <c r="J151" s="26"/>
      <c r="K151" s="26"/>
      <c r="L151" s="26"/>
      <c r="M151" s="26"/>
      <c r="N151" s="26"/>
      <c r="O151" s="32"/>
      <c r="P151" s="32"/>
      <c r="Q151" s="39"/>
      <c r="R151" s="32"/>
      <c r="S151" s="32"/>
      <c r="T151" s="32"/>
      <c r="U151" s="32"/>
      <c r="V151" s="32"/>
      <c r="W151" s="32"/>
      <c r="X151" s="32"/>
      <c r="Y151" s="32"/>
      <c r="Z151" s="32"/>
    </row>
    <row r="152" spans="1:26" ht="14.25" customHeight="1">
      <c r="A152" s="33"/>
      <c r="B152" s="26"/>
      <c r="C152" s="26"/>
      <c r="D152" s="26"/>
      <c r="E152" s="26"/>
      <c r="F152" s="26"/>
      <c r="G152" s="26"/>
      <c r="H152" s="26"/>
      <c r="I152" s="26"/>
      <c r="J152" s="26"/>
      <c r="K152" s="26"/>
      <c r="L152" s="26"/>
      <c r="M152" s="26"/>
      <c r="N152" s="26"/>
      <c r="O152" s="32"/>
      <c r="P152" s="32"/>
      <c r="Q152" s="39"/>
      <c r="R152" s="32"/>
      <c r="S152" s="32"/>
      <c r="T152" s="32"/>
      <c r="U152" s="32"/>
      <c r="V152" s="32"/>
      <c r="W152" s="32"/>
      <c r="X152" s="32"/>
      <c r="Y152" s="32"/>
      <c r="Z152" s="32"/>
    </row>
    <row r="153" spans="1:26" ht="7.5" customHeight="1">
      <c r="A153" s="33"/>
      <c r="B153" s="26"/>
      <c r="C153" s="26"/>
      <c r="D153" s="26"/>
      <c r="E153" s="26"/>
      <c r="F153" s="26"/>
      <c r="G153" s="26"/>
      <c r="H153" s="26"/>
      <c r="I153" s="26"/>
      <c r="J153" s="26"/>
      <c r="K153" s="26"/>
      <c r="L153" s="26"/>
      <c r="M153" s="26"/>
      <c r="N153" s="26"/>
      <c r="O153" s="32"/>
      <c r="P153" s="32"/>
      <c r="Q153" s="39"/>
      <c r="R153" s="32"/>
      <c r="S153" s="32"/>
      <c r="T153" s="32"/>
      <c r="U153" s="32"/>
      <c r="V153" s="32"/>
      <c r="W153" s="32"/>
      <c r="X153" s="32"/>
      <c r="Y153" s="32"/>
      <c r="Z153" s="32"/>
    </row>
    <row r="154" spans="1:26" ht="7.5" customHeight="1">
      <c r="A154" s="33"/>
      <c r="B154" s="26"/>
      <c r="C154" s="26"/>
      <c r="D154" s="26"/>
      <c r="E154" s="26"/>
      <c r="F154" s="26"/>
      <c r="G154" s="26"/>
      <c r="H154" s="26"/>
      <c r="I154" s="26"/>
      <c r="J154" s="26"/>
      <c r="K154" s="26"/>
      <c r="L154" s="26"/>
      <c r="M154" s="26"/>
      <c r="N154" s="26"/>
      <c r="O154" s="32"/>
      <c r="P154" s="32"/>
      <c r="Q154" s="39"/>
      <c r="R154" s="32"/>
      <c r="S154" s="32"/>
      <c r="T154" s="32"/>
      <c r="U154" s="32"/>
      <c r="V154" s="32"/>
      <c r="W154" s="32"/>
      <c r="X154" s="32"/>
      <c r="Y154" s="32"/>
      <c r="Z154" s="32"/>
    </row>
    <row r="155" spans="1:26" ht="21.75" customHeight="1">
      <c r="A155" s="33"/>
      <c r="B155" s="117" t="s">
        <v>135</v>
      </c>
      <c r="C155" s="118"/>
      <c r="D155" s="118"/>
      <c r="E155" s="118"/>
      <c r="F155" s="118"/>
      <c r="G155" s="118"/>
      <c r="H155" s="118"/>
      <c r="I155" s="118"/>
      <c r="J155" s="118"/>
      <c r="K155" s="118"/>
      <c r="L155" s="118"/>
      <c r="M155" s="118"/>
      <c r="N155" s="118"/>
      <c r="O155" s="32"/>
      <c r="P155" s="32"/>
      <c r="Q155" s="39"/>
      <c r="R155" s="32"/>
      <c r="S155" s="32"/>
      <c r="T155" s="32"/>
      <c r="U155" s="32"/>
      <c r="V155" s="32"/>
      <c r="W155" s="32"/>
      <c r="X155" s="32"/>
      <c r="Y155" s="32"/>
      <c r="Z155" s="32"/>
    </row>
    <row r="156" spans="1:26" ht="14.25" customHeight="1">
      <c r="A156" s="33"/>
      <c r="B156" s="119" t="str">
        <f>"• Project IRR of "&amp;TEXT('Inputs for Dashboard'!C18,"0.0%")&amp;" on unlevered basis; equity IRR of "&amp;TEXT('Inputs for Dashboard'!C20,"0.0%")&amp;" post-leverage."</f>
        <v>• Project IRR of 24.8% on unlevered basis; equity IRR of 33.3% post-leverage.</v>
      </c>
      <c r="C156" s="26"/>
      <c r="D156" s="26"/>
      <c r="E156" s="26"/>
      <c r="F156" s="26"/>
      <c r="G156" s="26"/>
      <c r="H156" s="26"/>
      <c r="I156" s="26"/>
      <c r="J156" s="26"/>
      <c r="K156" s="26"/>
      <c r="L156" s="26"/>
      <c r="M156" s="26"/>
      <c r="N156" s="26"/>
      <c r="O156" s="32"/>
      <c r="P156" s="32"/>
      <c r="Q156" s="39"/>
      <c r="R156" s="32"/>
      <c r="S156" s="32"/>
      <c r="T156" s="32"/>
      <c r="U156" s="32"/>
      <c r="V156" s="32"/>
      <c r="W156" s="32"/>
      <c r="X156" s="32"/>
      <c r="Y156" s="32"/>
      <c r="Z156" s="32"/>
    </row>
    <row r="157" spans="1:26" ht="14.25" customHeight="1">
      <c r="A157" s="33"/>
      <c r="B157" s="119" t="str">
        <f>"• Equity multiple of "&amp;TEXT('Inputs for Dashboard'!C22,"0.0")&amp;"x — $"&amp;TEXT('Inputs for Dashboard'!C21/1000000,"0.0")&amp;"M equity value against $"&amp;TEXT(('Inputs for Dashboard'!C30+'Inputs for Dashboard'!C31)/1000000,"0.0")&amp;"M invested."</f>
        <v>• Equity multiple of 17.7x — $50.1M equity value against $9.0M invested.</v>
      </c>
      <c r="C157" s="26"/>
      <c r="D157" s="26"/>
      <c r="E157" s="26"/>
      <c r="F157" s="26"/>
      <c r="G157" s="26"/>
      <c r="H157" s="26"/>
      <c r="I157" s="26"/>
      <c r="J157" s="26"/>
      <c r="K157" s="26"/>
      <c r="L157" s="26"/>
      <c r="M157" s="26"/>
      <c r="N157" s="26"/>
      <c r="O157" s="32"/>
      <c r="P157" s="32"/>
      <c r="Q157" s="39"/>
      <c r="R157" s="32"/>
      <c r="S157" s="32"/>
      <c r="T157" s="32"/>
      <c r="U157" s="32"/>
      <c r="V157" s="32"/>
      <c r="W157" s="32"/>
      <c r="X157" s="32"/>
      <c r="Y157" s="32"/>
      <c r="Z157" s="32"/>
    </row>
    <row r="158" spans="1:26" ht="14.25" customHeight="1">
      <c r="A158" s="33"/>
      <c r="B158" s="119" t="str">
        <f>"• Payback in "&amp;'Inputs for Dashboard'!C23&amp;"; debt fully amortised by FY36. Average DSCR well above 1.2x covenant."</f>
        <v>• Payback in FY30; debt fully amortised by FY36. Average DSCR well above 1.2x covenant.</v>
      </c>
      <c r="C158" s="26"/>
      <c r="D158" s="26"/>
      <c r="E158" s="26"/>
      <c r="F158" s="26"/>
      <c r="G158" s="26"/>
      <c r="H158" s="26"/>
      <c r="I158" s="26"/>
      <c r="J158" s="26"/>
      <c r="K158" s="26"/>
      <c r="L158" s="26"/>
      <c r="M158" s="26"/>
      <c r="N158" s="26"/>
      <c r="O158" s="32"/>
      <c r="P158" s="32"/>
      <c r="Q158" s="39"/>
      <c r="R158" s="32"/>
      <c r="S158" s="32"/>
      <c r="T158" s="32"/>
      <c r="U158" s="32"/>
      <c r="V158" s="32"/>
      <c r="W158" s="32"/>
      <c r="X158" s="32"/>
      <c r="Y158" s="32"/>
      <c r="Z158" s="32"/>
    </row>
    <row r="159" spans="1:26" ht="14.25" customHeight="1">
      <c r="A159" s="33"/>
      <c r="B159" s="119" t="str">
        <f>"• "&amp;TEXT(D140,"0%")&amp;" of EV comes from terminal value at "&amp;TEXT('Inputs for Dashboard'!C198,"0.0")&amp;"x EBITDA exit — sensitive to exit multiple assumption."</f>
        <v>• 52% of EV comes from terminal value at 7.0x EBITDA exit — sensitive to exit multiple assumption.</v>
      </c>
      <c r="C159" s="26"/>
      <c r="D159" s="26"/>
      <c r="E159" s="26"/>
      <c r="F159" s="26"/>
      <c r="G159" s="26"/>
      <c r="H159" s="26"/>
      <c r="I159" s="26"/>
      <c r="J159" s="26"/>
      <c r="K159" s="26"/>
      <c r="L159" s="26"/>
      <c r="M159" s="26"/>
      <c r="N159" s="26"/>
      <c r="O159" s="32"/>
      <c r="P159" s="32"/>
      <c r="Q159" s="39"/>
      <c r="R159" s="32"/>
      <c r="S159" s="32"/>
      <c r="T159" s="32"/>
      <c r="U159" s="32"/>
      <c r="V159" s="32"/>
      <c r="W159" s="32"/>
      <c r="X159" s="32"/>
      <c r="Y159" s="32"/>
      <c r="Z159" s="32"/>
    </row>
    <row r="160" spans="1:26" ht="14.25" customHeight="1">
      <c r="A160" s="33"/>
      <c r="B160" s="119" t="s">
        <v>136</v>
      </c>
      <c r="C160" s="26"/>
      <c r="D160" s="26"/>
      <c r="E160" s="26"/>
      <c r="F160" s="26"/>
      <c r="G160" s="26"/>
      <c r="H160" s="26"/>
      <c r="I160" s="26"/>
      <c r="J160" s="26"/>
      <c r="K160" s="26"/>
      <c r="L160" s="26"/>
      <c r="M160" s="26"/>
      <c r="N160" s="26"/>
      <c r="O160" s="32"/>
      <c r="P160" s="32"/>
      <c r="Q160" s="39"/>
      <c r="R160" s="32"/>
      <c r="S160" s="32"/>
      <c r="T160" s="32"/>
      <c r="U160" s="32"/>
      <c r="V160" s="32"/>
      <c r="W160" s="32"/>
      <c r="X160" s="32"/>
      <c r="Y160" s="32"/>
      <c r="Z160" s="32"/>
    </row>
    <row r="161" spans="1:26" ht="14.25" customHeight="1">
      <c r="A161" s="33"/>
      <c r="B161" s="120" t="str">
        <f>"• Active scenario: "&amp;'Inputs for Dashboard'!C9&amp;" — switch via Scenarios sheet (B4) to re-run all metrics dynamically."</f>
        <v>• Active scenario: Base — switch via Scenarios sheet (B4) to re-run all metrics dynamically.</v>
      </c>
      <c r="C161" s="26"/>
      <c r="D161" s="26"/>
      <c r="E161" s="26"/>
      <c r="F161" s="26"/>
      <c r="G161" s="26"/>
      <c r="H161" s="26"/>
      <c r="I161" s="26"/>
      <c r="J161" s="26"/>
      <c r="K161" s="26"/>
      <c r="L161" s="26"/>
      <c r="M161" s="26"/>
      <c r="N161" s="26"/>
      <c r="O161" s="32"/>
      <c r="P161" s="32"/>
      <c r="Q161" s="39"/>
      <c r="R161" s="32"/>
      <c r="S161" s="32"/>
      <c r="T161" s="32"/>
      <c r="U161" s="32"/>
      <c r="V161" s="32"/>
      <c r="W161" s="32"/>
      <c r="X161" s="32"/>
      <c r="Y161" s="32"/>
      <c r="Z161" s="32"/>
    </row>
    <row r="162" spans="1:26" ht="14.25" customHeight="1">
      <c r="A162" s="121"/>
      <c r="B162" s="122"/>
      <c r="C162" s="122"/>
      <c r="D162" s="122"/>
      <c r="E162" s="122"/>
      <c r="F162" s="122"/>
      <c r="G162" s="122"/>
      <c r="H162" s="122"/>
      <c r="I162" s="122"/>
      <c r="J162" s="122"/>
      <c r="K162" s="122"/>
      <c r="L162" s="122"/>
      <c r="M162" s="122"/>
      <c r="N162" s="122"/>
      <c r="O162" s="123"/>
      <c r="P162" s="123"/>
      <c r="Q162" s="124"/>
      <c r="R162" s="32"/>
      <c r="S162" s="32"/>
      <c r="T162" s="32"/>
      <c r="U162" s="32"/>
      <c r="V162" s="32"/>
      <c r="W162" s="32"/>
      <c r="X162" s="32"/>
      <c r="Y162" s="32"/>
      <c r="Z162" s="32"/>
    </row>
    <row r="163" spans="1:26" ht="14.25" customHeight="1">
      <c r="A163" s="125"/>
      <c r="B163" s="26"/>
      <c r="C163" s="26"/>
      <c r="D163" s="26"/>
      <c r="E163" s="26"/>
      <c r="F163" s="26"/>
      <c r="G163" s="26"/>
      <c r="H163" s="26"/>
      <c r="I163" s="26"/>
      <c r="J163" s="26"/>
      <c r="K163" s="26"/>
      <c r="L163" s="26"/>
      <c r="M163" s="26"/>
      <c r="N163" s="26"/>
      <c r="O163" s="32"/>
      <c r="P163" s="32"/>
      <c r="Q163" s="126"/>
      <c r="R163" s="32"/>
      <c r="S163" s="32"/>
      <c r="T163" s="32"/>
      <c r="U163" s="32"/>
      <c r="V163" s="32"/>
      <c r="W163" s="32"/>
      <c r="X163" s="32"/>
      <c r="Y163" s="32"/>
      <c r="Z163" s="32"/>
    </row>
    <row r="164" spans="1:26" ht="14.25" customHeight="1">
      <c r="A164" s="125"/>
      <c r="B164" s="26"/>
      <c r="C164" s="26"/>
      <c r="D164" s="26"/>
      <c r="E164" s="26"/>
      <c r="F164" s="26"/>
      <c r="G164" s="26"/>
      <c r="H164" s="26"/>
      <c r="I164" s="26"/>
      <c r="J164" s="26"/>
      <c r="K164" s="26"/>
      <c r="L164" s="26"/>
      <c r="M164" s="26"/>
      <c r="N164" s="26"/>
      <c r="O164" s="32"/>
      <c r="P164" s="32"/>
      <c r="Q164" s="126"/>
      <c r="R164" s="32"/>
      <c r="S164" s="32"/>
      <c r="T164" s="32"/>
      <c r="U164" s="32"/>
      <c r="V164" s="32"/>
      <c r="W164" s="32"/>
      <c r="X164" s="32"/>
      <c r="Y164" s="32"/>
      <c r="Z164" s="32"/>
    </row>
    <row r="165" spans="1:26" ht="14.25" customHeight="1">
      <c r="A165" s="125"/>
      <c r="B165" s="1328" t="s">
        <v>137</v>
      </c>
      <c r="C165" s="1305"/>
      <c r="D165" s="1305"/>
      <c r="E165" s="1305"/>
      <c r="F165" s="26"/>
      <c r="G165" s="26"/>
      <c r="H165" s="26"/>
      <c r="I165" s="26"/>
      <c r="J165" s="26"/>
      <c r="K165" s="26"/>
      <c r="L165" s="26"/>
      <c r="M165" s="26"/>
      <c r="N165" s="26"/>
      <c r="O165" s="26"/>
      <c r="P165" s="26"/>
      <c r="Q165" s="127"/>
      <c r="R165" s="32"/>
      <c r="S165" s="32"/>
      <c r="T165" s="32"/>
      <c r="U165" s="32"/>
      <c r="V165" s="32"/>
      <c r="W165" s="32"/>
      <c r="X165" s="32"/>
      <c r="Y165" s="32"/>
      <c r="Z165" s="32"/>
    </row>
    <row r="166" spans="1:26" ht="14.25" customHeight="1">
      <c r="A166" s="125"/>
      <c r="B166" s="1329" t="s">
        <v>138</v>
      </c>
      <c r="C166" s="1305"/>
      <c r="D166" s="1305"/>
      <c r="E166" s="1305"/>
      <c r="F166" s="1305"/>
      <c r="G166" s="1305"/>
      <c r="H166" s="26"/>
      <c r="I166" s="26"/>
      <c r="J166" s="26"/>
      <c r="K166" s="26"/>
      <c r="L166" s="26"/>
      <c r="M166" s="26"/>
      <c r="N166" s="26"/>
      <c r="O166" s="26"/>
      <c r="P166" s="26"/>
      <c r="Q166" s="127"/>
      <c r="R166" s="32"/>
      <c r="S166" s="32"/>
      <c r="T166" s="32"/>
      <c r="U166" s="32"/>
      <c r="V166" s="32"/>
      <c r="W166" s="32"/>
      <c r="X166" s="32"/>
      <c r="Y166" s="32"/>
      <c r="Z166" s="32"/>
    </row>
    <row r="167" spans="1:26" ht="14.25" customHeight="1">
      <c r="A167" s="125"/>
      <c r="B167" s="26"/>
      <c r="C167" s="26"/>
      <c r="D167" s="26"/>
      <c r="E167" s="26"/>
      <c r="F167" s="26"/>
      <c r="G167" s="26"/>
      <c r="H167" s="26"/>
      <c r="I167" s="26"/>
      <c r="J167" s="26"/>
      <c r="K167" s="26"/>
      <c r="L167" s="26"/>
      <c r="M167" s="26"/>
      <c r="N167" s="26"/>
      <c r="O167" s="26"/>
      <c r="P167" s="26"/>
      <c r="Q167" s="127"/>
      <c r="R167" s="32"/>
      <c r="S167" s="32"/>
      <c r="T167" s="32"/>
      <c r="U167" s="32"/>
      <c r="V167" s="32"/>
      <c r="W167" s="32"/>
      <c r="X167" s="32"/>
      <c r="Y167" s="32"/>
      <c r="Z167" s="32"/>
    </row>
    <row r="168" spans="1:26" ht="14.25" customHeight="1">
      <c r="A168" s="125"/>
      <c r="B168" s="1330" t="s">
        <v>139</v>
      </c>
      <c r="C168" s="1305"/>
      <c r="D168" s="1330" t="s">
        <v>140</v>
      </c>
      <c r="E168" s="1305"/>
      <c r="F168" s="1330" t="s">
        <v>141</v>
      </c>
      <c r="G168" s="1305"/>
      <c r="H168" s="1330" t="s">
        <v>142</v>
      </c>
      <c r="I168" s="1305"/>
      <c r="J168" s="1330" t="s">
        <v>143</v>
      </c>
      <c r="K168" s="1305"/>
      <c r="L168" s="26"/>
      <c r="M168" s="26"/>
      <c r="N168" s="26"/>
      <c r="O168" s="26"/>
      <c r="P168" s="26"/>
      <c r="Q168" s="127"/>
      <c r="R168" s="32"/>
      <c r="S168" s="32"/>
      <c r="T168" s="32"/>
      <c r="U168" s="32"/>
      <c r="V168" s="32"/>
      <c r="W168" s="32"/>
      <c r="X168" s="32"/>
      <c r="Y168" s="32"/>
      <c r="Z168" s="32"/>
    </row>
    <row r="169" spans="1:26" ht="17.25" customHeight="1">
      <c r="A169" s="125"/>
      <c r="B169" s="1339">
        <f>'Inputs for Dashboard'!Q249</f>
        <v>22496298.09</v>
      </c>
      <c r="C169" s="1305"/>
      <c r="D169" s="1339">
        <f>'Inputs for Dashboard'!Q247</f>
        <v>8970383.0899999999</v>
      </c>
      <c r="E169" s="1305"/>
      <c r="F169" s="1339">
        <f>'Inputs for Dashboard'!Q248+'Inputs for Dashboard'!Q242+'Inputs for Dashboard'!Q243</f>
        <v>13525915</v>
      </c>
      <c r="G169" s="1305"/>
      <c r="H169" s="1332">
        <f>D169/B169</f>
        <v>0.398749298845195</v>
      </c>
      <c r="I169" s="1305"/>
      <c r="J169" s="1332">
        <f>F169/B169</f>
        <v>0.60125070115480495</v>
      </c>
      <c r="K169" s="1305"/>
      <c r="L169" s="26"/>
      <c r="M169" s="26"/>
      <c r="N169" s="26"/>
      <c r="O169" s="26"/>
      <c r="P169" s="26"/>
      <c r="Q169" s="127"/>
      <c r="R169" s="32"/>
      <c r="S169" s="32"/>
      <c r="T169" s="32"/>
      <c r="U169" s="32"/>
      <c r="V169" s="32"/>
      <c r="W169" s="32"/>
      <c r="X169" s="32"/>
      <c r="Y169" s="32"/>
      <c r="Z169" s="32"/>
    </row>
    <row r="170" spans="1:26" ht="14.25" customHeight="1">
      <c r="A170" s="125"/>
      <c r="B170" s="26"/>
      <c r="C170" s="26"/>
      <c r="D170" s="26"/>
      <c r="E170" s="26"/>
      <c r="F170" s="26"/>
      <c r="G170" s="26"/>
      <c r="H170" s="26"/>
      <c r="I170" s="26"/>
      <c r="J170" s="26"/>
      <c r="K170" s="26"/>
      <c r="L170" s="26"/>
      <c r="M170" s="26"/>
      <c r="N170" s="26"/>
      <c r="O170" s="26"/>
      <c r="P170" s="26"/>
      <c r="Q170" s="127"/>
      <c r="R170" s="32"/>
      <c r="S170" s="32"/>
      <c r="T170" s="32"/>
      <c r="U170" s="32"/>
      <c r="V170" s="32"/>
      <c r="W170" s="32"/>
      <c r="X170" s="32"/>
      <c r="Y170" s="32"/>
      <c r="Z170" s="32"/>
    </row>
    <row r="171" spans="1:26" ht="14.25" customHeight="1">
      <c r="A171" s="125"/>
      <c r="B171" s="1323" t="s">
        <v>144</v>
      </c>
      <c r="C171" s="1305"/>
      <c r="D171" s="1323" t="s">
        <v>145</v>
      </c>
      <c r="E171" s="1305"/>
      <c r="F171" s="1323" t="s">
        <v>146</v>
      </c>
      <c r="G171" s="1305"/>
      <c r="H171" s="1323" t="s">
        <v>147</v>
      </c>
      <c r="I171" s="1305"/>
      <c r="J171" s="1323" t="s">
        <v>148</v>
      </c>
      <c r="K171" s="1305"/>
      <c r="L171" s="26"/>
      <c r="M171" s="26"/>
      <c r="N171" s="26"/>
      <c r="O171" s="26"/>
      <c r="P171" s="26"/>
      <c r="Q171" s="127"/>
      <c r="R171" s="32"/>
      <c r="S171" s="32"/>
      <c r="T171" s="32"/>
      <c r="U171" s="32"/>
      <c r="V171" s="32"/>
      <c r="W171" s="32"/>
      <c r="X171" s="32"/>
      <c r="Y171" s="32"/>
      <c r="Z171" s="32"/>
    </row>
    <row r="172" spans="1:26" ht="14.25" customHeight="1">
      <c r="A172" s="125"/>
      <c r="B172" s="26"/>
      <c r="C172" s="26"/>
      <c r="D172" s="26"/>
      <c r="E172" s="26"/>
      <c r="F172" s="26"/>
      <c r="G172" s="26"/>
      <c r="H172" s="26"/>
      <c r="I172" s="26"/>
      <c r="J172" s="26"/>
      <c r="K172" s="26"/>
      <c r="L172" s="26"/>
      <c r="M172" s="26"/>
      <c r="N172" s="26"/>
      <c r="O172" s="26"/>
      <c r="P172" s="26"/>
      <c r="Q172" s="127"/>
      <c r="R172" s="32"/>
      <c r="S172" s="32"/>
      <c r="T172" s="32"/>
      <c r="U172" s="32"/>
      <c r="V172" s="32"/>
      <c r="W172" s="32"/>
      <c r="X172" s="32"/>
      <c r="Y172" s="32"/>
      <c r="Z172" s="32"/>
    </row>
    <row r="173" spans="1:26" ht="14.25" customHeight="1">
      <c r="A173" s="125"/>
      <c r="B173" s="128" t="s">
        <v>149</v>
      </c>
      <c r="C173" s="128" t="s">
        <v>150</v>
      </c>
      <c r="D173" s="128" t="s">
        <v>151</v>
      </c>
      <c r="E173" s="128" t="s">
        <v>152</v>
      </c>
      <c r="F173" s="128" t="s">
        <v>153</v>
      </c>
      <c r="G173" s="128" t="s">
        <v>154</v>
      </c>
      <c r="H173" s="128" t="s">
        <v>155</v>
      </c>
      <c r="I173" s="128" t="s">
        <v>156</v>
      </c>
      <c r="J173" s="26"/>
      <c r="K173" s="26"/>
      <c r="L173" s="26"/>
      <c r="M173" s="26"/>
      <c r="N173" s="26"/>
      <c r="O173" s="26"/>
      <c r="Q173" s="127"/>
      <c r="R173" s="32"/>
      <c r="S173" s="32"/>
      <c r="T173" s="32"/>
      <c r="U173" s="32"/>
      <c r="V173" s="32"/>
      <c r="W173" s="32"/>
      <c r="X173" s="32"/>
      <c r="Y173" s="32"/>
      <c r="Z173" s="32"/>
    </row>
    <row r="174" spans="1:26" ht="14.25" customHeight="1">
      <c r="A174" s="125"/>
      <c r="B174" s="129" t="s">
        <v>157</v>
      </c>
      <c r="C174" s="130">
        <f>'Inputs for Dashboard'!C235</f>
        <v>0</v>
      </c>
      <c r="D174" s="130">
        <f>'Inputs for Dashboard'!D235</f>
        <v>0</v>
      </c>
      <c r="E174" s="130">
        <f>'Inputs for Dashboard'!E235+'Inputs for Dashboard'!Q251</f>
        <v>22496298.09</v>
      </c>
      <c r="F174" s="130">
        <f>'Inputs for Dashboard'!F235</f>
        <v>0</v>
      </c>
      <c r="G174" s="130">
        <f>'Inputs for Dashboard'!G235</f>
        <v>0</v>
      </c>
      <c r="H174" s="130">
        <f>'Inputs for Dashboard'!H235</f>
        <v>0</v>
      </c>
      <c r="I174" s="131">
        <f t="shared" ref="I174:I176" si="2">SUM(C174:H174)</f>
        <v>22496298.09</v>
      </c>
      <c r="J174" s="26"/>
      <c r="K174" s="26"/>
      <c r="L174" s="26"/>
      <c r="M174" s="26"/>
      <c r="N174" s="26"/>
      <c r="O174" s="26"/>
      <c r="Q174" s="127"/>
      <c r="R174" s="32"/>
      <c r="S174" s="32"/>
      <c r="T174" s="32"/>
      <c r="U174" s="32"/>
      <c r="V174" s="32"/>
      <c r="W174" s="32"/>
      <c r="X174" s="32"/>
      <c r="Y174" s="32"/>
      <c r="Z174" s="32"/>
    </row>
    <row r="175" spans="1:26" ht="14.25" customHeight="1">
      <c r="A175" s="125"/>
      <c r="B175" s="132" t="s">
        <v>158</v>
      </c>
      <c r="C175" s="133">
        <f>'Inputs for Dashboard'!C240</f>
        <v>0</v>
      </c>
      <c r="D175" s="133">
        <f>'Inputs for Dashboard'!D240</f>
        <v>0</v>
      </c>
      <c r="E175" s="133">
        <f>'Inputs for Dashboard'!E240</f>
        <v>8970383.0899999999</v>
      </c>
      <c r="F175" s="133">
        <f>'Inputs for Dashboard'!F240</f>
        <v>0</v>
      </c>
      <c r="G175" s="133">
        <f>'Inputs for Dashboard'!G240</f>
        <v>0</v>
      </c>
      <c r="H175" s="133">
        <f>'Inputs for Dashboard'!H240</f>
        <v>0</v>
      </c>
      <c r="I175" s="134">
        <f t="shared" si="2"/>
        <v>8970383.0899999999</v>
      </c>
      <c r="J175" s="26"/>
      <c r="K175" s="26"/>
      <c r="L175" s="26"/>
      <c r="M175" s="26"/>
      <c r="N175" s="26"/>
      <c r="O175" s="26"/>
      <c r="Q175" s="127"/>
      <c r="R175" s="32"/>
      <c r="S175" s="32"/>
      <c r="T175" s="32"/>
      <c r="U175" s="32"/>
      <c r="V175" s="32"/>
      <c r="W175" s="32"/>
      <c r="X175" s="32"/>
      <c r="Y175" s="32"/>
      <c r="Z175" s="32"/>
    </row>
    <row r="176" spans="1:26" ht="14.25" customHeight="1">
      <c r="A176" s="125"/>
      <c r="B176" s="129" t="s">
        <v>159</v>
      </c>
      <c r="C176" s="130">
        <f>'Inputs for Dashboard'!C241</f>
        <v>0</v>
      </c>
      <c r="D176" s="130">
        <f>'Inputs for Dashboard'!D241</f>
        <v>0</v>
      </c>
      <c r="E176" s="130">
        <f>'Inputs for Dashboard'!E241</f>
        <v>11856915</v>
      </c>
      <c r="F176" s="130">
        <f>'Inputs for Dashboard'!F241</f>
        <v>0</v>
      </c>
      <c r="G176" s="130">
        <f>'Inputs for Dashboard'!G241</f>
        <v>0</v>
      </c>
      <c r="H176" s="130">
        <f>'Inputs for Dashboard'!H241</f>
        <v>0</v>
      </c>
      <c r="I176" s="131">
        <f t="shared" si="2"/>
        <v>11856915</v>
      </c>
      <c r="J176" s="26"/>
      <c r="K176" s="26"/>
      <c r="L176" s="26"/>
      <c r="M176" s="26"/>
      <c r="N176" s="26"/>
      <c r="O176" s="26"/>
      <c r="Q176" s="127"/>
      <c r="R176" s="32"/>
      <c r="S176" s="32"/>
      <c r="T176" s="32"/>
      <c r="U176" s="32"/>
      <c r="V176" s="32"/>
      <c r="W176" s="32"/>
      <c r="X176" s="32"/>
      <c r="Y176" s="32"/>
      <c r="Z176" s="32"/>
    </row>
    <row r="177" spans="1:26" ht="14.25" customHeight="1">
      <c r="A177" s="125"/>
      <c r="B177" s="132" t="s">
        <v>160</v>
      </c>
      <c r="C177" s="133">
        <f>'Inputs for Dashboard'!C249</f>
        <v>0</v>
      </c>
      <c r="D177" s="133">
        <f>'Inputs for Dashboard'!D249</f>
        <v>0</v>
      </c>
      <c r="E177" s="133">
        <f>'Inputs for Dashboard'!E249</f>
        <v>22496298.09</v>
      </c>
      <c r="F177" s="133">
        <f>'Inputs for Dashboard'!F249</f>
        <v>22496298.09</v>
      </c>
      <c r="G177" s="133">
        <f>'Inputs for Dashboard'!G249</f>
        <v>22496298.09</v>
      </c>
      <c r="H177" s="133">
        <f>'Inputs for Dashboard'!H249</f>
        <v>22496298.09</v>
      </c>
      <c r="I177" s="134">
        <f>H177</f>
        <v>22496298.09</v>
      </c>
      <c r="J177" s="26"/>
      <c r="K177" s="26"/>
      <c r="L177" s="26"/>
      <c r="M177" s="26"/>
      <c r="N177" s="26"/>
      <c r="O177" s="26"/>
      <c r="Q177" s="127"/>
      <c r="R177" s="32"/>
      <c r="S177" s="32"/>
      <c r="T177" s="32"/>
      <c r="U177" s="32"/>
      <c r="V177" s="32"/>
      <c r="W177" s="32"/>
      <c r="X177" s="32"/>
      <c r="Y177" s="32"/>
      <c r="Z177" s="32"/>
    </row>
    <row r="178" spans="1:26" ht="14.25" customHeight="1">
      <c r="A178" s="125"/>
      <c r="B178" s="26"/>
      <c r="C178" s="26"/>
      <c r="D178" s="26"/>
      <c r="E178" s="26"/>
      <c r="F178" s="26"/>
      <c r="G178" s="26"/>
      <c r="H178" s="26"/>
      <c r="I178" s="26"/>
      <c r="J178" s="26"/>
      <c r="K178" s="26"/>
      <c r="L178" s="26"/>
      <c r="M178" s="26"/>
      <c r="N178" s="26"/>
      <c r="O178" s="26"/>
      <c r="P178" s="26"/>
      <c r="Q178" s="127"/>
      <c r="R178" s="32"/>
      <c r="S178" s="32"/>
      <c r="T178" s="32"/>
      <c r="U178" s="32"/>
      <c r="V178" s="32"/>
      <c r="W178" s="32"/>
      <c r="X178" s="32"/>
      <c r="Y178" s="32"/>
      <c r="Z178" s="32"/>
    </row>
    <row r="179" spans="1:26" ht="14.25" customHeight="1">
      <c r="A179" s="135"/>
      <c r="B179" s="1335" t="s">
        <v>161</v>
      </c>
      <c r="C179" s="1336"/>
      <c r="D179" s="1336"/>
      <c r="E179" s="1336"/>
      <c r="F179" s="1336"/>
      <c r="G179" s="1336"/>
      <c r="H179" s="1336"/>
      <c r="I179" s="1336"/>
      <c r="J179" s="1336"/>
      <c r="K179" s="1336"/>
      <c r="L179" s="1336"/>
      <c r="M179" s="1336"/>
      <c r="N179" s="1336"/>
      <c r="O179" s="1336"/>
      <c r="P179" s="1336"/>
      <c r="Q179" s="136"/>
      <c r="R179" s="32"/>
      <c r="S179" s="32"/>
      <c r="T179" s="32"/>
      <c r="U179" s="32"/>
      <c r="V179" s="32"/>
      <c r="W179" s="32"/>
      <c r="X179" s="32"/>
      <c r="Y179" s="32"/>
      <c r="Z179" s="32"/>
    </row>
    <row r="180" spans="1:26" ht="14.25" customHeight="1">
      <c r="A180" s="121"/>
      <c r="B180" s="122"/>
      <c r="C180" s="122"/>
      <c r="D180" s="122"/>
      <c r="E180" s="122"/>
      <c r="F180" s="122"/>
      <c r="G180" s="122"/>
      <c r="H180" s="122"/>
      <c r="I180" s="122"/>
      <c r="J180" s="122"/>
      <c r="K180" s="122"/>
      <c r="L180" s="122"/>
      <c r="M180" s="122"/>
      <c r="N180" s="122"/>
      <c r="O180" s="122"/>
      <c r="P180" s="122"/>
      <c r="Q180" s="124"/>
      <c r="R180" s="32"/>
      <c r="S180" s="32"/>
      <c r="T180" s="32"/>
      <c r="U180" s="32"/>
      <c r="V180" s="32"/>
      <c r="W180" s="32"/>
      <c r="X180" s="32"/>
      <c r="Y180" s="32"/>
      <c r="Z180" s="32"/>
    </row>
    <row r="181" spans="1:26" ht="14.25" customHeight="1">
      <c r="A181" s="125"/>
      <c r="B181" s="1328" t="s">
        <v>162</v>
      </c>
      <c r="C181" s="1305"/>
      <c r="D181" s="1305"/>
      <c r="E181" s="1305"/>
      <c r="F181" s="26"/>
      <c r="G181" s="26"/>
      <c r="H181" s="26"/>
      <c r="I181" s="26"/>
      <c r="J181" s="26"/>
      <c r="K181" s="26"/>
      <c r="L181" s="26"/>
      <c r="M181" s="26"/>
      <c r="N181" s="26"/>
      <c r="O181" s="26"/>
      <c r="P181" s="26"/>
      <c r="Q181" s="126"/>
      <c r="R181" s="32"/>
      <c r="S181" s="32"/>
      <c r="T181" s="32"/>
      <c r="U181" s="32"/>
      <c r="V181" s="32"/>
      <c r="W181" s="32"/>
      <c r="X181" s="32"/>
      <c r="Y181" s="32"/>
      <c r="Z181" s="32"/>
    </row>
    <row r="182" spans="1:26" ht="14.25" customHeight="1">
      <c r="A182" s="125"/>
      <c r="B182" s="1329" t="s">
        <v>163</v>
      </c>
      <c r="C182" s="1305"/>
      <c r="D182" s="1305"/>
      <c r="E182" s="1305"/>
      <c r="F182" s="1305"/>
      <c r="G182" s="1305"/>
      <c r="H182" s="26"/>
      <c r="I182" s="26"/>
      <c r="J182" s="26"/>
      <c r="K182" s="26"/>
      <c r="L182" s="26"/>
      <c r="M182" s="26"/>
      <c r="N182" s="26"/>
      <c r="O182" s="26"/>
      <c r="P182" s="26"/>
      <c r="Q182" s="126"/>
      <c r="R182" s="32"/>
      <c r="S182" s="32"/>
      <c r="T182" s="32"/>
      <c r="U182" s="32"/>
      <c r="V182" s="32"/>
      <c r="W182" s="32"/>
      <c r="X182" s="32"/>
      <c r="Y182" s="32"/>
      <c r="Z182" s="32"/>
    </row>
    <row r="183" spans="1:26" ht="14.25" customHeight="1">
      <c r="A183" s="125"/>
      <c r="B183" s="26"/>
      <c r="C183" s="26"/>
      <c r="D183" s="26"/>
      <c r="E183" s="26"/>
      <c r="F183" s="26"/>
      <c r="G183" s="26"/>
      <c r="H183" s="26"/>
      <c r="I183" s="26"/>
      <c r="J183" s="26"/>
      <c r="K183" s="26"/>
      <c r="L183" s="26"/>
      <c r="M183" s="26"/>
      <c r="N183" s="26"/>
      <c r="O183" s="26"/>
      <c r="P183" s="26"/>
      <c r="Q183" s="127"/>
      <c r="R183" s="26"/>
      <c r="S183" s="26"/>
      <c r="T183" s="26"/>
      <c r="U183" s="26"/>
      <c r="V183" s="26"/>
      <c r="W183" s="26"/>
      <c r="X183" s="26"/>
      <c r="Y183" s="26"/>
      <c r="Z183" s="26"/>
    </row>
    <row r="184" spans="1:26" ht="14.25" customHeight="1">
      <c r="A184" s="125"/>
      <c r="B184" s="1331" t="s">
        <v>164</v>
      </c>
      <c r="C184" s="1305"/>
      <c r="D184" s="1305"/>
      <c r="E184" s="26"/>
      <c r="F184" s="26"/>
      <c r="G184" s="26"/>
      <c r="H184" s="26"/>
      <c r="I184" s="26"/>
      <c r="J184" s="26"/>
      <c r="K184" s="26"/>
      <c r="L184" s="26"/>
      <c r="M184" s="26"/>
      <c r="N184" s="26"/>
      <c r="O184" s="26"/>
      <c r="P184" s="26"/>
      <c r="Q184" s="127"/>
      <c r="R184" s="26"/>
      <c r="S184" s="26"/>
      <c r="T184" s="26"/>
      <c r="U184" s="26"/>
      <c r="V184" s="26"/>
      <c r="W184" s="26"/>
      <c r="X184" s="26"/>
      <c r="Y184" s="26"/>
      <c r="Z184" s="26"/>
    </row>
    <row r="185" spans="1:26" ht="14.25" customHeight="1">
      <c r="A185" s="125"/>
      <c r="B185" s="1330" t="s">
        <v>165</v>
      </c>
      <c r="C185" s="1305"/>
      <c r="D185" s="1330" t="s">
        <v>166</v>
      </c>
      <c r="E185" s="1305"/>
      <c r="F185" s="1330" t="s">
        <v>167</v>
      </c>
      <c r="G185" s="1305"/>
      <c r="H185" s="1330" t="s">
        <v>168</v>
      </c>
      <c r="I185" s="1305"/>
      <c r="J185" s="1330" t="s">
        <v>169</v>
      </c>
      <c r="K185" s="1305"/>
      <c r="L185" s="26"/>
      <c r="M185" s="26"/>
      <c r="N185" s="26"/>
      <c r="O185" s="26"/>
      <c r="P185" s="26"/>
      <c r="Q185" s="127"/>
      <c r="R185" s="26"/>
      <c r="S185" s="26"/>
      <c r="T185" s="26"/>
      <c r="U185" s="26"/>
      <c r="V185" s="26"/>
      <c r="W185" s="26"/>
      <c r="X185" s="26"/>
      <c r="Y185" s="26"/>
      <c r="Z185" s="26"/>
    </row>
    <row r="186" spans="1:26" ht="21" customHeight="1">
      <c r="A186" s="125"/>
      <c r="B186" s="1332">
        <f>Dashboard!J56</f>
        <v>0.54361595301868237</v>
      </c>
      <c r="C186" s="1305"/>
      <c r="D186" s="1332">
        <f>Dashboard!J54</f>
        <v>0.87856187635919314</v>
      </c>
      <c r="E186" s="1305"/>
      <c r="F186" s="1332">
        <f>Dashboard!J58</f>
        <v>0.35348386548710919</v>
      </c>
      <c r="G186" s="1305"/>
      <c r="H186" s="1333">
        <f>Dashboard!J77</f>
        <v>146965.4700317778</v>
      </c>
      <c r="I186" s="1305"/>
      <c r="J186" s="1333">
        <f>Dashboard!J78</f>
        <v>79892.774052163484</v>
      </c>
      <c r="K186" s="1305"/>
      <c r="L186" s="26"/>
      <c r="M186" s="26"/>
      <c r="N186" s="26"/>
      <c r="O186" s="26"/>
      <c r="P186" s="26"/>
      <c r="Q186" s="127"/>
      <c r="R186" s="26"/>
      <c r="S186" s="26"/>
      <c r="T186" s="26"/>
      <c r="U186" s="26"/>
      <c r="V186" s="26"/>
      <c r="W186" s="26"/>
      <c r="X186" s="26"/>
      <c r="Y186" s="26"/>
      <c r="Z186" s="26"/>
    </row>
    <row r="187" spans="1:26" ht="14.25" customHeight="1">
      <c r="A187" s="125"/>
      <c r="B187" s="26"/>
      <c r="C187" s="26"/>
      <c r="D187" s="26"/>
      <c r="E187" s="26"/>
      <c r="F187" s="26"/>
      <c r="G187" s="26"/>
      <c r="H187" s="26"/>
      <c r="I187" s="26"/>
      <c r="J187" s="26"/>
      <c r="K187" s="26"/>
      <c r="L187" s="26"/>
      <c r="M187" s="26"/>
      <c r="N187" s="26"/>
      <c r="O187" s="26"/>
      <c r="P187" s="26"/>
      <c r="Q187" s="127"/>
      <c r="R187" s="26"/>
      <c r="S187" s="26"/>
      <c r="T187" s="26"/>
      <c r="U187" s="26"/>
      <c r="V187" s="26"/>
      <c r="W187" s="26"/>
      <c r="X187" s="26"/>
      <c r="Y187" s="26"/>
      <c r="Z187" s="26"/>
    </row>
    <row r="188" spans="1:26" ht="14.25" customHeight="1">
      <c r="A188" s="125"/>
      <c r="B188" s="1323" t="s">
        <v>170</v>
      </c>
      <c r="C188" s="1305"/>
      <c r="D188" s="1323" t="s">
        <v>171</v>
      </c>
      <c r="E188" s="1305"/>
      <c r="F188" s="1323" t="s">
        <v>172</v>
      </c>
      <c r="G188" s="1305"/>
      <c r="H188" s="1323" t="s">
        <v>173</v>
      </c>
      <c r="I188" s="1305"/>
      <c r="J188" s="1323" t="s">
        <v>174</v>
      </c>
      <c r="K188" s="1305"/>
      <c r="L188" s="26"/>
      <c r="M188" s="26"/>
      <c r="N188" s="26"/>
      <c r="O188" s="26"/>
      <c r="P188" s="26"/>
      <c r="Q188" s="127"/>
      <c r="R188" s="26"/>
      <c r="S188" s="26"/>
      <c r="T188" s="26"/>
      <c r="U188" s="26"/>
      <c r="V188" s="26"/>
      <c r="W188" s="26"/>
      <c r="X188" s="26"/>
      <c r="Y188" s="26"/>
      <c r="Z188" s="26"/>
    </row>
    <row r="189" spans="1:26" ht="14.25" customHeight="1">
      <c r="A189" s="125"/>
      <c r="B189" s="26"/>
      <c r="C189" s="26"/>
      <c r="D189" s="26"/>
      <c r="E189" s="26"/>
      <c r="F189" s="26"/>
      <c r="G189" s="26"/>
      <c r="H189" s="26"/>
      <c r="I189" s="26"/>
      <c r="J189" s="26"/>
      <c r="K189" s="26"/>
      <c r="L189" s="26"/>
      <c r="M189" s="26"/>
      <c r="N189" s="26"/>
      <c r="O189" s="26"/>
      <c r="P189" s="26"/>
      <c r="Q189" s="127"/>
      <c r="R189" s="26"/>
      <c r="S189" s="26"/>
      <c r="T189" s="26"/>
      <c r="U189" s="26"/>
      <c r="V189" s="26"/>
      <c r="W189" s="26"/>
      <c r="X189" s="26"/>
      <c r="Y189" s="26"/>
      <c r="Z189" s="26"/>
    </row>
    <row r="190" spans="1:26" ht="14.25" customHeight="1">
      <c r="A190" s="125"/>
      <c r="B190" s="1334" t="s">
        <v>175</v>
      </c>
      <c r="C190" s="1305"/>
      <c r="D190" s="1305"/>
      <c r="E190" s="26"/>
      <c r="F190" s="26"/>
      <c r="G190" s="26"/>
      <c r="H190" s="26"/>
      <c r="I190" s="26"/>
      <c r="J190" s="26"/>
      <c r="K190" s="26"/>
      <c r="L190" s="26"/>
      <c r="M190" s="26"/>
      <c r="N190" s="26"/>
      <c r="O190" s="26"/>
      <c r="P190" s="26"/>
      <c r="Q190" s="127"/>
      <c r="R190" s="26"/>
      <c r="S190" s="26"/>
      <c r="T190" s="26"/>
      <c r="U190" s="26"/>
      <c r="V190" s="26"/>
      <c r="W190" s="26"/>
      <c r="X190" s="26"/>
      <c r="Y190" s="26"/>
      <c r="Z190" s="26"/>
    </row>
    <row r="191" spans="1:26" ht="14.25" customHeight="1">
      <c r="A191" s="125"/>
      <c r="B191" s="1330" t="s">
        <v>176</v>
      </c>
      <c r="C191" s="1305"/>
      <c r="D191" s="1330" t="s">
        <v>177</v>
      </c>
      <c r="E191" s="1305"/>
      <c r="F191" s="1330" t="s">
        <v>178</v>
      </c>
      <c r="G191" s="1305"/>
      <c r="H191" s="1330" t="s">
        <v>179</v>
      </c>
      <c r="I191" s="1305"/>
      <c r="J191" s="1330" t="s">
        <v>180</v>
      </c>
      <c r="K191" s="1305"/>
      <c r="L191" s="26"/>
      <c r="M191" s="26"/>
      <c r="N191" s="26"/>
      <c r="O191" s="26"/>
      <c r="P191" s="26"/>
      <c r="Q191" s="127"/>
      <c r="R191" s="26"/>
      <c r="S191" s="26"/>
      <c r="T191" s="26"/>
      <c r="U191" s="26"/>
      <c r="V191" s="26"/>
      <c r="W191" s="26"/>
      <c r="X191" s="26"/>
      <c r="Y191" s="26"/>
      <c r="Z191" s="26"/>
    </row>
    <row r="192" spans="1:26" ht="14.25" customHeight="1">
      <c r="A192" s="125"/>
      <c r="B192" s="1337">
        <f>Dashboard!G76</f>
        <v>3.0466904338978202</v>
      </c>
      <c r="C192" s="1305"/>
      <c r="D192" s="1337">
        <f>Dashboard!G78</f>
        <v>9.7508767218690213</v>
      </c>
      <c r="E192" s="1305"/>
      <c r="F192" s="1338">
        <f>Dashboard!J75</f>
        <v>174</v>
      </c>
      <c r="G192" s="1305"/>
      <c r="H192" s="1339" t="str">
        <f>Dashboard!P48</f>
        <v>FY32</v>
      </c>
      <c r="I192" s="1305"/>
      <c r="J192" s="1340" t="str">
        <f>IF(MONTH('Construction Timeline'!C200)&gt;=7,"FY"&amp;TEXT(YEAR('Construction Timeline'!C200)-1999,"00"),"FY"&amp;TEXT(YEAR('Construction Timeline'!C200)-2000,"00"))</f>
        <v>FY28</v>
      </c>
      <c r="K192" s="1305"/>
      <c r="L192" s="26"/>
      <c r="M192" s="26"/>
      <c r="N192" s="26"/>
      <c r="O192" s="26"/>
      <c r="P192" s="26"/>
      <c r="Q192" s="127"/>
      <c r="R192" s="26"/>
      <c r="S192" s="26"/>
      <c r="T192" s="26"/>
      <c r="U192" s="26"/>
      <c r="V192" s="26"/>
      <c r="W192" s="26"/>
      <c r="X192" s="26"/>
      <c r="Y192" s="26"/>
      <c r="Z192" s="26"/>
    </row>
    <row r="193" spans="1:26" ht="14.25" customHeight="1">
      <c r="A193" s="125"/>
      <c r="B193" s="26"/>
      <c r="C193" s="26"/>
      <c r="D193" s="26"/>
      <c r="E193" s="26"/>
      <c r="F193" s="26"/>
      <c r="G193" s="26"/>
      <c r="H193" s="26"/>
      <c r="I193" s="26"/>
      <c r="J193" s="26"/>
      <c r="K193" s="26"/>
      <c r="L193" s="26"/>
      <c r="M193" s="26"/>
      <c r="N193" s="26"/>
      <c r="O193" s="26"/>
      <c r="P193" s="26"/>
      <c r="Q193" s="127"/>
      <c r="R193" s="26"/>
      <c r="S193" s="26"/>
      <c r="T193" s="26"/>
      <c r="U193" s="26"/>
      <c r="V193" s="26"/>
      <c r="W193" s="26"/>
      <c r="X193" s="26"/>
      <c r="Y193" s="26"/>
      <c r="Z193" s="26"/>
    </row>
    <row r="194" spans="1:26" ht="14.25" customHeight="1">
      <c r="A194" s="125"/>
      <c r="B194" s="1323" t="s">
        <v>181</v>
      </c>
      <c r="C194" s="1305"/>
      <c r="D194" s="1323" t="s">
        <v>182</v>
      </c>
      <c r="E194" s="1305"/>
      <c r="F194" s="1323" t="s">
        <v>183</v>
      </c>
      <c r="G194" s="1305"/>
      <c r="H194" s="1323" t="s">
        <v>184</v>
      </c>
      <c r="I194" s="1305"/>
      <c r="J194" s="1323" t="s">
        <v>185</v>
      </c>
      <c r="K194" s="1305"/>
      <c r="L194" s="26"/>
      <c r="M194" s="26"/>
      <c r="N194" s="26"/>
      <c r="O194" s="26"/>
      <c r="P194" s="26"/>
      <c r="Q194" s="127"/>
      <c r="R194" s="26"/>
      <c r="S194" s="26"/>
      <c r="T194" s="26"/>
      <c r="U194" s="26"/>
      <c r="V194" s="26"/>
      <c r="W194" s="26"/>
      <c r="X194" s="26"/>
      <c r="Y194" s="26"/>
      <c r="Z194" s="26"/>
    </row>
    <row r="195" spans="1:26" ht="14.25" customHeight="1">
      <c r="A195" s="125"/>
      <c r="B195" s="26"/>
      <c r="C195" s="26"/>
      <c r="D195" s="26"/>
      <c r="E195" s="26"/>
      <c r="F195" s="26"/>
      <c r="G195" s="26"/>
      <c r="H195" s="26"/>
      <c r="I195" s="26"/>
      <c r="J195" s="26"/>
      <c r="K195" s="26"/>
      <c r="L195" s="26"/>
      <c r="M195" s="26"/>
      <c r="N195" s="26"/>
      <c r="O195" s="26"/>
      <c r="P195" s="26"/>
      <c r="Q195" s="127"/>
      <c r="R195" s="26"/>
      <c r="S195" s="26"/>
      <c r="T195" s="26"/>
      <c r="U195" s="26"/>
      <c r="V195" s="26"/>
      <c r="W195" s="26"/>
      <c r="X195" s="26"/>
      <c r="Y195" s="26"/>
      <c r="Z195" s="26"/>
    </row>
    <row r="196" spans="1:26" ht="14.25" customHeight="1">
      <c r="A196" s="135"/>
      <c r="B196" s="1335" t="s">
        <v>186</v>
      </c>
      <c r="C196" s="1336"/>
      <c r="D196" s="1336"/>
      <c r="E196" s="1336"/>
      <c r="F196" s="1336"/>
      <c r="G196" s="1336"/>
      <c r="H196" s="1336"/>
      <c r="I196" s="1336"/>
      <c r="J196" s="1336"/>
      <c r="K196" s="1336"/>
      <c r="L196" s="1336"/>
      <c r="M196" s="1336"/>
      <c r="N196" s="1336"/>
      <c r="O196" s="1336"/>
      <c r="P196" s="1336"/>
      <c r="Q196" s="136"/>
      <c r="R196" s="26"/>
      <c r="S196" s="26"/>
      <c r="T196" s="26"/>
      <c r="U196" s="26"/>
      <c r="V196" s="26"/>
      <c r="W196" s="26"/>
      <c r="X196" s="26"/>
      <c r="Y196" s="26"/>
      <c r="Z196" s="26"/>
    </row>
    <row r="197" spans="1:26" ht="14.2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spans="1:26" ht="14.2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spans="1:26" ht="14.2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spans="1:26" ht="14.2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spans="1:26" ht="14.2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spans="1:26" ht="14.2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spans="1:26" ht="14.2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spans="1:26" ht="14.2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spans="1:26" ht="14.2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spans="1:26" ht="14.2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spans="1:26" ht="14.2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spans="1:26" ht="14.2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spans="1:26" ht="14.2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spans="1:26" ht="14.2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spans="1:26" ht="14.2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spans="1:26" ht="14.2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spans="1:26" ht="14.2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spans="1:26" ht="14.2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spans="1:26" ht="14.2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spans="1:26" ht="14.2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spans="1:26" ht="14.2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spans="1:26" ht="14.2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spans="1:26" ht="14.2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spans="1:26" ht="14.2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spans="1:26" ht="14.2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spans="1:26" ht="14.2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spans="1:26" ht="14.2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spans="1:26" ht="14.2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spans="1:26" ht="14.2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spans="1:26" ht="14.2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spans="1:26" ht="14.2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spans="1:26" ht="14.2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spans="1:26" ht="14.2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spans="1:26" ht="14.2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spans="1:26" ht="14.2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spans="1:26" ht="14.2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spans="1:26" ht="14.2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spans="1:26" ht="14.2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spans="1:26" ht="14.2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spans="1:26" ht="14.2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spans="1:26" ht="14.2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spans="1:26" ht="14.2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spans="1:26" ht="14.2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spans="1:26" ht="14.2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spans="1:26" ht="14.2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spans="1:26" ht="14.2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spans="1:26" ht="14.2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spans="1:26" ht="14.2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spans="1:26" ht="14.2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spans="1:26" ht="14.2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spans="1:26" ht="14.2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spans="1:26" ht="14.2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spans="1:26" ht="14.2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spans="1:26" ht="14.2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spans="1:26" ht="14.2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spans="1:26" ht="14.2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spans="1:26" ht="14.2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spans="1:26" ht="14.2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spans="1:26" ht="14.2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spans="1:26" ht="14.2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spans="1:26" ht="14.2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spans="1:26" ht="14.2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spans="1:26" ht="14.2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spans="1:26" ht="14.2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spans="1:26" ht="14.2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spans="1:26" ht="14.2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spans="1:26" ht="14.2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spans="1:26" ht="14.2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spans="1:26" ht="14.2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spans="1:26" ht="14.2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spans="1:26" ht="14.2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spans="1:26" ht="14.2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spans="1:26" ht="14.2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spans="1:26" ht="14.2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spans="1:26" ht="14.2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spans="1:26" ht="14.2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spans="1:26" ht="14.2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spans="1:26" ht="14.2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spans="1:26" ht="14.2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spans="1:26" ht="14.2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spans="1:26" ht="14.2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spans="1:26" ht="14.2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spans="1:26" ht="14.2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spans="1:26" ht="14.2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spans="1:26" ht="14.2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spans="1:26" ht="14.2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spans="1:26" ht="14.2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spans="1:26" ht="14.2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spans="1:26" ht="14.2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spans="1:26" ht="14.2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spans="1:26" ht="14.2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spans="1:26" ht="14.2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spans="1:26" ht="14.2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spans="1:26" ht="14.2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spans="1:26" ht="14.2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spans="1:26" ht="14.2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spans="1:26" ht="14.2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spans="1:26" ht="14.2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spans="1:26" ht="14.2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spans="1:26" ht="14.2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spans="1:26" ht="14.2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spans="1:26" ht="14.2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spans="1:26" ht="14.2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spans="1:26" ht="14.2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spans="1:26" ht="14.2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spans="1:26" ht="14.2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spans="1:26" ht="14.2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spans="1:26" ht="14.2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spans="1:26" ht="14.2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spans="1:26" ht="14.2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spans="1:26" ht="14.2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spans="1:26" ht="14.2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spans="1:26" ht="14.2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spans="1:26" ht="14.2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spans="1:26" ht="14.2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spans="1:26" ht="14.2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spans="1:26" ht="14.2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spans="1:26" ht="14.2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spans="1:26" ht="14.2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spans="1:26" ht="14.2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spans="1:26" ht="14.2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spans="1:26" ht="14.2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spans="1:26" ht="14.2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spans="1:26" ht="14.2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spans="1:26" ht="14.2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spans="1:26" ht="14.2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spans="1:26" ht="14.2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spans="1:26" ht="14.2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spans="1:26" ht="14.2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spans="1:26" ht="14.2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spans="1:26" ht="14.2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spans="1:26" ht="14.2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spans="1:26" ht="14.2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spans="1:26" ht="14.2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spans="1:26" ht="14.2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spans="1:26" ht="14.2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spans="1:26" ht="14.2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spans="1:26" ht="14.2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spans="1:26" ht="14.2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spans="1:26" ht="14.2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spans="1:26" ht="14.2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spans="1:26" ht="14.2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spans="1:26" ht="14.2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spans="1:26" ht="14.2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spans="1:26" ht="14.2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spans="1:26" ht="14.2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spans="1:26" ht="14.2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spans="1:26" ht="14.2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spans="1:26" ht="14.2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spans="1:26" ht="14.2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spans="1:26" ht="14.2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spans="1:26" ht="14.2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spans="1:26" ht="14.2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spans="1:26" ht="14.2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spans="1:26" ht="14.2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spans="1:26" ht="14.2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spans="1:26" ht="14.2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spans="1:26" ht="14.2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spans="1:26" ht="14.2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spans="1:26" ht="14.2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spans="1:26" ht="14.2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spans="1:26" ht="14.2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spans="1:26" ht="14.2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spans="1:26" ht="14.2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spans="1:26" ht="14.2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spans="1:26" ht="14.25" customHeight="1"/>
    <row r="363" spans="1:26" ht="14.25" customHeight="1"/>
    <row r="364" spans="1:26" ht="14.25" customHeight="1"/>
    <row r="365" spans="1:26" ht="14.25" customHeight="1"/>
    <row r="366" spans="1:26" ht="14.25" customHeight="1"/>
    <row r="367" spans="1:26" ht="14.25" customHeight="1"/>
    <row r="368" spans="1:26"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5">
    <mergeCell ref="B179:P179"/>
    <mergeCell ref="B181:E181"/>
    <mergeCell ref="H168:I168"/>
    <mergeCell ref="J168:K168"/>
    <mergeCell ref="H171:I171"/>
    <mergeCell ref="J171:K171"/>
    <mergeCell ref="B169:C169"/>
    <mergeCell ref="D169:E169"/>
    <mergeCell ref="F169:G169"/>
    <mergeCell ref="H169:I169"/>
    <mergeCell ref="J169:K169"/>
    <mergeCell ref="L12:M12"/>
    <mergeCell ref="H87:J87"/>
    <mergeCell ref="H88:J88"/>
    <mergeCell ref="H12:I12"/>
    <mergeCell ref="J12:K12"/>
    <mergeCell ref="H13:I13"/>
    <mergeCell ref="J13:K13"/>
    <mergeCell ref="L13:M13"/>
    <mergeCell ref="I75:N75"/>
    <mergeCell ref="K87:N87"/>
    <mergeCell ref="K88:N88"/>
    <mergeCell ref="L8:M9"/>
    <mergeCell ref="B10:C10"/>
    <mergeCell ref="D10:E10"/>
    <mergeCell ref="F10:G10"/>
    <mergeCell ref="H10:I10"/>
    <mergeCell ref="J10:K10"/>
    <mergeCell ref="L10:M10"/>
    <mergeCell ref="B8:C9"/>
    <mergeCell ref="D8:E9"/>
    <mergeCell ref="F8:G9"/>
    <mergeCell ref="H8:I9"/>
    <mergeCell ref="J8:K9"/>
    <mergeCell ref="B2:N2"/>
    <mergeCell ref="B3:L3"/>
    <mergeCell ref="D7:E7"/>
    <mergeCell ref="F7:G7"/>
    <mergeCell ref="H7:I7"/>
    <mergeCell ref="J7:K7"/>
    <mergeCell ref="L7:M7"/>
    <mergeCell ref="B7:C7"/>
    <mergeCell ref="J191:K191"/>
    <mergeCell ref="F194:G194"/>
    <mergeCell ref="H194:I194"/>
    <mergeCell ref="B196:P196"/>
    <mergeCell ref="B192:C192"/>
    <mergeCell ref="D192:E192"/>
    <mergeCell ref="F192:G192"/>
    <mergeCell ref="H192:I192"/>
    <mergeCell ref="J192:K192"/>
    <mergeCell ref="B194:C194"/>
    <mergeCell ref="D194:E194"/>
    <mergeCell ref="J194:K194"/>
    <mergeCell ref="B190:D190"/>
    <mergeCell ref="B191:C191"/>
    <mergeCell ref="D191:E191"/>
    <mergeCell ref="F191:G191"/>
    <mergeCell ref="H191:I191"/>
    <mergeCell ref="H185:I185"/>
    <mergeCell ref="J185:K185"/>
    <mergeCell ref="F188:G188"/>
    <mergeCell ref="H188:I188"/>
    <mergeCell ref="B186:C186"/>
    <mergeCell ref="D186:E186"/>
    <mergeCell ref="F186:G186"/>
    <mergeCell ref="H186:I186"/>
    <mergeCell ref="J186:K186"/>
    <mergeCell ref="D188:E188"/>
    <mergeCell ref="J188:K188"/>
    <mergeCell ref="B188:C188"/>
    <mergeCell ref="B182:G182"/>
    <mergeCell ref="B184:D184"/>
    <mergeCell ref="B185:C185"/>
    <mergeCell ref="D185:E185"/>
    <mergeCell ref="F185:G185"/>
    <mergeCell ref="B75:G75"/>
    <mergeCell ref="E87:G87"/>
    <mergeCell ref="E88:G88"/>
    <mergeCell ref="B171:C171"/>
    <mergeCell ref="D171:E171"/>
    <mergeCell ref="F171:G171"/>
    <mergeCell ref="B87:D87"/>
    <mergeCell ref="B88:D88"/>
    <mergeCell ref="B165:E165"/>
    <mergeCell ref="B166:G166"/>
    <mergeCell ref="B168:C168"/>
    <mergeCell ref="D168:E168"/>
    <mergeCell ref="F168:G168"/>
    <mergeCell ref="D12:E12"/>
    <mergeCell ref="F12:G12"/>
    <mergeCell ref="B13:C13"/>
    <mergeCell ref="D13:E13"/>
    <mergeCell ref="F13:G13"/>
    <mergeCell ref="B12:C12"/>
  </mergeCells>
  <conditionalFormatting sqref="C77:G81">
    <cfRule type="colorScale" priority="1">
      <colorScale>
        <cfvo type="min"/>
        <cfvo type="percentile" val="50"/>
        <cfvo type="max"/>
        <color rgb="FFF8D7DA"/>
        <color rgb="FFFFF2CC"/>
        <color rgb="FFC6EFCE"/>
      </colorScale>
    </cfRule>
  </conditionalFormatting>
  <conditionalFormatting sqref="E122:E128">
    <cfRule type="colorScale" priority="2">
      <colorScale>
        <cfvo type="min"/>
        <cfvo type="formula" val="0"/>
        <cfvo type="max"/>
        <color rgb="FFF8D7DA"/>
        <color rgb="FFFFFFFF"/>
        <color rgb="FFC6EFCE"/>
      </colorScale>
    </cfRule>
  </conditionalFormatting>
  <conditionalFormatting sqref="J77:N81">
    <cfRule type="colorScale" priority="3">
      <colorScale>
        <cfvo type="min"/>
        <cfvo type="percentile" val="50"/>
        <cfvo type="max"/>
        <color rgb="FFF8D7DA"/>
        <color rgb="FFFFF2CC"/>
        <color rgb="FFC6EFCE"/>
      </colorScale>
    </cfRule>
  </conditionalFormatting>
  <pageMargins left="0.7" right="0.7" top="0.75" bottom="0.75" header="0" footer="0"/>
  <pageSetup scale="65"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DD7EE"/>
  </sheetPr>
  <dimension ref="A1:Q993"/>
  <sheetViews>
    <sheetView showGridLines="0" topLeftCell="A38" zoomScale="40" zoomScaleNormal="40" workbookViewId="0">
      <selection activeCell="P74" sqref="P74"/>
    </sheetView>
  </sheetViews>
  <sheetFormatPr defaultColWidth="12.6328125" defaultRowHeight="15" customHeight="1"/>
  <cols>
    <col min="1" max="1" width="2" customWidth="1"/>
    <col min="2" max="2" width="37.36328125" bestFit="1" customWidth="1"/>
    <col min="3" max="3" width="13.7265625" bestFit="1" customWidth="1"/>
    <col min="4" max="4" width="24.81640625" bestFit="1" customWidth="1"/>
    <col min="5" max="5" width="22.453125" bestFit="1" customWidth="1"/>
    <col min="6" max="6" width="45.54296875" bestFit="1" customWidth="1"/>
    <col min="7" max="7" width="13.453125" bestFit="1" customWidth="1"/>
    <col min="8" max="8" width="17.453125" customWidth="1"/>
    <col min="9" max="12" width="28.453125" customWidth="1"/>
    <col min="13" max="13" width="15" customWidth="1"/>
    <col min="14" max="14" width="14.90625" customWidth="1"/>
    <col min="15" max="15" width="18.36328125" bestFit="1" customWidth="1"/>
    <col min="16" max="16" width="31.453125" customWidth="1"/>
    <col min="17" max="17" width="11.90625" customWidth="1"/>
  </cols>
  <sheetData>
    <row r="1" spans="1:17" ht="24" customHeight="1">
      <c r="A1" s="137" t="s">
        <v>187</v>
      </c>
      <c r="B1" s="137"/>
      <c r="C1" s="137"/>
      <c r="D1" s="137"/>
      <c r="E1" s="137"/>
      <c r="F1" s="137"/>
      <c r="G1" s="137"/>
      <c r="H1" s="137"/>
      <c r="I1" s="137"/>
      <c r="J1" s="137"/>
      <c r="K1" s="137"/>
      <c r="L1" s="137"/>
      <c r="M1" s="137"/>
      <c r="N1" s="137"/>
      <c r="O1" s="137"/>
      <c r="P1" s="137"/>
      <c r="Q1" s="137"/>
    </row>
    <row r="2" spans="1:17" ht="16.5" customHeight="1">
      <c r="A2" s="138"/>
      <c r="B2" s="139"/>
      <c r="C2" s="139"/>
      <c r="D2" s="139"/>
      <c r="E2" s="139"/>
      <c r="F2" s="139"/>
      <c r="G2" s="139"/>
      <c r="H2" s="139"/>
      <c r="I2" s="139"/>
      <c r="J2" s="139"/>
      <c r="K2" s="139"/>
      <c r="L2" s="139"/>
      <c r="M2" s="139"/>
      <c r="N2" s="139"/>
      <c r="O2" s="139"/>
      <c r="P2" s="139" t="s">
        <v>188</v>
      </c>
      <c r="Q2" s="139" t="str">
        <f>Scenarios!$B$4</f>
        <v>Base</v>
      </c>
    </row>
    <row r="3" spans="1:17" ht="15" customHeight="1">
      <c r="A3" s="26"/>
      <c r="B3" s="140"/>
      <c r="C3" s="26"/>
      <c r="D3" s="26"/>
      <c r="E3" s="26"/>
      <c r="F3" s="26"/>
      <c r="G3" s="26"/>
      <c r="H3" s="26"/>
      <c r="I3" s="26"/>
      <c r="J3" s="26"/>
      <c r="K3" s="26"/>
      <c r="L3" s="26"/>
      <c r="M3" s="26"/>
      <c r="N3" s="26"/>
      <c r="O3" s="26"/>
      <c r="P3" s="139" t="s">
        <v>189</v>
      </c>
      <c r="Q3" s="139" t="e">
        <f>IF(#REF!=0,"OK","FAIL")</f>
        <v>#REF!</v>
      </c>
    </row>
    <row r="4" spans="1:17" ht="15" customHeight="1">
      <c r="A4" s="26"/>
      <c r="B4" s="26"/>
      <c r="C4" s="26"/>
      <c r="D4" s="26"/>
      <c r="E4" s="26"/>
      <c r="F4" s="26"/>
      <c r="G4" s="26"/>
      <c r="H4" s="26"/>
      <c r="I4" s="26"/>
      <c r="J4" s="26"/>
      <c r="K4" s="26"/>
      <c r="L4" s="26"/>
      <c r="M4" s="26"/>
      <c r="N4" s="26"/>
      <c r="O4" s="26"/>
      <c r="P4" s="26"/>
      <c r="Q4" s="26"/>
    </row>
    <row r="5" spans="1:17" ht="22.5" customHeight="1">
      <c r="A5" s="26" t="s">
        <v>190</v>
      </c>
      <c r="B5" s="141" t="s">
        <v>191</v>
      </c>
      <c r="C5" s="142"/>
      <c r="D5" s="142"/>
      <c r="E5" s="142"/>
      <c r="F5" s="142"/>
      <c r="G5" s="142"/>
      <c r="H5" s="142"/>
      <c r="I5" s="142"/>
      <c r="J5" s="142"/>
      <c r="K5" s="142"/>
      <c r="L5" s="142"/>
      <c r="M5" s="142"/>
      <c r="N5" s="142"/>
      <c r="O5" s="142"/>
      <c r="P5" s="142"/>
      <c r="Q5" s="26"/>
    </row>
    <row r="6" spans="1:17" ht="15" customHeight="1">
      <c r="A6" s="26"/>
      <c r="B6" s="143" t="s">
        <v>192</v>
      </c>
      <c r="C6" s="144" t="str">
        <f>IFERROR(Cashflow!D$7,"")</f>
        <v>FY25</v>
      </c>
      <c r="D6" s="144" t="str">
        <f>IFERROR(Cashflow!E$7,"")</f>
        <v>FY26</v>
      </c>
      <c r="E6" s="144" t="str">
        <f>IFERROR(Cashflow!F$7,"")</f>
        <v>FY27</v>
      </c>
      <c r="F6" s="144" t="str">
        <f>IFERROR(Cashflow!G$7,"")</f>
        <v>FY28</v>
      </c>
      <c r="G6" s="144" t="str">
        <f>IFERROR(Cashflow!H$7,"")</f>
        <v>FY29</v>
      </c>
      <c r="H6" s="144" t="str">
        <f>IFERROR(Cashflow!I$7,"")</f>
        <v>FY30</v>
      </c>
      <c r="I6" s="144" t="str">
        <f>IFERROR(Cashflow!J$7,"")</f>
        <v>FY31</v>
      </c>
      <c r="J6" s="144" t="str">
        <f>IFERROR(Cashflow!K$7,"")</f>
        <v>FY32</v>
      </c>
      <c r="K6" s="144" t="str">
        <f>IFERROR(Cashflow!L$7,"")</f>
        <v>FY33</v>
      </c>
      <c r="L6" s="144" t="str">
        <f>IFERROR(Cashflow!M$7,"")</f>
        <v>FY34</v>
      </c>
      <c r="M6" s="144" t="str">
        <f>IFERROR(Cashflow!N$7,"")</f>
        <v>FY35</v>
      </c>
      <c r="N6" s="144" t="str">
        <f>IFERROR(Cashflow!O$7,"")</f>
        <v>FY36</v>
      </c>
      <c r="O6" s="144" t="str">
        <f>IFERROR(Cashflow!P$7,"")</f>
        <v>FY37</v>
      </c>
      <c r="P6" s="144" t="str">
        <f>IFERROR(Cashflow!Q$7,"")</f>
        <v>FY38</v>
      </c>
      <c r="Q6" s="26"/>
    </row>
    <row r="7" spans="1:17" ht="15" customHeight="1">
      <c r="A7" s="26"/>
      <c r="B7" s="145" t="s">
        <v>193</v>
      </c>
      <c r="C7" s="146">
        <f>IFERROR(Cashflow!D$48,"")</f>
        <v>0</v>
      </c>
      <c r="D7" s="146">
        <f>IFERROR(Cashflow!E$48,"")</f>
        <v>0</v>
      </c>
      <c r="E7" s="146">
        <f>IFERROR(Cashflow!F$48,"")</f>
        <v>0</v>
      </c>
      <c r="F7" s="146">
        <f>IFERROR(Cashflow!G$48,"")</f>
        <v>18772333.414999999</v>
      </c>
      <c r="G7" s="146">
        <f>IFERROR(Cashflow!H$48,"")</f>
        <v>19676502.288939998</v>
      </c>
      <c r="H7" s="146">
        <f>IFERROR(Cashflow!I$48,"")</f>
        <v>20615521.882462904</v>
      </c>
      <c r="I7" s="146">
        <f>IFERROR(Cashflow!J$48,"")</f>
        <v>21808634.554464001</v>
      </c>
      <c r="J7" s="146">
        <f>IFERROR(Cashflow!K$48,"")</f>
        <v>22300756.692269798</v>
      </c>
      <c r="K7" s="146">
        <f>IFERROR(Cashflow!L$48,"")</f>
        <v>22807316.061739061</v>
      </c>
      <c r="L7" s="146">
        <f>IFERROR(Cashflow!M$48,"")</f>
        <v>23328737.619009934</v>
      </c>
      <c r="M7" s="146">
        <f>IFERROR(Cashflow!N$48,"")</f>
        <v>23865458.864884399</v>
      </c>
      <c r="N7" s="146">
        <f>IFERROR(Cashflow!O$48,"")</f>
        <v>24417930.216067705</v>
      </c>
      <c r="O7" s="146">
        <f>IFERROR(Cashflow!P$48,"")</f>
        <v>24986615.387417436</v>
      </c>
      <c r="P7" s="146">
        <f>IFERROR(Cashflow!Q$48,"")</f>
        <v>25571991.785529338</v>
      </c>
      <c r="Q7" s="26"/>
    </row>
    <row r="8" spans="1:17" ht="15" customHeight="1">
      <c r="A8" s="26"/>
      <c r="B8" s="147" t="s">
        <v>194</v>
      </c>
      <c r="C8" s="148">
        <f>IFERROR(Cashflow!D$64,"")</f>
        <v>0</v>
      </c>
      <c r="D8" s="148">
        <f>IFERROR(Cashflow!E$64,"")</f>
        <v>0</v>
      </c>
      <c r="E8" s="148">
        <f>IFERROR(Cashflow!F$64,"")</f>
        <v>0</v>
      </c>
      <c r="F8" s="148">
        <f>IFERROR(Cashflow!G$64,"")</f>
        <v>10240353.181728749</v>
      </c>
      <c r="G8" s="148">
        <f>IFERROR(Cashflow!H$64,"")</f>
        <v>10221610.60891173</v>
      </c>
      <c r="H8" s="148">
        <f>IFERROR(Cashflow!I$64,"")</f>
        <v>10726643.498227151</v>
      </c>
      <c r="I8" s="148">
        <f>IFERROR(Cashflow!J$64,"")</f>
        <v>11603173.631330766</v>
      </c>
      <c r="J8" s="148">
        <f>IFERROR(Cashflow!K$64,"")</f>
        <v>11825139.08000222</v>
      </c>
      <c r="K8" s="148">
        <f>IFERROR(Cashflow!L$64,"")</f>
        <v>11488417.36165344</v>
      </c>
      <c r="L8" s="148">
        <f>IFERROR(Cashflow!M$64,"")</f>
        <v>11566864.641117346</v>
      </c>
      <c r="M8" s="148">
        <f>IFERROR(Cashflow!N$64,"")</f>
        <v>11784599.554180816</v>
      </c>
      <c r="N8" s="148">
        <f>IFERROR(Cashflow!O$64,"")</f>
        <v>12008306.676067084</v>
      </c>
      <c r="O8" s="148">
        <f>IFERROR(Cashflow!P$64,"")</f>
        <v>12146814.69024964</v>
      </c>
      <c r="P8" s="148">
        <f>IFERROR(Cashflow!Q$64,"")</f>
        <v>13901342.685076447</v>
      </c>
      <c r="Q8" s="26"/>
    </row>
    <row r="9" spans="1:17" ht="15" customHeight="1">
      <c r="A9" s="26"/>
      <c r="B9" s="145" t="s">
        <v>195</v>
      </c>
      <c r="C9" s="146">
        <f>IFERROR(Cashflow!D38,"")</f>
        <v>0</v>
      </c>
      <c r="D9" s="146">
        <f>IFERROR(Cashflow!E38,"")</f>
        <v>0</v>
      </c>
      <c r="E9" s="146">
        <f>IFERROR(Cashflow!F38,"")</f>
        <v>452228.39999999851</v>
      </c>
      <c r="F9" s="146">
        <f>IFERROR(Cashflow!G38,"")</f>
        <v>1724785.5788420234</v>
      </c>
      <c r="G9" s="146">
        <f>IFERROR(Cashflow!H38,"")</f>
        <v>2184190.0265896698</v>
      </c>
      <c r="H9" s="146">
        <f>IFERROR(Cashflow!I38,"")</f>
        <v>2729888.0048414734</v>
      </c>
      <c r="I9" s="146">
        <f>IFERROR(Cashflow!J38,"")</f>
        <v>3408438.9677277789</v>
      </c>
      <c r="J9" s="146">
        <f>IFERROR(Cashflow!K38,"")</f>
        <v>4135811.3744280911</v>
      </c>
      <c r="K9" s="146">
        <f>IFERROR(Cashflow!L38,"")</f>
        <v>4833789.0215595746</v>
      </c>
      <c r="L9" s="146">
        <f>IFERROR(Cashflow!M38,"")</f>
        <v>5560495.5688160015</v>
      </c>
      <c r="M9" s="146">
        <f>IFERROR(Cashflow!N38,"")</f>
        <v>6335431.2849013144</v>
      </c>
      <c r="N9" s="146">
        <f>IFERROR(Cashflow!O38,"")</f>
        <v>7159432.279050706</v>
      </c>
      <c r="O9" s="146">
        <f>IFERROR(Cashflow!P38,"")</f>
        <v>9596186.910685651</v>
      </c>
      <c r="P9" s="146">
        <f>IFERROR(Cashflow!Q38,"")</f>
        <v>12278575.461596355</v>
      </c>
      <c r="Q9" s="26"/>
    </row>
    <row r="10" spans="1:17" ht="15" customHeight="1">
      <c r="A10" s="26"/>
      <c r="B10" s="147" t="s">
        <v>196</v>
      </c>
      <c r="C10" s="148">
        <f>IFERROR(Debt!H48,0)</f>
        <v>0</v>
      </c>
      <c r="D10" s="148">
        <f>IFERROR(Debt!I48,0)</f>
        <v>0</v>
      </c>
      <c r="E10" s="148">
        <f>IFERROR(Debt!J48,0)</f>
        <v>12675915</v>
      </c>
      <c r="F10" s="148">
        <f>IFERROR(Debt!K48,0)</f>
        <v>12675915</v>
      </c>
      <c r="G10" s="148">
        <f>IFERROR(Debt!L48,0)</f>
        <v>11091425.625</v>
      </c>
      <c r="H10" s="148">
        <f>IFERROR(Debt!M48,0)</f>
        <v>9506936.25</v>
      </c>
      <c r="I10" s="148">
        <f>IFERROR(Debt!N48,0)</f>
        <v>7922446.875</v>
      </c>
      <c r="J10" s="148">
        <f>IFERROR(Debt!O48,0)</f>
        <v>6337957.5</v>
      </c>
      <c r="K10" s="148">
        <f>IFERROR(Debt!P48,0)</f>
        <v>4753468.125</v>
      </c>
      <c r="L10" s="148">
        <f>IFERROR(Debt!Q48,0)</f>
        <v>3168978.75</v>
      </c>
      <c r="M10" s="148">
        <f>IFERROR(Debt!R48,0)</f>
        <v>1584489.375</v>
      </c>
      <c r="N10" s="148">
        <f>IFERROR(Debt!S48,0)</f>
        <v>0</v>
      </c>
      <c r="O10" s="148">
        <f>IFERROR(Debt!T48,0)</f>
        <v>0</v>
      </c>
      <c r="P10" s="148">
        <f>IFERROR(Debt!U48,0)</f>
        <v>0</v>
      </c>
      <c r="Q10" s="26"/>
    </row>
    <row r="11" spans="1:17" ht="15" customHeight="1">
      <c r="A11" s="26"/>
      <c r="B11" s="145" t="s">
        <v>197</v>
      </c>
      <c r="C11" s="146" t="str">
        <f>Cashflow!D67</f>
        <v/>
      </c>
      <c r="D11" s="146" t="str">
        <f>Cashflow!E67</f>
        <v/>
      </c>
      <c r="E11" s="146" t="str">
        <f>Cashflow!F67</f>
        <v/>
      </c>
      <c r="F11" s="149">
        <f>Cashflow!G67</f>
        <v>3.7480650108967009</v>
      </c>
      <c r="G11" s="149">
        <f>Cashflow!H67</f>
        <v>3.0466904338978202</v>
      </c>
      <c r="H11" s="149">
        <f>Cashflow!I67</f>
        <v>3.3189553617167831</v>
      </c>
      <c r="I11" s="149">
        <f>Cashflow!J67</f>
        <v>3.7480418669249009</v>
      </c>
      <c r="J11" s="149">
        <f>Cashflow!K67</f>
        <v>4.046953904892197</v>
      </c>
      <c r="K11" s="149">
        <f>Cashflow!L67</f>
        <v>4.1874723826887088</v>
      </c>
      <c r="L11" s="149">
        <f>Cashflow!M67</f>
        <v>4.4574720293004884</v>
      </c>
      <c r="M11" s="149">
        <f>Cashflow!N67</f>
        <v>4.8337591413140704</v>
      </c>
      <c r="N11" s="149">
        <f>Cashflow!O67</f>
        <v>5.2771194419729879</v>
      </c>
      <c r="O11" s="149" t="str">
        <f>Cashflow!P67</f>
        <v/>
      </c>
      <c r="P11" s="149" t="str">
        <f>Cashflow!Q67</f>
        <v/>
      </c>
      <c r="Q11" s="26"/>
    </row>
    <row r="12" spans="1:17" ht="15" customHeight="1">
      <c r="A12" s="26"/>
      <c r="B12" s="150" t="s">
        <v>198</v>
      </c>
      <c r="C12" s="148" t="str">
        <f>IFERROR(IF(Debt!H$57=0,"",Cashflow!D$64/Debt!H$57),"")</f>
        <v/>
      </c>
      <c r="D12" s="148" t="str">
        <f>IFERROR(IF(Debt!I$57=0,"",Cashflow!E$64/Debt!I$57),"")</f>
        <v/>
      </c>
      <c r="E12" s="148">
        <f>IFERROR(IF(Debt!J$57=0,"",Cashflow!F$64/Debt!J$57),"")</f>
        <v>0</v>
      </c>
      <c r="F12" s="151">
        <f>IFERROR(IF(Debt!K$57=0,"",Cashflow!G$64/Debt!K$57),"")</f>
        <v>10.09823864956568</v>
      </c>
      <c r="G12" s="151">
        <f>IFERROR(IF(Debt!L$57=0,"",Cashflow!H$64/Debt!L$57),"")</f>
        <v>10.751739929792556</v>
      </c>
      <c r="H12" s="151">
        <f>IFERROR(IF(Debt!M$57=0,"",Cashflow!I$64/Debt!M$57),"")</f>
        <v>13.018806499421148</v>
      </c>
      <c r="I12" s="151">
        <f>IFERROR(IF(Debt!N$57=0,"",Cashflow!J$64/Debt!N$57),"")</f>
        <v>16.64312148645072</v>
      </c>
      <c r="J12" s="151">
        <f>IFERROR(IF(Debt!O$57=0,"",Cashflow!K$64/Debt!O$57),"")</f>
        <v>20.730721880392363</v>
      </c>
      <c r="K12" s="151">
        <f>IFERROR(IF(Debt!P$57=0,"",Cashflow!L$64/Debt!P$57),"")</f>
        <v>25.894816748711325</v>
      </c>
      <c r="L12" s="151">
        <f>IFERROR(IF(Debt!Q$57=0,"",Cashflow!M$64/Debt!Q$57),"")</f>
        <v>36.500290956881123</v>
      </c>
      <c r="M12" s="151">
        <f>IFERROR(IF(Debt!R$57=0,"",Cashflow!N$64/Debt!R$57),"")</f>
        <v>61.978955387340562</v>
      </c>
      <c r="N12" s="151">
        <f>IFERROR(IF(Debt!S$57=0,"",Cashflow!O$64/Debt!S$57),"")</f>
        <v>189.46650677394229</v>
      </c>
      <c r="O12" s="151" t="str">
        <f>IFERROR(IF(Debt!T$57=0,"",Cashflow!P$64/Debt!T$57),"")</f>
        <v/>
      </c>
      <c r="P12" s="151" t="str">
        <f>IFERROR(IF(Debt!U$57=0,"",Cashflow!Q$64/Debt!U$57),"")</f>
        <v/>
      </c>
      <c r="Q12" s="26"/>
    </row>
    <row r="13" spans="1:17" ht="15" customHeight="1">
      <c r="A13" s="26"/>
      <c r="B13" s="152" t="s">
        <v>199</v>
      </c>
      <c r="C13" s="146" t="str">
        <f>IFERROR(IF(Cashflow!D$64=0,"",((Cashflow!D$72+Cashflow!D$73)-Cashflow!D$39)/Cashflow!D$64),"")</f>
        <v/>
      </c>
      <c r="D13" s="146" t="str">
        <f>IFERROR(IF(Cashflow!E$64=0,"",((Cashflow!E$72+Cashflow!E$73)-Cashflow!E$39)/Cashflow!E$64),"")</f>
        <v/>
      </c>
      <c r="E13" s="146" t="str">
        <f>IFERROR(IF(Cashflow!F$64=0,"",((Cashflow!F$72+Cashflow!F$73)-Cashflow!F$39)/Cashflow!F$64),"")</f>
        <v/>
      </c>
      <c r="F13" s="149">
        <f>IFERROR(IF(Cashflow!G$64=0,"",((Cashflow!G$72+Cashflow!G$73)-Cashflow!G$39)/Cashflow!G$64),"")</f>
        <v>1.2378396306307951</v>
      </c>
      <c r="G13" s="149">
        <f>IFERROR(IF(Cashflow!H$64=0,"",((Cashflow!H$72+Cashflow!H$73)-Cashflow!H$39)/Cashflow!H$64),"")</f>
        <v>1.0850956908229237</v>
      </c>
      <c r="H13" s="149">
        <f>IFERROR(IF(Cashflow!I$64=0,"",((Cashflow!I$72+Cashflow!I$73)-Cashflow!I$39)/Cashflow!I$64),"")</f>
        <v>0.88629180708497135</v>
      </c>
      <c r="I13" s="149">
        <f>IFERROR(IF(Cashflow!J$64=0,"",((Cashflow!J$72+Cashflow!J$73)-Cashflow!J$39)/Cashflow!J$64),"")</f>
        <v>0.68278275640104991</v>
      </c>
      <c r="J13" s="149">
        <f>IFERROR(IF(Cashflow!K$64=0,"",((Cashflow!K$72+Cashflow!K$73)-Cashflow!K$39)/Cashflow!K$64),"")</f>
        <v>0.53597318873976496</v>
      </c>
      <c r="K13" s="149">
        <f>IFERROR(IF(Cashflow!L$64=0,"",((Cashflow!L$72+Cashflow!L$73)-Cashflow!L$39)/Cashflow!L$64),"")</f>
        <v>0.41376178940594038</v>
      </c>
      <c r="L13" s="149">
        <f>IFERROR(IF(Cashflow!M$64=0,"",((Cashflow!M$72+Cashflow!M$73)-Cashflow!M$39)/Cashflow!M$64),"")</f>
        <v>0.27397041880606637</v>
      </c>
      <c r="M13" s="149">
        <f>IFERROR(IF(Cashflow!N$64=0,"",((Cashflow!N$72+Cashflow!N$73)-Cashflow!N$39)/Cashflow!N$64),"")</f>
        <v>0.13445423985050656</v>
      </c>
      <c r="N13" s="149">
        <f>IFERROR(IF(Cashflow!O$64=0,"",((Cashflow!O$72+Cashflow!O$73)-Cashflow!O$39)/Cashflow!O$64),"")</f>
        <v>0</v>
      </c>
      <c r="O13" s="149">
        <f>IFERROR(IF(Cashflow!P$64=0,"",((Cashflow!P$72+Cashflow!P$73)-Cashflow!P$39)/Cashflow!P$64),"")</f>
        <v>0</v>
      </c>
      <c r="P13" s="149">
        <f>IFERROR(IF(Cashflow!Q$64=0,"",((Cashflow!Q$72+Cashflow!Q$73)-Cashflow!Q$39)/Cashflow!Q$64),"")</f>
        <v>0</v>
      </c>
      <c r="Q13" s="26"/>
    </row>
    <row r="14" spans="1:17" ht="15" customHeight="1">
      <c r="A14" s="26"/>
      <c r="B14" s="147"/>
      <c r="C14" s="153"/>
      <c r="D14" s="153"/>
      <c r="E14" s="153"/>
      <c r="F14" s="153"/>
      <c r="G14" s="153"/>
      <c r="H14" s="153"/>
      <c r="I14" s="153"/>
      <c r="J14" s="153"/>
      <c r="K14" s="153"/>
      <c r="L14" s="153"/>
      <c r="M14" s="153"/>
      <c r="N14" s="153"/>
      <c r="O14" s="153"/>
      <c r="P14" s="153"/>
      <c r="Q14" s="26"/>
    </row>
    <row r="15" spans="1:17" ht="21" customHeight="1">
      <c r="A15" s="154"/>
      <c r="B15" s="34"/>
      <c r="C15" s="34"/>
      <c r="D15" s="34"/>
      <c r="E15" s="34"/>
      <c r="F15" s="34"/>
      <c r="G15" s="34"/>
      <c r="H15" s="34"/>
      <c r="I15" s="34"/>
      <c r="J15" s="34"/>
      <c r="K15" s="34"/>
      <c r="L15" s="34"/>
      <c r="M15" s="34"/>
      <c r="N15" s="34"/>
      <c r="O15" s="34"/>
      <c r="P15" s="2"/>
      <c r="Q15" s="155"/>
    </row>
    <row r="16" spans="1:17" ht="15.75" customHeight="1">
      <c r="A16" s="156"/>
      <c r="B16" s="26"/>
      <c r="C16" s="26"/>
      <c r="D16" s="26"/>
      <c r="E16" s="26"/>
      <c r="F16" s="26"/>
      <c r="G16" s="26"/>
      <c r="H16" s="26"/>
      <c r="I16" s="26"/>
      <c r="J16" s="26"/>
      <c r="K16" s="26"/>
      <c r="L16" s="26"/>
      <c r="M16" s="26"/>
      <c r="N16" s="26"/>
      <c r="O16" s="26"/>
      <c r="P16" s="26" t="s">
        <v>188</v>
      </c>
      <c r="Q16" s="157" t="str">
        <f>Scenarios!B4</f>
        <v>Base</v>
      </c>
    </row>
    <row r="17" spans="1:17" ht="15" customHeight="1">
      <c r="A17" s="26"/>
      <c r="B17" s="26"/>
      <c r="C17" s="26"/>
      <c r="D17" s="26"/>
      <c r="E17" s="26"/>
      <c r="F17" s="26"/>
      <c r="G17" s="26"/>
      <c r="H17" s="26"/>
      <c r="I17" s="26"/>
      <c r="J17" s="26"/>
      <c r="K17" s="26"/>
      <c r="L17" s="26"/>
      <c r="M17" s="26"/>
      <c r="N17" s="26"/>
      <c r="O17" s="26"/>
      <c r="P17" s="26" t="s">
        <v>189</v>
      </c>
      <c r="Q17" s="26" t="e">
        <f>Q3</f>
        <v>#REF!</v>
      </c>
    </row>
    <row r="18" spans="1:17" ht="15" customHeight="1">
      <c r="A18" s="26"/>
      <c r="B18" s="26"/>
      <c r="C18" s="26"/>
      <c r="D18" s="26"/>
      <c r="E18" s="26"/>
      <c r="F18" s="26"/>
      <c r="G18" s="26"/>
      <c r="H18" s="26"/>
      <c r="I18" s="26"/>
      <c r="J18" s="26"/>
      <c r="K18" s="26"/>
      <c r="L18" s="26"/>
      <c r="M18" s="26"/>
      <c r="N18" s="26"/>
      <c r="O18" s="26"/>
      <c r="P18" s="26"/>
      <c r="Q18" s="26"/>
    </row>
    <row r="19" spans="1:17" ht="15" customHeight="1">
      <c r="A19" s="26"/>
      <c r="B19" s="158" t="s">
        <v>200</v>
      </c>
      <c r="C19" s="122"/>
      <c r="D19" s="122"/>
      <c r="E19" s="122"/>
      <c r="F19" s="122"/>
      <c r="G19" s="122"/>
      <c r="H19" s="122"/>
      <c r="I19" s="122"/>
      <c r="J19" s="122"/>
      <c r="K19" s="122"/>
      <c r="L19" s="122"/>
      <c r="M19" s="122"/>
      <c r="N19" s="122"/>
      <c r="O19" s="122"/>
      <c r="P19" s="159"/>
      <c r="Q19" s="26"/>
    </row>
    <row r="20" spans="1:17" ht="15" customHeight="1">
      <c r="A20" s="26"/>
      <c r="B20" s="160"/>
      <c r="C20" s="161" t="s">
        <v>150</v>
      </c>
      <c r="D20" s="161" t="s">
        <v>151</v>
      </c>
      <c r="E20" s="161" t="s">
        <v>152</v>
      </c>
      <c r="F20" s="161" t="s">
        <v>153</v>
      </c>
      <c r="G20" s="161" t="s">
        <v>154</v>
      </c>
      <c r="H20" s="161" t="s">
        <v>155</v>
      </c>
      <c r="I20" s="161" t="s">
        <v>201</v>
      </c>
      <c r="J20" s="161" t="s">
        <v>202</v>
      </c>
      <c r="K20" s="161" t="s">
        <v>203</v>
      </c>
      <c r="L20" s="161" t="s">
        <v>204</v>
      </c>
      <c r="M20" s="162" t="s">
        <v>205</v>
      </c>
      <c r="N20" s="163" t="s">
        <v>206</v>
      </c>
      <c r="O20" s="163" t="s">
        <v>207</v>
      </c>
      <c r="P20" s="164" t="s">
        <v>208</v>
      </c>
      <c r="Q20" s="26"/>
    </row>
    <row r="21" spans="1:17" ht="15.75" customHeight="1">
      <c r="A21" s="26"/>
      <c r="B21" s="125" t="s">
        <v>193</v>
      </c>
      <c r="C21" s="165">
        <f>'P&amp;L'!H28</f>
        <v>0</v>
      </c>
      <c r="D21" s="165">
        <f>'P&amp;L'!I28</f>
        <v>0</v>
      </c>
      <c r="E21" s="165">
        <f>'P&amp;L'!J28</f>
        <v>18772333.414999999</v>
      </c>
      <c r="F21" s="165">
        <f>'P&amp;L'!K28</f>
        <v>19676502.288939998</v>
      </c>
      <c r="G21" s="165">
        <f>'P&amp;L'!L28</f>
        <v>20615521.882462904</v>
      </c>
      <c r="H21" s="165">
        <f>'P&amp;L'!M28</f>
        <v>21808634.554464001</v>
      </c>
      <c r="I21" s="165">
        <f>'P&amp;L'!N28</f>
        <v>22300756.692269798</v>
      </c>
      <c r="J21" s="165">
        <f>'P&amp;L'!O28</f>
        <v>22807316.061739061</v>
      </c>
      <c r="K21" s="165">
        <f>'P&amp;L'!P28</f>
        <v>23328737.619009934</v>
      </c>
      <c r="L21" s="165">
        <f>'P&amp;L'!Q28</f>
        <v>23865458.864884399</v>
      </c>
      <c r="M21" s="165">
        <f>'P&amp;L'!R28</f>
        <v>24417930.216067705</v>
      </c>
      <c r="N21" s="165">
        <f>'P&amp;L'!R28</f>
        <v>24417930.216067705</v>
      </c>
      <c r="O21" s="165">
        <f>'P&amp;L'!S28</f>
        <v>24986615.387417436</v>
      </c>
      <c r="P21" s="166">
        <f>'P&amp;L'!T28</f>
        <v>25571991.785529338</v>
      </c>
      <c r="Q21" s="26"/>
    </row>
    <row r="22" spans="1:17" ht="15.75" customHeight="1">
      <c r="A22" s="26"/>
      <c r="B22" s="125" t="s">
        <v>194</v>
      </c>
      <c r="C22" s="165">
        <f>'P&amp;L'!H79</f>
        <v>0</v>
      </c>
      <c r="D22" s="165">
        <f>'P&amp;L'!I79</f>
        <v>0</v>
      </c>
      <c r="E22" s="165">
        <f>'P&amp;L'!J79</f>
        <v>10240353.181728749</v>
      </c>
      <c r="F22" s="165">
        <f>'P&amp;L'!K79</f>
        <v>10221610.60891173</v>
      </c>
      <c r="G22" s="165">
        <f>'P&amp;L'!L79</f>
        <v>10726643.498227151</v>
      </c>
      <c r="H22" s="165">
        <f>'P&amp;L'!M79</f>
        <v>11603173.631330766</v>
      </c>
      <c r="I22" s="165">
        <f>'P&amp;L'!N79</f>
        <v>11825139.08000222</v>
      </c>
      <c r="J22" s="165">
        <f>'P&amp;L'!O79</f>
        <v>11488417.36165344</v>
      </c>
      <c r="K22" s="165">
        <f>'P&amp;L'!P79</f>
        <v>11566864.641117346</v>
      </c>
      <c r="L22" s="165">
        <f>'P&amp;L'!Q79</f>
        <v>11784599.554180816</v>
      </c>
      <c r="M22" s="165">
        <f>'P&amp;L'!R79</f>
        <v>12008306.676067084</v>
      </c>
      <c r="N22" s="165">
        <f>'P&amp;L'!R79</f>
        <v>12008306.676067084</v>
      </c>
      <c r="O22" s="165">
        <f>'P&amp;L'!S79</f>
        <v>12146814.69024964</v>
      </c>
      <c r="P22" s="166">
        <f>'P&amp;L'!T79</f>
        <v>13901342.685076447</v>
      </c>
      <c r="Q22" s="26"/>
    </row>
    <row r="23" spans="1:17" ht="15.75" customHeight="1">
      <c r="A23" s="26"/>
      <c r="B23" s="125" t="s">
        <v>195</v>
      </c>
      <c r="C23" s="165">
        <f>'Balance Sheet'!G10</f>
        <v>0</v>
      </c>
      <c r="D23" s="165">
        <f>'Balance Sheet'!H10</f>
        <v>452228.39999999851</v>
      </c>
      <c r="E23" s="165">
        <f>'Balance Sheet'!I10</f>
        <v>1724785.5788420234</v>
      </c>
      <c r="F23" s="165">
        <f>'Balance Sheet'!J10</f>
        <v>2184190.0265896698</v>
      </c>
      <c r="G23" s="165">
        <f>'Balance Sheet'!K10</f>
        <v>2729888.0048414734</v>
      </c>
      <c r="H23" s="165">
        <f>'Balance Sheet'!L10</f>
        <v>3408438.9677277789</v>
      </c>
      <c r="I23" s="165">
        <f>'Balance Sheet'!M10</f>
        <v>4135811.3744280911</v>
      </c>
      <c r="J23" s="165">
        <f>'Balance Sheet'!N10</f>
        <v>4833789.0215595746</v>
      </c>
      <c r="K23" s="165">
        <f>'Balance Sheet'!O10</f>
        <v>5560495.5688160015</v>
      </c>
      <c r="L23" s="165">
        <f>'Balance Sheet'!P10</f>
        <v>6335431.2849013144</v>
      </c>
      <c r="M23" s="165">
        <f>'Balance Sheet'!Q10</f>
        <v>7159432.279050706</v>
      </c>
      <c r="N23" s="165">
        <f>'Balance Sheet'!Q10</f>
        <v>7159432.279050706</v>
      </c>
      <c r="O23" s="165">
        <f>'Balance Sheet'!R10</f>
        <v>9596186.910685651</v>
      </c>
      <c r="P23" s="166">
        <f>'Balance Sheet'!S10</f>
        <v>12278575.461596355</v>
      </c>
      <c r="Q23" s="26"/>
    </row>
    <row r="24" spans="1:17" ht="15.75" customHeight="1">
      <c r="A24" s="26"/>
      <c r="B24" s="135" t="s">
        <v>196</v>
      </c>
      <c r="C24" s="167">
        <f>Debt!I24+Debt!I43</f>
        <v>0</v>
      </c>
      <c r="D24" s="167">
        <f>Debt!J24+Debt!J43</f>
        <v>12675915</v>
      </c>
      <c r="E24" s="167">
        <f>Debt!K24+Debt!K43</f>
        <v>12675915</v>
      </c>
      <c r="F24" s="167">
        <f>Debt!L24+Debt!L43</f>
        <v>11091425.625</v>
      </c>
      <c r="G24" s="167">
        <f>Debt!M24+Debt!M43</f>
        <v>9506936.25</v>
      </c>
      <c r="H24" s="167">
        <f>Debt!N24+Debt!N43</f>
        <v>7922446.875</v>
      </c>
      <c r="I24" s="167">
        <f>Debt!O24+Debt!O43</f>
        <v>6337957.5</v>
      </c>
      <c r="J24" s="167">
        <f>Debt!P24+Debt!P43</f>
        <v>4753468.125</v>
      </c>
      <c r="K24" s="167">
        <f>Debt!Q24+Debt!Q43</f>
        <v>3168978.75</v>
      </c>
      <c r="L24" s="167">
        <f>Debt!R24+Debt!R43</f>
        <v>1584489.375</v>
      </c>
      <c r="M24" s="167">
        <f>Debt!S24+Debt!S43</f>
        <v>0</v>
      </c>
      <c r="N24" s="167">
        <f>Debt!S24+Debt!S43</f>
        <v>0</v>
      </c>
      <c r="O24" s="167">
        <f>Debt!T24+Debt!T43</f>
        <v>0</v>
      </c>
      <c r="P24" s="168">
        <f>Debt!U24+Debt!U43</f>
        <v>0</v>
      </c>
      <c r="Q24" s="26"/>
    </row>
    <row r="25" spans="1:17" ht="15.75" customHeight="1">
      <c r="A25" s="26"/>
      <c r="B25" s="26"/>
      <c r="C25" s="26"/>
      <c r="D25" s="26"/>
      <c r="E25" s="26"/>
      <c r="F25" s="26"/>
      <c r="G25" s="26"/>
      <c r="H25" s="26"/>
      <c r="I25" s="26"/>
      <c r="J25" s="26"/>
      <c r="K25" s="26"/>
      <c r="L25" s="26"/>
      <c r="M25" s="26"/>
      <c r="N25" s="26"/>
      <c r="O25" s="26"/>
      <c r="P25" s="26"/>
      <c r="Q25" s="26"/>
    </row>
    <row r="26" spans="1:17" ht="15.75" customHeight="1">
      <c r="A26" s="26"/>
      <c r="B26" s="26"/>
      <c r="C26" s="26"/>
      <c r="D26" s="26"/>
      <c r="E26" s="26"/>
      <c r="F26" s="26"/>
      <c r="G26" s="26"/>
      <c r="H26" s="26"/>
      <c r="I26" s="26"/>
      <c r="J26" s="26"/>
      <c r="K26" s="26"/>
      <c r="L26" s="26"/>
      <c r="M26" s="26"/>
      <c r="N26" s="26"/>
      <c r="O26" s="26"/>
      <c r="P26" s="26"/>
      <c r="Q26" s="26"/>
    </row>
    <row r="27" spans="1:17" ht="14.25" customHeight="1">
      <c r="A27" s="26"/>
      <c r="B27" s="1394" t="s">
        <v>209</v>
      </c>
      <c r="C27" s="1388"/>
      <c r="D27" s="26"/>
      <c r="F27" s="206" t="s">
        <v>297</v>
      </c>
      <c r="G27" s="141"/>
      <c r="H27" s="26"/>
      <c r="I27" s="1387" t="s">
        <v>316</v>
      </c>
      <c r="J27" s="1389"/>
      <c r="K27" s="1388"/>
      <c r="L27" s="26"/>
      <c r="M27" s="26"/>
      <c r="N27" s="26"/>
      <c r="O27" s="26"/>
      <c r="P27" s="26"/>
      <c r="Q27" s="26"/>
    </row>
    <row r="28" spans="1:17" ht="15.75" customHeight="1">
      <c r="A28" s="26"/>
      <c r="B28" s="169" t="s">
        <v>211</v>
      </c>
      <c r="C28" s="170" t="s">
        <v>212</v>
      </c>
      <c r="D28" s="26"/>
      <c r="F28" s="193" t="s">
        <v>299</v>
      </c>
      <c r="G28" s="193" t="s">
        <v>300</v>
      </c>
      <c r="H28" s="26"/>
      <c r="I28" s="169" t="s">
        <v>211</v>
      </c>
      <c r="J28" s="209" t="s">
        <v>212</v>
      </c>
      <c r="K28" s="170" t="s">
        <v>317</v>
      </c>
      <c r="L28" s="26"/>
      <c r="M28" s="26"/>
      <c r="N28" s="26"/>
      <c r="O28" s="26"/>
      <c r="P28" s="26"/>
      <c r="Q28" s="26"/>
    </row>
    <row r="29" spans="1:17" ht="15.75" customHeight="1">
      <c r="A29" s="26"/>
      <c r="B29" s="125" t="s">
        <v>213</v>
      </c>
      <c r="C29" s="171">
        <f>Inputs!E66</f>
        <v>11856915</v>
      </c>
      <c r="D29" s="26"/>
      <c r="F29" s="194" t="s">
        <v>302</v>
      </c>
      <c r="G29" s="207">
        <f t="array" ref="G29">IFERROR((INDEX('Calendar Assumptions'!$F$5:$P$5,MATCH(Valuations!C128,'Calendar Assumptions'!$F$4:$P$4,0))+INDEX('Calendar Assumptions'!$F$6:$P$6,MATCH(Valuations!C128,'Calendar Assumptions'!$F$4:$P$4,0))+INDEX('Calendar Assumptions'!$F$7:$P$7,MATCH(Valuations!C128,'Calendar Assumptions'!$F$4:$P$4,0))),0)</f>
        <v>48.516000000000005</v>
      </c>
      <c r="H29" s="26"/>
      <c r="I29" s="125" t="s">
        <v>319</v>
      </c>
      <c r="J29" s="211">
        <f>'Calendar Assumptions'!H16</f>
        <v>162.34200000000004</v>
      </c>
      <c r="K29" s="127" t="s">
        <v>320</v>
      </c>
      <c r="L29" s="26"/>
      <c r="M29" s="26"/>
      <c r="N29" s="26"/>
      <c r="O29" s="26"/>
      <c r="P29" s="26"/>
      <c r="Q29" s="26"/>
    </row>
    <row r="30" spans="1:17" ht="15.75" customHeight="1">
      <c r="A30" s="26"/>
      <c r="B30" s="125" t="s">
        <v>215</v>
      </c>
      <c r="C30" s="171">
        <f>Inputs!E66</f>
        <v>11856915</v>
      </c>
      <c r="D30" s="26"/>
      <c r="F30" s="194" t="s">
        <v>304</v>
      </c>
      <c r="G30" s="207">
        <f t="array" ref="G30">IFERROR(INDEX('Calendar Assumptions'!$F$8:$P$8, MATCH(Valuations!C128,'Calendar Assumptions'!$F$4:$P$4,0)),0)</f>
        <v>16.794</v>
      </c>
      <c r="H30" s="26"/>
      <c r="I30" s="125" t="s">
        <v>262</v>
      </c>
      <c r="J30" s="191">
        <f>'P&amp;L'!L28</f>
        <v>20615521.882462904</v>
      </c>
      <c r="K30" s="127" t="s">
        <v>322</v>
      </c>
      <c r="L30" s="26"/>
      <c r="M30" s="26"/>
      <c r="N30" s="26"/>
      <c r="O30" s="26"/>
      <c r="P30" s="26"/>
      <c r="Q30" s="26"/>
    </row>
    <row r="31" spans="1:17" ht="15.75" customHeight="1">
      <c r="A31" s="26"/>
      <c r="B31" s="125" t="s">
        <v>217</v>
      </c>
      <c r="C31" s="171">
        <f>Inputs!E118+Inputs!E114</f>
        <v>8970383.0899999999</v>
      </c>
      <c r="D31" s="26"/>
      <c r="F31" s="194" t="s">
        <v>306</v>
      </c>
      <c r="G31" s="207">
        <f t="array" ref="G31">IFERROR(INDEX('Calendar Assumptions'!$F$9:$P$9, MATCH(Valuations!C128,'Calendar Assumptions'!$F$4:$P$4,0)),0)</f>
        <v>13.995000000000001</v>
      </c>
      <c r="H31" s="26"/>
      <c r="I31" s="125" t="s">
        <v>324</v>
      </c>
      <c r="J31" s="191">
        <f>J30/J29</f>
        <v>126988.22167068842</v>
      </c>
      <c r="K31" s="127" t="s">
        <v>325</v>
      </c>
      <c r="L31" s="26"/>
      <c r="M31" s="26"/>
      <c r="N31" s="26"/>
      <c r="O31" s="26"/>
      <c r="P31" s="26"/>
      <c r="Q31" s="26"/>
    </row>
    <row r="32" spans="1:17" ht="15.75" customHeight="1">
      <c r="A32" s="26"/>
      <c r="B32" s="125" t="s">
        <v>218</v>
      </c>
      <c r="C32" s="171">
        <f>Inputs!E64</f>
        <v>10</v>
      </c>
      <c r="D32" s="26"/>
      <c r="F32" s="194" t="s">
        <v>308</v>
      </c>
      <c r="G32" s="207">
        <f t="array" ref="G32">IFERROR(INDEX('Calendar Assumptions'!$F$10:$P$10, MATCH(Valuations!C128,'Calendar Assumptions'!$F$4:$P$4,0)),0)</f>
        <v>13.995000000000001</v>
      </c>
      <c r="H32" s="26"/>
      <c r="I32" s="125" t="s">
        <v>327</v>
      </c>
      <c r="J32" s="191">
        <f>'P&amp;L'!L79/J29</f>
        <v>66074.358442221652</v>
      </c>
      <c r="K32" s="127" t="s">
        <v>325</v>
      </c>
      <c r="L32" s="26"/>
      <c r="M32" s="26"/>
      <c r="N32" s="26"/>
      <c r="O32" s="26"/>
      <c r="P32" s="26"/>
      <c r="Q32" s="26"/>
    </row>
    <row r="33" spans="1:17" ht="15.75" customHeight="1">
      <c r="A33" s="26"/>
      <c r="B33" s="125" t="s">
        <v>220</v>
      </c>
      <c r="C33" s="171" t="str">
        <f>Inputs!E131</f>
        <v>FY27</v>
      </c>
      <c r="D33" s="26"/>
      <c r="F33" s="194" t="s">
        <v>2331</v>
      </c>
      <c r="G33" s="207">
        <f t="array" ref="G33">IFERROR(INDEX('Calendar Assumptions'!$F$11:$P$11, MATCH(Valuations!C128,'Calendar Assumptions'!$F$4:$P$4,0)),0)</f>
        <v>2.7990000000000004</v>
      </c>
      <c r="H33" s="26"/>
      <c r="I33" s="135" t="s">
        <v>249</v>
      </c>
      <c r="J33" s="213">
        <f>Valuations!C130</f>
        <v>0.54280443934499745</v>
      </c>
      <c r="K33" s="136" t="s">
        <v>328</v>
      </c>
      <c r="L33" s="26"/>
      <c r="M33" s="26"/>
      <c r="N33" s="26"/>
      <c r="O33" s="26"/>
      <c r="P33" s="26"/>
      <c r="Q33" s="26"/>
    </row>
    <row r="34" spans="1:17" ht="15.75" customHeight="1">
      <c r="A34" s="26"/>
      <c r="B34" s="125" t="s">
        <v>222</v>
      </c>
      <c r="C34" s="171">
        <f>Inputs!E63</f>
        <v>0.08</v>
      </c>
      <c r="D34" s="26"/>
      <c r="F34" s="194" t="s">
        <v>311</v>
      </c>
      <c r="G34" s="207">
        <f t="array" ref="G34">IFERROR(INDEX('Calendar Assumptions'!$F$12:$P$12, MATCH(Valuations!C128,'Calendar Assumptions'!$F$4:$P$4,0)),0)</f>
        <v>27.057000000000002</v>
      </c>
      <c r="H34" s="26"/>
      <c r="I34" s="26"/>
      <c r="J34" s="26"/>
      <c r="K34" s="26"/>
      <c r="L34" s="26"/>
      <c r="M34" s="26"/>
      <c r="N34" s="26"/>
      <c r="O34" s="26"/>
      <c r="P34" s="26"/>
      <c r="Q34" s="26"/>
    </row>
    <row r="35" spans="1:17" ht="15.75" customHeight="1">
      <c r="A35" s="26"/>
      <c r="B35" s="125" t="s">
        <v>224</v>
      </c>
      <c r="C35" s="171" t="str">
        <f>IF(Inputs!E133=0,"OFF","ON")</f>
        <v>OFF</v>
      </c>
      <c r="D35" s="26"/>
      <c r="F35" s="194" t="s">
        <v>272</v>
      </c>
      <c r="G35" s="207">
        <f t="array" ref="G35">IFERROR(INDEX('Calendar Assumptions'!$F$13:$P$13, MATCH(Valuations!C128,'Calendar Assumptions'!$F$4:$P$4,0)),0)</f>
        <v>11.196000000000002</v>
      </c>
      <c r="H35" s="26"/>
      <c r="I35" s="26"/>
      <c r="J35" s="26"/>
      <c r="K35" s="26"/>
      <c r="L35" s="26"/>
      <c r="M35" s="26"/>
      <c r="N35" s="26"/>
      <c r="O35" s="26"/>
      <c r="P35" s="26"/>
      <c r="Q35" s="26"/>
    </row>
    <row r="36" spans="1:17" ht="15.75" customHeight="1">
      <c r="A36" s="26"/>
      <c r="B36" s="135" t="s">
        <v>226</v>
      </c>
      <c r="C36" s="175">
        <f>(Inputs!E66+Inputs!E75)/Inputs!E159</f>
        <v>0.6</v>
      </c>
      <c r="D36" s="26"/>
      <c r="F36" s="194" t="s">
        <v>313</v>
      </c>
      <c r="G36" s="207">
        <f t="array" ref="G36">IFERROR(INDEX('Calendar Assumptions'!$F$14:$P$14, MATCH(Valuations!C128,'Calendar Assumptions'!$F$4:$P$4,0)),0)</f>
        <v>3.7320000000000002</v>
      </c>
      <c r="H36" s="26"/>
      <c r="I36" s="26"/>
      <c r="J36" s="26"/>
      <c r="K36" s="26"/>
      <c r="L36" s="26"/>
      <c r="M36" s="26"/>
      <c r="N36" s="26"/>
      <c r="O36" s="26"/>
      <c r="P36" s="26"/>
      <c r="Q36" s="26"/>
    </row>
    <row r="37" spans="1:17" ht="15.75" customHeight="1">
      <c r="A37" s="26"/>
      <c r="B37" s="26"/>
      <c r="C37" s="176"/>
      <c r="D37" s="26"/>
      <c r="E37" s="26"/>
      <c r="F37" s="26"/>
      <c r="G37" s="26"/>
      <c r="H37" s="26"/>
      <c r="I37" s="26"/>
      <c r="J37" s="26"/>
      <c r="K37" s="26"/>
      <c r="L37" s="26"/>
      <c r="M37" s="26"/>
      <c r="N37" s="26"/>
      <c r="O37" s="26"/>
      <c r="P37" s="26"/>
      <c r="Q37" s="26"/>
    </row>
    <row r="38" spans="1:17" ht="15.75" customHeight="1">
      <c r="A38" s="26"/>
      <c r="B38" s="26"/>
      <c r="C38" s="176"/>
      <c r="D38" s="26"/>
      <c r="G38" s="26"/>
      <c r="H38" s="26"/>
      <c r="I38" s="26"/>
      <c r="J38" s="26"/>
      <c r="K38" s="26"/>
      <c r="L38" s="26"/>
      <c r="M38" s="26"/>
      <c r="N38" s="26"/>
      <c r="O38" s="26"/>
      <c r="P38" s="26"/>
      <c r="Q38" s="26"/>
    </row>
    <row r="39" spans="1:17" ht="14.25" customHeight="1">
      <c r="A39" s="26"/>
      <c r="B39" s="1387" t="s">
        <v>228</v>
      </c>
      <c r="C39" s="1389"/>
      <c r="D39" s="1388"/>
      <c r="F39" s="141" t="s">
        <v>258</v>
      </c>
      <c r="G39" s="141"/>
      <c r="H39" s="26"/>
      <c r="I39" s="141" t="s">
        <v>210</v>
      </c>
      <c r="J39" s="141" t="s">
        <v>212</v>
      </c>
      <c r="K39" s="26"/>
      <c r="L39" s="141" t="s">
        <v>276</v>
      </c>
      <c r="M39" s="141"/>
      <c r="N39" s="26"/>
      <c r="O39" s="141" t="s">
        <v>209</v>
      </c>
      <c r="P39" s="192"/>
      <c r="Q39" s="26"/>
    </row>
    <row r="40" spans="1:17" ht="15.75" customHeight="1">
      <c r="A40" s="26"/>
      <c r="B40" s="177" t="s">
        <v>211</v>
      </c>
      <c r="C40" s="178" t="s">
        <v>212</v>
      </c>
      <c r="D40" s="179" t="s">
        <v>229</v>
      </c>
      <c r="F40" s="193" t="s">
        <v>211</v>
      </c>
      <c r="G40" s="193" t="s">
        <v>212</v>
      </c>
      <c r="H40" s="26"/>
      <c r="I40" s="193" t="s">
        <v>211</v>
      </c>
      <c r="J40" s="193" t="s">
        <v>212</v>
      </c>
      <c r="K40" s="26"/>
      <c r="L40" s="193" t="s">
        <v>279</v>
      </c>
      <c r="M40" s="193" t="s">
        <v>212</v>
      </c>
      <c r="N40" s="26"/>
      <c r="O40" s="193" t="s">
        <v>211</v>
      </c>
      <c r="P40" s="1470" t="s">
        <v>212</v>
      </c>
      <c r="Q40" s="26"/>
    </row>
    <row r="41" spans="1:17" ht="15.75" customHeight="1">
      <c r="A41" s="26"/>
      <c r="B41" s="125" t="s">
        <v>79</v>
      </c>
      <c r="C41" s="180">
        <f>Valuations!C9</f>
        <v>0.1</v>
      </c>
      <c r="D41" s="127" t="s">
        <v>230</v>
      </c>
      <c r="F41" s="194" t="s">
        <v>262</v>
      </c>
      <c r="G41" s="196">
        <f>'P&amp;L'!L28</f>
        <v>20615521.882462904</v>
      </c>
      <c r="H41" s="26"/>
      <c r="I41" s="194" t="s">
        <v>251</v>
      </c>
      <c r="J41" s="196">
        <f>Inputs!E159</f>
        <v>19761525</v>
      </c>
      <c r="K41" s="26"/>
      <c r="L41" s="194" t="s">
        <v>281</v>
      </c>
      <c r="M41" s="196">
        <f t="array" ref="M41">IFERROR(INDEX('P&amp;L'!$G$14:$T$14, MATCH(Inputs!$E$488,'P&amp;L'!$G$6:$T$6,0)),0)</f>
        <v>7723631.2311432613</v>
      </c>
      <c r="N41" s="26"/>
      <c r="O41" s="194" t="s">
        <v>213</v>
      </c>
      <c r="P41" s="195">
        <f>Debt!C5+Debt!D5</f>
        <v>12675915</v>
      </c>
      <c r="Q41" s="26"/>
    </row>
    <row r="42" spans="1:17" ht="15.75" customHeight="1">
      <c r="A42" s="26"/>
      <c r="B42" s="125" t="s">
        <v>132</v>
      </c>
      <c r="C42" s="180">
        <f>Valuations!C15</f>
        <v>7</v>
      </c>
      <c r="D42" s="127" t="s">
        <v>231</v>
      </c>
      <c r="E42" s="26"/>
      <c r="F42" s="194" t="s">
        <v>264</v>
      </c>
      <c r="G42" s="196">
        <f>'P&amp;L'!L40</f>
        <v>18125573.176462904</v>
      </c>
      <c r="H42" s="26"/>
      <c r="I42" s="194" t="s">
        <v>252</v>
      </c>
      <c r="J42" s="196">
        <f>SUM(Cashflow!D13:O14)</f>
        <v>8970383.0899999999</v>
      </c>
      <c r="K42" s="26"/>
      <c r="L42" s="194" t="s">
        <v>283</v>
      </c>
      <c r="M42" s="196">
        <f t="array" ref="M42">IFERROR(INDEX('P&amp;L'!$G$15:$T$15, MATCH(Inputs!$E$488,'P&amp;L'!$G$6:$T$6,0)),0)</f>
        <v>1084742.1055876082</v>
      </c>
      <c r="N42" s="26"/>
      <c r="O42" s="194" t="s">
        <v>215</v>
      </c>
      <c r="P42" s="195">
        <f>Debt!C5</f>
        <v>12675915</v>
      </c>
      <c r="Q42" s="26"/>
    </row>
    <row r="43" spans="1:17" ht="15.75" customHeight="1">
      <c r="A43" s="26"/>
      <c r="B43" s="125" t="s">
        <v>131</v>
      </c>
      <c r="C43" s="180">
        <f>Valuations!C72</f>
        <v>13901342.685076447</v>
      </c>
      <c r="D43" s="127" t="s">
        <v>232</v>
      </c>
      <c r="E43" s="26"/>
      <c r="F43" s="194" t="s">
        <v>266</v>
      </c>
      <c r="G43" s="197">
        <f>'P&amp;L'!L41</f>
        <v>0.87921971026510193</v>
      </c>
      <c r="H43" s="26"/>
      <c r="I43" s="194" t="s">
        <v>196</v>
      </c>
      <c r="J43" s="196">
        <f>Debt!C5+Debt!D5</f>
        <v>12675915</v>
      </c>
      <c r="K43" s="26"/>
      <c r="L43" s="194" t="s">
        <v>285</v>
      </c>
      <c r="M43" s="196">
        <f t="array" ref="M43">IFERROR(INDEX('P&amp;L'!$G$16:$T$16, MATCH(Inputs!$E$488,'P&amp;L'!$G$6:$T$6,0)),0)</f>
        <v>182520</v>
      </c>
      <c r="N43" s="26"/>
      <c r="O43" s="194" t="s">
        <v>253</v>
      </c>
      <c r="P43" s="195">
        <f>Debt!D5</f>
        <v>0</v>
      </c>
      <c r="Q43" s="26"/>
    </row>
    <row r="44" spans="1:17" ht="15.75" customHeight="1">
      <c r="A44" s="26"/>
      <c r="B44" s="125" t="s">
        <v>233</v>
      </c>
      <c r="C44" s="180">
        <f>Valuations!C74</f>
        <v>97309398.795535132</v>
      </c>
      <c r="D44" s="127" t="s">
        <v>234</v>
      </c>
      <c r="E44" s="26"/>
      <c r="F44" s="194" t="s">
        <v>194</v>
      </c>
      <c r="G44" s="196">
        <f>'P&amp;L'!L79</f>
        <v>10726643.498227151</v>
      </c>
      <c r="H44" s="26"/>
      <c r="I44" s="194" t="s">
        <v>219</v>
      </c>
      <c r="J44" s="197">
        <f>J43/J42</f>
        <v>1.4130851350296123</v>
      </c>
      <c r="K44" s="26"/>
      <c r="L44" s="194" t="s">
        <v>287</v>
      </c>
      <c r="M44" s="196">
        <f t="array" ref="M44">IFERROR(INDEX('P&amp;L'!$G$17:$T$17, MATCH(Inputs!$E$488,'P&amp;L'!$G$6:$T$6,0)),0)</f>
        <v>8690093.4291223064</v>
      </c>
      <c r="N44" s="26"/>
      <c r="O44" s="194" t="s">
        <v>218</v>
      </c>
      <c r="P44" s="195">
        <f>Debt!C6</f>
        <v>10</v>
      </c>
      <c r="Q44" s="26"/>
    </row>
    <row r="45" spans="1:17" ht="15.75" customHeight="1">
      <c r="A45" s="26"/>
      <c r="B45" s="125" t="s">
        <v>235</v>
      </c>
      <c r="C45" s="180">
        <f>Valuations!C91</f>
        <v>62301606.637933955</v>
      </c>
      <c r="D45" s="127" t="s">
        <v>236</v>
      </c>
      <c r="E45" s="26"/>
      <c r="F45" s="194" t="s">
        <v>269</v>
      </c>
      <c r="G45" s="197">
        <f>'P&amp;L'!L80</f>
        <v>0.52031879471128173</v>
      </c>
      <c r="H45" s="26"/>
      <c r="I45" s="194" t="s">
        <v>221</v>
      </c>
      <c r="J45" s="197">
        <f>Valuations!C109</f>
        <v>0.24794586632771631</v>
      </c>
      <c r="K45" s="26"/>
      <c r="L45" s="194" t="s">
        <v>289</v>
      </c>
      <c r="M45" s="196">
        <f t="array" ref="M45">IFERROR(INDEX('P&amp;L'!$G$18:$T$18, MATCH(Inputs!$E$488,'P&amp;L'!$G$6:$T$6,0)),0)</f>
        <v>832800</v>
      </c>
      <c r="N45" s="26"/>
      <c r="O45" s="194" t="s">
        <v>254</v>
      </c>
      <c r="P45" s="195">
        <f>Debt!D6</f>
        <v>10</v>
      </c>
      <c r="Q45" s="26"/>
    </row>
    <row r="46" spans="1:17" ht="15.75" customHeight="1">
      <c r="A46" s="26"/>
      <c r="B46" s="125" t="s">
        <v>237</v>
      </c>
      <c r="C46" s="180">
        <f>Valuations!C93+Valuations!C94</f>
        <v>-12223686.600000001</v>
      </c>
      <c r="D46" s="127" t="s">
        <v>238</v>
      </c>
      <c r="E46" s="26"/>
      <c r="F46" s="194" t="s">
        <v>271</v>
      </c>
      <c r="G46" s="196">
        <f>'P&amp;L'!L95</f>
        <v>6240242.941259006</v>
      </c>
      <c r="H46" s="26"/>
      <c r="I46" s="194" t="s">
        <v>223</v>
      </c>
      <c r="J46" s="197">
        <f>Valuations!C123</f>
        <v>0.33284790951683618</v>
      </c>
      <c r="K46" s="26"/>
      <c r="L46" s="194" t="s">
        <v>291</v>
      </c>
      <c r="M46" s="196">
        <f t="array" ref="M46">IFERROR(INDEX('P&amp;L'!$G$20:$T$20, MATCH(Inputs!$E$488,'P&amp;L'!$G$6:$T$6,0)),0)</f>
        <v>2610000</v>
      </c>
      <c r="N46" s="26"/>
      <c r="O46" s="194" t="s">
        <v>222</v>
      </c>
      <c r="P46" s="199">
        <f>Debt!C7</f>
        <v>0.08</v>
      </c>
      <c r="Q46" s="26"/>
    </row>
    <row r="47" spans="1:17" ht="15.75" customHeight="1">
      <c r="A47" s="26"/>
      <c r="B47" s="135" t="s">
        <v>239</v>
      </c>
      <c r="C47" s="181">
        <f>Valuations!C23</f>
        <v>50077920.037933953</v>
      </c>
      <c r="D47" s="136" t="s">
        <v>240</v>
      </c>
      <c r="E47" s="26"/>
      <c r="F47" s="194" t="s">
        <v>273</v>
      </c>
      <c r="G47" s="197">
        <f>IF(G41=0,0,G46/G41)</f>
        <v>0.30269633613143798</v>
      </c>
      <c r="H47" s="26"/>
      <c r="I47" s="194" t="s">
        <v>225</v>
      </c>
      <c r="J47" s="197">
        <f>Valuations!C127</f>
        <v>17.693182272018159</v>
      </c>
      <c r="K47" s="26"/>
      <c r="L47" s="194" t="s">
        <v>292</v>
      </c>
      <c r="M47" s="196">
        <f t="array" ref="M47">IFERROR(INDEX('P&amp;L'!$G$24:$T$24, MATCH(Inputs!$E$488,'P&amp;L'!$G$6:$T$6,0)),0)</f>
        <v>2368156.4067632607</v>
      </c>
      <c r="N47" s="26"/>
      <c r="O47" s="194" t="s">
        <v>255</v>
      </c>
      <c r="P47" s="199">
        <f>Debt!D7</f>
        <v>0.12</v>
      </c>
      <c r="Q47" s="26"/>
    </row>
    <row r="48" spans="1:17" ht="15.75" customHeight="1">
      <c r="A48" s="26"/>
      <c r="B48" s="26"/>
      <c r="C48" s="176"/>
      <c r="D48" s="26"/>
      <c r="E48" s="26"/>
      <c r="F48" s="26"/>
      <c r="G48" s="26"/>
      <c r="H48" s="26"/>
      <c r="I48" s="194" t="s">
        <v>227</v>
      </c>
      <c r="J48" s="201" t="s">
        <v>155</v>
      </c>
      <c r="K48" s="26"/>
      <c r="L48" s="194" t="s">
        <v>294</v>
      </c>
      <c r="M48" s="196">
        <f t="array" ref="M48">IFERROR(INDEX('P&amp;L'!$G$25:$T$25, MATCH(Inputs!$E$488,'P&amp;L'!$G$6:$T$6,0)),0)</f>
        <v>736048.61291290494</v>
      </c>
      <c r="N48" s="26"/>
      <c r="O48" s="194" t="s">
        <v>256</v>
      </c>
      <c r="P48" s="195" t="s">
        <v>202</v>
      </c>
      <c r="Q48" s="26"/>
    </row>
    <row r="49" spans="1:17" ht="15.75" customHeight="1">
      <c r="A49" s="26"/>
      <c r="B49" s="26"/>
      <c r="C49" s="176"/>
      <c r="D49" s="26"/>
      <c r="E49" s="26"/>
      <c r="F49" s="26"/>
      <c r="G49" s="26"/>
      <c r="H49" s="26"/>
      <c r="I49" s="26"/>
      <c r="J49" s="26"/>
      <c r="K49" s="26"/>
      <c r="L49" s="26"/>
      <c r="M49" s="26"/>
      <c r="N49" s="26"/>
      <c r="O49" s="153" t="s">
        <v>226</v>
      </c>
      <c r="P49" s="148">
        <f>P41/Inputs!E159</f>
        <v>0.64144416992109665</v>
      </c>
      <c r="Q49" s="26"/>
    </row>
    <row r="50" spans="1:17" ht="14.25" customHeight="1">
      <c r="A50" s="26"/>
      <c r="B50" s="1387" t="s">
        <v>241</v>
      </c>
      <c r="C50" s="1389"/>
      <c r="D50" s="1388"/>
      <c r="E50" s="182"/>
      <c r="F50" s="1394" t="s">
        <v>210</v>
      </c>
      <c r="G50" s="1388"/>
      <c r="H50" s="26"/>
      <c r="I50" s="141" t="s">
        <v>258</v>
      </c>
      <c r="J50" s="141"/>
      <c r="K50" s="26"/>
      <c r="L50" s="141" t="s">
        <v>296</v>
      </c>
      <c r="M50" s="141"/>
      <c r="N50" s="26"/>
      <c r="O50" s="141" t="s">
        <v>257</v>
      </c>
      <c r="P50" s="192"/>
      <c r="Q50" s="26"/>
    </row>
    <row r="51" spans="1:17" ht="15.75" customHeight="1">
      <c r="A51" s="26"/>
      <c r="B51" s="169" t="s">
        <v>211</v>
      </c>
      <c r="C51" s="183" t="s">
        <v>212</v>
      </c>
      <c r="D51" s="170" t="s">
        <v>4</v>
      </c>
      <c r="E51" s="26"/>
      <c r="F51" s="169" t="s">
        <v>211</v>
      </c>
      <c r="G51" s="170" t="s">
        <v>212</v>
      </c>
      <c r="H51" s="26"/>
      <c r="I51" s="193" t="s">
        <v>211</v>
      </c>
      <c r="J51" s="193" t="s">
        <v>212</v>
      </c>
      <c r="K51" s="26"/>
      <c r="L51" s="193" t="s">
        <v>299</v>
      </c>
      <c r="M51" s="193" t="s">
        <v>300</v>
      </c>
      <c r="N51" s="26"/>
      <c r="O51" s="202" t="s">
        <v>259</v>
      </c>
      <c r="P51" s="202" t="s">
        <v>260</v>
      </c>
      <c r="Q51" s="26"/>
    </row>
    <row r="52" spans="1:17" ht="15.75" customHeight="1">
      <c r="A52" s="26"/>
      <c r="B52" s="125" t="s">
        <v>221</v>
      </c>
      <c r="C52" s="184">
        <f>Valuations!C20</f>
        <v>0.24794586632771631</v>
      </c>
      <c r="D52" s="127" t="s">
        <v>242</v>
      </c>
      <c r="E52" s="26"/>
      <c r="F52" s="125" t="s">
        <v>214</v>
      </c>
      <c r="G52" s="172">
        <f>Inputs!E60</f>
        <v>22496298.09</v>
      </c>
      <c r="H52" s="26"/>
      <c r="I52" s="194" t="s">
        <v>262</v>
      </c>
      <c r="J52" s="196">
        <f>'P&amp;L'!T28</f>
        <v>25571991.785529338</v>
      </c>
      <c r="K52" s="26"/>
      <c r="L52" s="194" t="s">
        <v>302</v>
      </c>
      <c r="M52" s="207">
        <f t="array" ref="M52">IFERROR((INDEX('Calendar Assumptions'!$F$5:$P$5,MATCH(Inputs!$E$488,'Calendar Assumptions'!$F$4:$P$4,0))+INDEX('Calendar Assumptions'!$F$6:$P$6,MATCH(Inputs!$E$488,'Calendar Assumptions'!$F$4:$P$4,0))+INDEX('Calendar Assumptions'!$F$7:$P$7,MATCH(Inputs!$E$488,'Calendar Assumptions'!$F$4:$P$4,0))),0)</f>
        <v>52</v>
      </c>
      <c r="N52" s="26"/>
      <c r="O52" s="203" t="s">
        <v>261</v>
      </c>
      <c r="P52" s="204">
        <f>'Revenue Assumptions'!D5</f>
        <v>5000</v>
      </c>
      <c r="Q52" s="26"/>
    </row>
    <row r="53" spans="1:17" ht="15.75" customHeight="1">
      <c r="A53" s="26"/>
      <c r="B53" s="125" t="s">
        <v>223</v>
      </c>
      <c r="C53" s="184">
        <f>Valuations!C22</f>
        <v>0.33284790951683618</v>
      </c>
      <c r="D53" s="127" t="s">
        <v>243</v>
      </c>
      <c r="E53" s="26"/>
      <c r="F53" s="125" t="s">
        <v>216</v>
      </c>
      <c r="G53" s="172">
        <f>Inputs!E120</f>
        <v>8970383.0899999999</v>
      </c>
      <c r="H53" s="26"/>
      <c r="I53" s="194" t="s">
        <v>264</v>
      </c>
      <c r="J53" s="196">
        <f>'P&amp;L'!T40</f>
        <v>22466577.085336529</v>
      </c>
      <c r="K53" s="26"/>
      <c r="L53" s="194" t="s">
        <v>304</v>
      </c>
      <c r="M53" s="201">
        <f t="array" ref="M53">IFERROR(INDEX('Calendar Assumptions'!$F$8:$P$8, MATCH(Inputs!$E$488,'Calendar Assumptions'!$F$4:$P$4,0)),0)</f>
        <v>18</v>
      </c>
      <c r="N53" s="26"/>
      <c r="O53" s="203" t="s">
        <v>263</v>
      </c>
      <c r="P53" s="204">
        <f>'Revenue Assumptions'!D6</f>
        <v>3000</v>
      </c>
      <c r="Q53" s="26"/>
    </row>
    <row r="54" spans="1:17" ht="15.75" customHeight="1">
      <c r="A54" s="26"/>
      <c r="B54" s="125" t="s">
        <v>244</v>
      </c>
      <c r="C54" s="180">
        <f>Valuations!C21</f>
        <v>62301606.637933955</v>
      </c>
      <c r="D54" s="127" t="s">
        <v>245</v>
      </c>
      <c r="E54" s="26"/>
      <c r="F54" s="125" t="s">
        <v>196</v>
      </c>
      <c r="G54" s="172">
        <f>Inputs!E53-Inputs!E51</f>
        <v>12675915</v>
      </c>
      <c r="H54" s="26"/>
      <c r="I54" s="194" t="s">
        <v>266</v>
      </c>
      <c r="J54" s="197">
        <f>'P&amp;L'!T41</f>
        <v>0.87856187635919314</v>
      </c>
      <c r="K54" s="26"/>
      <c r="L54" s="194" t="s">
        <v>306</v>
      </c>
      <c r="M54" s="201">
        <f t="array" ref="M54">IFERROR(INDEX('Calendar Assumptions'!$F$9:$P$9, MATCH(Inputs!$E$488,'Calendar Assumptions'!$F$4:$P$4,0)),0)</f>
        <v>15</v>
      </c>
      <c r="N54" s="26"/>
      <c r="O54" s="203" t="s">
        <v>265</v>
      </c>
      <c r="P54" s="204">
        <f>'Revenue Assumptions'!D7</f>
        <v>1500</v>
      </c>
      <c r="Q54" s="26"/>
    </row>
    <row r="55" spans="1:17" ht="15.75" customHeight="1">
      <c r="A55" s="26"/>
      <c r="B55" s="125" t="s">
        <v>246</v>
      </c>
      <c r="C55" s="180">
        <f>Valuations!C23</f>
        <v>50077920.037933953</v>
      </c>
      <c r="D55" s="127" t="s">
        <v>247</v>
      </c>
      <c r="E55" s="26"/>
      <c r="F55" s="125" t="s">
        <v>219</v>
      </c>
      <c r="G55" s="173">
        <f>IF(Inputs!E120&gt;0,Inputs!E66/Inputs!E120,0)</f>
        <v>1.3217846864553473</v>
      </c>
      <c r="H55" s="26"/>
      <c r="I55" s="194" t="s">
        <v>194</v>
      </c>
      <c r="J55" s="196">
        <f>'P&amp;L'!T79</f>
        <v>13901342.685076447</v>
      </c>
      <c r="K55" s="26"/>
      <c r="L55" s="194" t="s">
        <v>308</v>
      </c>
      <c r="M55" s="201">
        <f t="array" ref="M55">IFERROR(INDEX('Calendar Assumptions'!$F$10:$P$10, MATCH(Inputs!$E$488,'Calendar Assumptions'!$F$4:$P$4,0)),0)</f>
        <v>15</v>
      </c>
      <c r="N55" s="26"/>
      <c r="O55" s="203" t="s">
        <v>267</v>
      </c>
      <c r="P55" s="204">
        <f>'Revenue Assumptions'!D8</f>
        <v>3500</v>
      </c>
      <c r="Q55" s="26"/>
    </row>
    <row r="56" spans="1:17" ht="15.75" customHeight="1">
      <c r="A56" s="26"/>
      <c r="B56" s="125" t="s">
        <v>225</v>
      </c>
      <c r="C56" s="185">
        <f>Valuations!C24</f>
        <v>17.693182272018159</v>
      </c>
      <c r="D56" s="127" t="s">
        <v>248</v>
      </c>
      <c r="E56" s="26"/>
      <c r="F56" s="125" t="s">
        <v>221</v>
      </c>
      <c r="G56" s="197">
        <f>Valuations!C20</f>
        <v>0.24794586632771631</v>
      </c>
      <c r="H56" s="26"/>
      <c r="I56" s="194" t="s">
        <v>269</v>
      </c>
      <c r="J56" s="197">
        <f>'P&amp;L'!T80</f>
        <v>0.54361595301868237</v>
      </c>
      <c r="K56" s="26"/>
      <c r="L56" s="194" t="s">
        <v>2331</v>
      </c>
      <c r="M56" s="201">
        <f t="array" ref="M56">IFERROR(INDEX('Calendar Assumptions'!$F$11:$P$11, MATCH(Inputs!$E$488,'Calendar Assumptions'!$F$4:$P$4,0)),0)</f>
        <v>3</v>
      </c>
      <c r="N56" s="26"/>
      <c r="O56" s="203" t="s">
        <v>268</v>
      </c>
      <c r="P56" s="204">
        <f>'Revenue Assumptions'!D9</f>
        <v>3500</v>
      </c>
      <c r="Q56" s="26"/>
    </row>
    <row r="57" spans="1:17" ht="15.75" customHeight="1">
      <c r="A57" s="26"/>
      <c r="B57" s="135" t="s">
        <v>249</v>
      </c>
      <c r="C57" s="186">
        <f>Valuations!C26</f>
        <v>0.70345495527680413</v>
      </c>
      <c r="D57" s="136" t="s">
        <v>250</v>
      </c>
      <c r="E57" s="26"/>
      <c r="F57" s="125" t="s">
        <v>223</v>
      </c>
      <c r="G57" s="197">
        <f>Valuations!C22</f>
        <v>0.33284790951683618</v>
      </c>
      <c r="H57" s="26"/>
      <c r="I57" s="194" t="s">
        <v>271</v>
      </c>
      <c r="J57" s="196">
        <f>'P&amp;L'!T95</f>
        <v>9039286.5045535136</v>
      </c>
      <c r="K57" s="26"/>
      <c r="L57" s="194" t="s">
        <v>311</v>
      </c>
      <c r="M57" s="201">
        <f t="array" ref="M57">IFERROR(INDEX('Calendar Assumptions'!$F$12:$P$12, MATCH(Inputs!$E$488,'Calendar Assumptions'!$F$4:$P$4,0)),0)</f>
        <v>29</v>
      </c>
      <c r="N57" s="26"/>
      <c r="O57" s="203" t="s">
        <v>270</v>
      </c>
      <c r="P57" s="204">
        <f>'Revenue Assumptions'!D12</f>
        <v>3500</v>
      </c>
      <c r="Q57" s="26"/>
    </row>
    <row r="58" spans="1:17" ht="15.75" customHeight="1">
      <c r="A58" s="26"/>
      <c r="B58" s="26"/>
      <c r="C58" s="187"/>
      <c r="D58" s="26"/>
      <c r="E58" s="26"/>
      <c r="F58" s="125" t="s">
        <v>225</v>
      </c>
      <c r="G58" s="174">
        <f>Valuations!C24</f>
        <v>17.693182272018159</v>
      </c>
      <c r="H58" s="26"/>
      <c r="I58" s="194" t="s">
        <v>273</v>
      </c>
      <c r="J58" s="197">
        <f>IF(J52=0,0,J57/J52)</f>
        <v>0.35348386548710919</v>
      </c>
      <c r="K58" s="26"/>
      <c r="L58" s="194" t="s">
        <v>272</v>
      </c>
      <c r="M58" s="201">
        <f t="array" ref="M58">IFERROR(INDEX('Calendar Assumptions'!$F$13:$P$13, MATCH(Inputs!$E$488,'Calendar Assumptions'!$F$4:$P$4,0)),0)</f>
        <v>12</v>
      </c>
      <c r="N58" s="26"/>
      <c r="O58" s="203" t="s">
        <v>272</v>
      </c>
      <c r="P58" s="204">
        <f>'Revenue Assumptions'!D13</f>
        <v>2000</v>
      </c>
      <c r="Q58" s="26"/>
    </row>
    <row r="59" spans="1:17" ht="15.75" customHeight="1">
      <c r="A59" s="26"/>
      <c r="B59" s="26"/>
      <c r="C59" s="176"/>
      <c r="D59" s="26"/>
      <c r="E59" s="26"/>
      <c r="F59" s="135" t="s">
        <v>227</v>
      </c>
      <c r="G59" s="201" t="str">
        <f>Valuations!C25</f>
        <v>FY30</v>
      </c>
      <c r="H59" s="26"/>
      <c r="I59" s="194"/>
      <c r="J59" s="197"/>
      <c r="K59" s="26"/>
      <c r="L59" s="194" t="s">
        <v>313</v>
      </c>
      <c r="M59" s="201">
        <f t="array" ref="M59">IFERROR(INDEX('Calendar Assumptions'!$F$14:$P$14, MATCH(Inputs!$E$488,'Calendar Assumptions'!$F$4:$P$4,0)),0)</f>
        <v>4</v>
      </c>
      <c r="N59" s="26"/>
      <c r="O59" s="203" t="s">
        <v>274</v>
      </c>
      <c r="P59" s="204">
        <v>6000</v>
      </c>
      <c r="Q59" s="26"/>
    </row>
    <row r="60" spans="1:17" ht="15.75" customHeight="1">
      <c r="A60" s="26"/>
      <c r="B60" s="26"/>
      <c r="C60" s="176"/>
      <c r="D60" s="26"/>
      <c r="E60" s="26"/>
      <c r="F60" s="26"/>
      <c r="G60" s="26"/>
      <c r="H60" s="26"/>
      <c r="I60" s="26"/>
      <c r="J60" s="26"/>
      <c r="K60" s="26"/>
      <c r="L60" s="26"/>
      <c r="M60" s="26"/>
      <c r="N60" s="26"/>
      <c r="O60" s="26"/>
      <c r="P60" s="26"/>
      <c r="Q60" s="26"/>
    </row>
    <row r="61" spans="1:17" ht="14.25" customHeight="1">
      <c r="A61" s="26"/>
      <c r="B61" s="1386"/>
      <c r="C61" s="1305"/>
      <c r="D61" s="26"/>
      <c r="E61" s="1386"/>
      <c r="F61" s="1305"/>
      <c r="G61" s="26"/>
      <c r="H61" s="26"/>
      <c r="I61" s="26"/>
      <c r="J61" s="26"/>
      <c r="K61" s="26"/>
      <c r="L61" s="26"/>
      <c r="M61" s="26"/>
      <c r="N61" s="26"/>
      <c r="O61" s="26"/>
      <c r="P61" s="26"/>
      <c r="Q61" s="26"/>
    </row>
    <row r="62" spans="1:17" ht="15.75" customHeight="1">
      <c r="A62" s="26"/>
      <c r="B62" s="188"/>
      <c r="C62" s="189"/>
      <c r="D62" s="26"/>
      <c r="E62" s="188"/>
      <c r="F62" s="188"/>
      <c r="G62" s="26"/>
      <c r="H62" s="26"/>
      <c r="I62" s="26"/>
      <c r="J62" s="26"/>
      <c r="K62" s="26"/>
      <c r="L62" s="26"/>
      <c r="M62" s="26"/>
      <c r="N62" s="26"/>
      <c r="O62" s="26"/>
      <c r="P62" s="26"/>
      <c r="Q62" s="26"/>
    </row>
    <row r="63" spans="1:17" ht="15.75" customHeight="1">
      <c r="A63" s="26"/>
      <c r="B63" s="141" t="s">
        <v>275</v>
      </c>
      <c r="C63" s="192"/>
      <c r="D63" s="26"/>
      <c r="E63" s="26"/>
      <c r="F63" s="1471" t="s">
        <v>329</v>
      </c>
      <c r="G63" s="1472"/>
      <c r="H63" s="1472"/>
      <c r="I63" s="1472"/>
      <c r="J63" s="1472"/>
      <c r="K63" s="1473"/>
      <c r="L63" s="26"/>
      <c r="P63" s="26"/>
      <c r="Q63" s="26"/>
    </row>
    <row r="64" spans="1:17" ht="14.25" customHeight="1">
      <c r="A64" s="26"/>
      <c r="B64" s="193" t="s">
        <v>277</v>
      </c>
      <c r="C64" s="1470" t="s">
        <v>278</v>
      </c>
      <c r="D64" s="153"/>
      <c r="F64" s="1390" t="s">
        <v>330</v>
      </c>
      <c r="G64" s="1305"/>
      <c r="H64" s="1305"/>
      <c r="I64" s="1305"/>
      <c r="J64" s="1305"/>
      <c r="K64" s="1391"/>
      <c r="L64" s="26"/>
      <c r="P64" s="26"/>
      <c r="Q64" s="26"/>
    </row>
    <row r="65" spans="1:17" ht="14.25" customHeight="1">
      <c r="A65" s="26"/>
      <c r="B65" s="194" t="s">
        <v>280</v>
      </c>
      <c r="C65" s="205">
        <f>Inputs!E9</f>
        <v>46054</v>
      </c>
      <c r="D65" s="153"/>
      <c r="F65" s="169" t="s">
        <v>331</v>
      </c>
      <c r="G65" s="214" t="s">
        <v>96</v>
      </c>
      <c r="H65" s="214" t="s">
        <v>97</v>
      </c>
      <c r="I65" s="214" t="s">
        <v>98</v>
      </c>
      <c r="J65" s="214" t="s">
        <v>99</v>
      </c>
      <c r="K65" s="215" t="s">
        <v>100</v>
      </c>
      <c r="L65" s="26"/>
      <c r="P65" s="26"/>
      <c r="Q65" s="26"/>
    </row>
    <row r="66" spans="1:17" ht="14.25" customHeight="1">
      <c r="A66" s="26"/>
      <c r="B66" s="194" t="s">
        <v>282</v>
      </c>
      <c r="C66" s="205">
        <f>Inputs!E14</f>
        <v>46357</v>
      </c>
      <c r="D66" s="153"/>
      <c r="F66" s="217">
        <v>0.08</v>
      </c>
      <c r="G66" s="165">
        <f>Valuations!$C$72*6/(1+0.08)^10</f>
        <v>38634068.444166422</v>
      </c>
      <c r="H66" s="165">
        <f>Valuations!$C$72*7/(1+0.08)^10</f>
        <v>45073079.85152749</v>
      </c>
      <c r="I66" s="165">
        <f>Valuations!$C$72*8/(1+0.08)^10</f>
        <v>51512091.258888558</v>
      </c>
      <c r="J66" s="165">
        <f>Valuations!$C$72*9/(1+0.08)^10</f>
        <v>57951102.666249625</v>
      </c>
      <c r="K66" s="166">
        <f>Valuations!$C$72*10/(1+0.08)^10</f>
        <v>64390114.073610708</v>
      </c>
      <c r="L66" s="26"/>
      <c r="P66" s="26"/>
      <c r="Q66" s="26"/>
    </row>
    <row r="67" spans="1:17" ht="14.25" customHeight="1">
      <c r="A67" s="26"/>
      <c r="B67" s="194" t="s">
        <v>284</v>
      </c>
      <c r="C67" s="205">
        <f>Inputs!E18</f>
        <v>46420</v>
      </c>
      <c r="D67" s="153"/>
      <c r="F67" s="217">
        <v>0.09</v>
      </c>
      <c r="G67" s="165">
        <f>Valuations!$C$72*6/(1+0.09)^10</f>
        <v>35232464.283219747</v>
      </c>
      <c r="H67" s="165">
        <f>Valuations!$C$72*7/(1+0.09)^10</f>
        <v>41104541.663756378</v>
      </c>
      <c r="I67" s="165">
        <f>Valuations!$C$72*8/(1+0.09)^10</f>
        <v>46976619.044293001</v>
      </c>
      <c r="J67" s="165">
        <f>Valuations!$C$72*9/(1+0.09)^10</f>
        <v>52848696.424829625</v>
      </c>
      <c r="K67" s="166">
        <f>Valuations!$C$72*10/(1+0.09)^10</f>
        <v>58720773.805366255</v>
      </c>
      <c r="L67" s="26"/>
      <c r="P67" s="26"/>
      <c r="Q67" s="26"/>
    </row>
    <row r="68" spans="1:17" ht="14.25" customHeight="1">
      <c r="A68" s="26"/>
      <c r="B68" s="194" t="s">
        <v>286</v>
      </c>
      <c r="C68" s="205">
        <f>Inputs!E19</f>
        <v>46568</v>
      </c>
      <c r="D68" s="153"/>
      <c r="F68" s="217">
        <v>0.1</v>
      </c>
      <c r="G68" s="165">
        <f>Valuations!$C$72*6/(1+0.1)^10</f>
        <v>32157416.317749176</v>
      </c>
      <c r="H68" s="218">
        <f>Valuations!$C$72*7/(1+0.1)^10</f>
        <v>37516985.704040706</v>
      </c>
      <c r="I68" s="218">
        <f>Valuations!$C$72*8/(1+0.1)^10</f>
        <v>42876555.090332232</v>
      </c>
      <c r="J68" s="165">
        <f>Valuations!$C$72*9/(1+0.1)^10</f>
        <v>48236124.476623759</v>
      </c>
      <c r="K68" s="166">
        <f>Valuations!$C$72*10/(1+0.1)^10</f>
        <v>53595693.862915292</v>
      </c>
      <c r="L68" s="26"/>
      <c r="P68" s="26"/>
      <c r="Q68" s="26"/>
    </row>
    <row r="69" spans="1:17" ht="14.25" customHeight="1">
      <c r="A69" s="26"/>
      <c r="B69" s="194" t="s">
        <v>288</v>
      </c>
      <c r="C69" s="205">
        <f>Inputs!E22</f>
        <v>46569</v>
      </c>
      <c r="D69" s="153"/>
      <c r="F69" s="217">
        <v>0.11</v>
      </c>
      <c r="G69" s="165">
        <f>Valuations!$C$72*6/(1+0.11)^10</f>
        <v>29375022.766853381</v>
      </c>
      <c r="H69" s="165">
        <f>Valuations!$C$72*7/(1+0.11)^10</f>
        <v>34270859.894662276</v>
      </c>
      <c r="I69" s="165">
        <f>Valuations!$C$72*8/(1+0.11)^10</f>
        <v>39166697.022471175</v>
      </c>
      <c r="J69" s="165">
        <f>Valuations!$C$72*9/(1+0.11)^10</f>
        <v>44062534.150280073</v>
      </c>
      <c r="K69" s="166">
        <f>Valuations!$C$72*10/(1+0.11)^10</f>
        <v>48958371.278088972</v>
      </c>
      <c r="L69" s="26"/>
      <c r="P69" s="26"/>
      <c r="Q69" s="26"/>
    </row>
    <row r="70" spans="1:17" ht="15.75" customHeight="1">
      <c r="A70" s="26"/>
      <c r="B70" s="194" t="s">
        <v>290</v>
      </c>
      <c r="C70" s="205">
        <f>Inputs!E10</f>
        <v>50526</v>
      </c>
      <c r="D70" s="153"/>
      <c r="F70" s="219">
        <v>0.12</v>
      </c>
      <c r="G70" s="167">
        <f>Valuations!$C$72*6/(1+0.12)^10</f>
        <v>26855161.783622764</v>
      </c>
      <c r="H70" s="167">
        <f>Valuations!$C$72*7/(1+0.12)^10</f>
        <v>31331022.080893222</v>
      </c>
      <c r="I70" s="167">
        <f>Valuations!$C$72*8/(1+0.12)^10</f>
        <v>35806882.37816368</v>
      </c>
      <c r="J70" s="167">
        <f>Valuations!$C$72*9/(1+0.12)^10</f>
        <v>40282742.675434142</v>
      </c>
      <c r="K70" s="168">
        <f>Valuations!$C$72*10/(1+0.12)^10</f>
        <v>44758602.972704604</v>
      </c>
      <c r="L70" s="26"/>
      <c r="M70" s="26"/>
      <c r="N70" s="26"/>
      <c r="O70" s="26"/>
      <c r="P70" s="26"/>
      <c r="Q70" s="26"/>
    </row>
    <row r="71" spans="1:17" ht="14.25" customHeight="1">
      <c r="A71" s="26"/>
      <c r="B71" s="194" t="s">
        <v>130</v>
      </c>
      <c r="C71" s="196" t="str">
        <f>Valuations!C13</f>
        <v>FY38</v>
      </c>
      <c r="D71" s="153"/>
      <c r="H71" s="26"/>
      <c r="I71" s="26"/>
      <c r="J71" s="26"/>
      <c r="K71" s="26"/>
      <c r="L71" s="26"/>
      <c r="M71" s="26"/>
      <c r="N71" s="26"/>
      <c r="O71" s="26"/>
      <c r="P71" s="26"/>
      <c r="Q71" s="26"/>
    </row>
    <row r="72" spans="1:17" ht="15.75" customHeight="1">
      <c r="A72" s="26"/>
      <c r="B72" s="194" t="s">
        <v>293</v>
      </c>
      <c r="C72" s="197" t="str">
        <f>"12 years"</f>
        <v>12 years</v>
      </c>
      <c r="D72" s="153"/>
      <c r="H72" s="26"/>
      <c r="I72" s="26"/>
      <c r="J72" s="26"/>
      <c r="K72" s="26"/>
      <c r="L72" s="26"/>
      <c r="M72" s="26"/>
      <c r="N72" s="26"/>
      <c r="O72" s="26"/>
      <c r="P72" s="26"/>
      <c r="Q72" s="26"/>
    </row>
    <row r="73" spans="1:17" ht="14.25" customHeight="1">
      <c r="A73" s="26"/>
      <c r="B73" s="26"/>
      <c r="C73" s="176"/>
      <c r="D73" s="153"/>
      <c r="F73" s="1387" t="s">
        <v>314</v>
      </c>
      <c r="G73" s="1388"/>
      <c r="H73" s="26"/>
      <c r="I73" s="1387" t="s">
        <v>315</v>
      </c>
      <c r="J73" s="1389"/>
      <c r="K73" s="1388"/>
      <c r="L73" s="26"/>
      <c r="M73" s="26"/>
      <c r="N73" s="26"/>
      <c r="O73" s="26"/>
      <c r="P73" s="26"/>
      <c r="Q73" s="26"/>
    </row>
    <row r="74" spans="1:17" ht="15.75" customHeight="1">
      <c r="A74" s="26"/>
      <c r="B74" s="141" t="s">
        <v>295</v>
      </c>
      <c r="C74" s="192"/>
      <c r="D74" s="153"/>
      <c r="F74" s="169" t="s">
        <v>211</v>
      </c>
      <c r="G74" s="208" t="s">
        <v>212</v>
      </c>
      <c r="H74" s="26"/>
      <c r="I74" s="169" t="s">
        <v>211</v>
      </c>
      <c r="J74" s="209" t="s">
        <v>212</v>
      </c>
      <c r="K74" s="170" t="s">
        <v>317</v>
      </c>
      <c r="L74" s="26"/>
      <c r="M74" s="26"/>
      <c r="N74" s="26"/>
      <c r="O74" s="26"/>
      <c r="P74" s="26"/>
      <c r="Q74" s="26"/>
    </row>
    <row r="75" spans="1:17" ht="14.25" customHeight="1">
      <c r="A75" s="26"/>
      <c r="B75" s="193" t="s">
        <v>298</v>
      </c>
      <c r="C75" s="1470" t="s">
        <v>212</v>
      </c>
      <c r="D75" s="153"/>
      <c r="F75" s="125" t="s">
        <v>318</v>
      </c>
      <c r="G75" s="210">
        <f>AVERAGE(Cashflow!G67:O67)</f>
        <v>4.0738366192894055</v>
      </c>
      <c r="I75" s="125" t="s">
        <v>319</v>
      </c>
      <c r="J75" s="211">
        <f>'Calendar Assumptions'!P16</f>
        <v>174</v>
      </c>
      <c r="K75" s="127" t="s">
        <v>320</v>
      </c>
      <c r="L75" s="26"/>
      <c r="M75" s="26"/>
      <c r="N75" s="26"/>
      <c r="O75" s="26"/>
      <c r="P75" s="26"/>
      <c r="Q75" s="26"/>
    </row>
    <row r="76" spans="1:17" ht="14.25" customHeight="1">
      <c r="A76" s="26"/>
      <c r="B76" s="194" t="s">
        <v>301</v>
      </c>
      <c r="C76" s="195">
        <f t="array" ref="C76">IFERROR(INDEX('P&amp;L'!$G$67:$T$67, MATCH(Inputs!$E$488,'P&amp;L'!$G$6:$T$6,0)),0)</f>
        <v>2497512.1434486741</v>
      </c>
      <c r="D76" s="153"/>
      <c r="F76" s="125" t="s">
        <v>321</v>
      </c>
      <c r="G76" s="210">
        <f>MIN(Cashflow!G67:O67)</f>
        <v>3.0466904338978202</v>
      </c>
      <c r="I76" s="125" t="s">
        <v>262</v>
      </c>
      <c r="J76" s="191">
        <f>'P&amp;L'!T28</f>
        <v>25571991.785529338</v>
      </c>
      <c r="K76" s="127" t="s">
        <v>322</v>
      </c>
      <c r="L76" s="26"/>
      <c r="M76" s="26"/>
      <c r="N76" s="26"/>
      <c r="O76" s="26"/>
      <c r="P76" s="26"/>
      <c r="Q76" s="26"/>
    </row>
    <row r="77" spans="1:17" ht="14.25" customHeight="1">
      <c r="A77" s="26"/>
      <c r="B77" s="194" t="s">
        <v>303</v>
      </c>
      <c r="C77" s="195">
        <f t="array" ref="C77">IFERROR(INDEX('P&amp;L'!$G$45:$T$45, MATCH(Inputs!$E$488,'P&amp;L'!$G$6:$T$6,0)),0)</f>
        <v>956218.62933432672</v>
      </c>
      <c r="D77" s="153"/>
      <c r="F77" s="125" t="s">
        <v>323</v>
      </c>
      <c r="G77" s="210">
        <f>AVERAGE('P&amp;L'!J79/'P&amp;L'!J87,'P&amp;L'!K79/'P&amp;L'!K87,'P&amp;L'!L79/'P&amp;L'!L87,'P&amp;L'!M79/'P&amp;L'!M87)</f>
        <v>12.54113615938336</v>
      </c>
      <c r="I77" s="125" t="s">
        <v>324</v>
      </c>
      <c r="J77" s="191">
        <f>J76/J75</f>
        <v>146965.4700317778</v>
      </c>
      <c r="K77" s="127" t="s">
        <v>325</v>
      </c>
      <c r="L77" s="26"/>
      <c r="M77" s="26"/>
      <c r="N77" s="26"/>
      <c r="O77" s="26"/>
      <c r="P77" s="26"/>
      <c r="Q77" s="26"/>
    </row>
    <row r="78" spans="1:17" ht="14.25" customHeight="1">
      <c r="A78" s="26"/>
      <c r="B78" s="194" t="s">
        <v>305</v>
      </c>
      <c r="C78" s="195">
        <f t="array" ref="C78">IFERROR(INDEX('P&amp;L'!$G$46:$T$46, MATCH(Inputs!$E$488,'P&amp;L'!$G$6:$T$6,0)),0)</f>
        <v>315820.34914586868</v>
      </c>
      <c r="D78" s="153"/>
      <c r="F78" s="135" t="s">
        <v>326</v>
      </c>
      <c r="G78" s="212">
        <f>MIN('P&amp;L'!J79/'P&amp;L'!J87,'P&amp;L'!K79/'P&amp;L'!K87,'P&amp;L'!L79/'P&amp;L'!L87,'P&amp;L'!M79/'P&amp;L'!M87)</f>
        <v>9.7508767218690213</v>
      </c>
      <c r="I78" s="125" t="s">
        <v>327</v>
      </c>
      <c r="J78" s="191">
        <f>'P&amp;L'!T79/J75</f>
        <v>79892.774052163484</v>
      </c>
      <c r="K78" s="127" t="s">
        <v>325</v>
      </c>
      <c r="L78" s="26"/>
      <c r="M78" s="26"/>
      <c r="N78" s="26"/>
      <c r="O78" s="26"/>
      <c r="P78" s="26"/>
      <c r="Q78" s="26"/>
    </row>
    <row r="79" spans="1:17" ht="14.25" customHeight="1">
      <c r="A79" s="26"/>
      <c r="B79" s="194" t="s">
        <v>307</v>
      </c>
      <c r="C79" s="195">
        <v>0</v>
      </c>
      <c r="D79" s="153"/>
      <c r="I79" s="135" t="s">
        <v>249</v>
      </c>
      <c r="J79" s="213">
        <f>Valuations!C26</f>
        <v>0.70345495527680413</v>
      </c>
      <c r="K79" s="136" t="s">
        <v>328</v>
      </c>
      <c r="L79" s="26"/>
      <c r="M79" s="26"/>
      <c r="N79" s="26"/>
      <c r="O79" s="26"/>
      <c r="P79" s="26"/>
      <c r="Q79" s="26"/>
    </row>
    <row r="80" spans="1:17" ht="14.25" customHeight="1">
      <c r="A80" s="26"/>
      <c r="B80" s="194" t="s">
        <v>309</v>
      </c>
      <c r="C80" s="195">
        <f t="array" ref="C80">IFERROR(INDEX('P&amp;L'!$G$48:$T$48, MATCH(Inputs!$E$488,'P&amp;L'!$G$6:$T$6,0)),0)</f>
        <v>161269.96552129465</v>
      </c>
      <c r="D80" s="153"/>
      <c r="J80" s="26"/>
      <c r="K80" s="26"/>
      <c r="L80" s="26"/>
      <c r="M80" s="26"/>
      <c r="N80" s="26"/>
      <c r="O80" s="26"/>
      <c r="P80" s="26"/>
      <c r="Q80" s="26"/>
    </row>
    <row r="81" spans="1:17" ht="14.25" customHeight="1">
      <c r="A81" s="26"/>
      <c r="B81" s="194" t="s">
        <v>310</v>
      </c>
      <c r="C81" s="195">
        <f t="array" ref="C81">IFERROR((INDEX('P&amp;L'!$G$59:$T$59, MATCH(Inputs!$E$488,'P&amp;L'!$G$6:$T$6,0))+INDEX('P&amp;L'!$G$60:$T$60, MATCH(Inputs!$E$488,'P&amp;L'!$G$6:$T$6,0))+INDEX('P&amp;L'!$G$62:$T$62, MATCH(Inputs!$E$488,'P&amp;L'!$G$6:$T$6,0))+INDEX('P&amp;L'!$G$63:$T$63, MATCH(Inputs!$E$488,'P&amp;L'!$G$6:$T$6,0))+INDEX('P&amp;L'!$G$64:$T$64, MATCH(Inputs!$E$488,'P&amp;L'!$G$6:$T$6,0))+INDEX('P&amp;L'!$G$65:$T$65, MATCH(Inputs!$E$488,'P&amp;L'!$G$6:$T$6,0))),0)</f>
        <v>486093.45961842482</v>
      </c>
      <c r="D81" s="153"/>
      <c r="J81" s="26"/>
      <c r="K81" s="26"/>
      <c r="L81" s="26"/>
      <c r="M81" s="26"/>
      <c r="N81" s="26"/>
      <c r="O81" s="26"/>
      <c r="P81" s="26"/>
      <c r="Q81" s="26"/>
    </row>
    <row r="82" spans="1:17" ht="14.25" customHeight="1">
      <c r="A82" s="26"/>
      <c r="B82" s="194" t="s">
        <v>312</v>
      </c>
      <c r="C82" s="195">
        <v>0</v>
      </c>
      <c r="D82" s="153"/>
      <c r="J82" s="26"/>
      <c r="K82" s="26"/>
      <c r="L82" s="26"/>
      <c r="M82" s="26"/>
      <c r="N82" s="26"/>
      <c r="O82" s="26"/>
      <c r="P82" s="26"/>
      <c r="Q82" s="26"/>
    </row>
    <row r="83" spans="1:17" ht="14.25" customHeight="1">
      <c r="A83" s="26"/>
      <c r="D83" s="153"/>
      <c r="J83" s="26"/>
      <c r="K83" s="26"/>
      <c r="L83" s="26"/>
      <c r="M83" s="26"/>
      <c r="N83" s="26"/>
      <c r="O83" s="26"/>
      <c r="P83" s="26"/>
      <c r="Q83" s="26"/>
    </row>
    <row r="84" spans="1:17" ht="15.75" customHeight="1">
      <c r="A84" s="26"/>
      <c r="D84" s="153"/>
      <c r="H84" s="26"/>
      <c r="I84" s="26"/>
      <c r="J84" s="26"/>
      <c r="K84" s="26"/>
      <c r="L84" s="26"/>
      <c r="M84" s="26"/>
      <c r="N84" s="26"/>
      <c r="O84" s="26"/>
      <c r="P84" s="26"/>
      <c r="Q84" s="26"/>
    </row>
    <row r="85" spans="1:17" ht="14.25" customHeight="1">
      <c r="A85" s="26"/>
      <c r="B85" s="26"/>
      <c r="C85" s="176"/>
      <c r="D85" s="153"/>
      <c r="F85" s="26"/>
      <c r="G85" s="26"/>
      <c r="H85" s="26"/>
      <c r="I85" s="26"/>
      <c r="J85" s="26"/>
      <c r="K85" s="26"/>
      <c r="L85" s="26"/>
      <c r="M85" s="26"/>
      <c r="N85" s="26"/>
      <c r="O85" s="26"/>
      <c r="P85" s="26"/>
      <c r="Q85" s="26"/>
    </row>
    <row r="86" spans="1:17" ht="15" customHeight="1">
      <c r="A86" s="26"/>
      <c r="D86" s="153"/>
      <c r="H86" s="26"/>
      <c r="I86" s="26"/>
      <c r="J86" s="26"/>
      <c r="K86" s="26"/>
      <c r="L86" s="26"/>
      <c r="M86" s="26"/>
      <c r="N86" s="26"/>
      <c r="O86" s="26"/>
      <c r="P86" s="26"/>
      <c r="Q86" s="26"/>
    </row>
    <row r="87" spans="1:17" ht="14.25" customHeight="1">
      <c r="A87" s="26"/>
      <c r="D87" s="153"/>
      <c r="H87" s="26"/>
      <c r="I87" s="26"/>
      <c r="J87" s="26"/>
      <c r="K87" s="26"/>
      <c r="L87" s="26"/>
      <c r="M87" s="26"/>
      <c r="N87" s="26"/>
      <c r="O87" s="26"/>
      <c r="P87" s="26"/>
      <c r="Q87" s="26"/>
    </row>
    <row r="88" spans="1:17" ht="15.75" customHeight="1">
      <c r="A88" s="26"/>
      <c r="D88" s="153"/>
      <c r="H88" s="26"/>
      <c r="I88" s="26"/>
      <c r="J88" s="26"/>
      <c r="K88" s="26"/>
      <c r="L88" s="26"/>
      <c r="M88" s="26"/>
      <c r="N88" s="26"/>
      <c r="O88" s="26"/>
      <c r="P88" s="26"/>
      <c r="Q88" s="26"/>
    </row>
    <row r="89" spans="1:17" ht="14.25" customHeight="1">
      <c r="A89" s="26"/>
      <c r="D89" s="153"/>
      <c r="H89" s="26"/>
      <c r="I89" s="26"/>
      <c r="J89" s="26"/>
      <c r="K89" s="26"/>
      <c r="L89" s="26"/>
      <c r="M89" s="26"/>
      <c r="N89" s="26"/>
      <c r="O89" s="26"/>
      <c r="P89" s="26"/>
      <c r="Q89" s="26"/>
    </row>
    <row r="90" spans="1:17" ht="14.25" customHeight="1">
      <c r="A90" s="26"/>
      <c r="D90" s="153"/>
      <c r="H90" s="26"/>
      <c r="I90" s="26"/>
      <c r="J90" s="26"/>
      <c r="K90" s="26"/>
      <c r="L90" s="26"/>
      <c r="M90" s="26"/>
      <c r="N90" s="26"/>
      <c r="O90" s="26"/>
      <c r="P90" s="26"/>
      <c r="Q90" s="26"/>
    </row>
    <row r="91" spans="1:17" ht="14.25" customHeight="1">
      <c r="A91" s="26"/>
      <c r="D91" s="153"/>
      <c r="H91" s="26"/>
      <c r="I91" s="26"/>
      <c r="J91" s="26"/>
      <c r="K91" s="26"/>
      <c r="L91" s="26"/>
      <c r="M91" s="26"/>
      <c r="N91" s="26"/>
      <c r="O91" s="26"/>
      <c r="P91" s="26"/>
      <c r="Q91" s="26"/>
    </row>
    <row r="92" spans="1:17" ht="14.25" customHeight="1">
      <c r="A92" s="26"/>
      <c r="D92" s="153"/>
      <c r="H92" s="26"/>
      <c r="I92" s="26"/>
      <c r="J92" s="26"/>
      <c r="K92" s="26"/>
      <c r="L92" s="26"/>
      <c r="M92" s="26"/>
      <c r="N92" s="26"/>
      <c r="O92" s="26"/>
      <c r="P92" s="26"/>
      <c r="Q92" s="26"/>
    </row>
    <row r="93" spans="1:17" ht="14.25" customHeight="1">
      <c r="A93" s="26"/>
      <c r="D93" s="153"/>
      <c r="H93" s="26"/>
      <c r="I93" s="26"/>
      <c r="J93" s="26"/>
      <c r="K93" s="26"/>
      <c r="L93" s="26"/>
      <c r="M93" s="26"/>
      <c r="N93" s="26"/>
      <c r="O93" s="26"/>
      <c r="P93" s="26"/>
      <c r="Q93" s="26"/>
    </row>
    <row r="94" spans="1:17" ht="14.25" customHeight="1">
      <c r="A94" s="26"/>
      <c r="D94" s="153"/>
      <c r="H94" s="26"/>
      <c r="I94" s="26"/>
      <c r="J94" s="26"/>
      <c r="K94" s="26"/>
      <c r="L94" s="26"/>
      <c r="M94" s="26"/>
      <c r="N94" s="26"/>
      <c r="O94" s="26"/>
      <c r="P94" s="26"/>
      <c r="Q94" s="26"/>
    </row>
    <row r="95" spans="1:17" ht="15.75" customHeight="1">
      <c r="A95" s="26"/>
      <c r="D95" s="153"/>
      <c r="H95" s="26"/>
      <c r="I95" s="26"/>
      <c r="J95" s="26"/>
      <c r="K95" s="26"/>
      <c r="L95" s="26"/>
      <c r="M95" s="26"/>
      <c r="N95" s="26"/>
      <c r="O95" s="26"/>
      <c r="P95" s="26"/>
      <c r="Q95" s="26"/>
    </row>
    <row r="96" spans="1:17" ht="15.75" customHeight="1">
      <c r="A96" s="26"/>
      <c r="D96" s="26"/>
      <c r="H96" s="26"/>
      <c r="I96" s="26"/>
      <c r="J96" s="26"/>
      <c r="K96" s="26"/>
      <c r="L96" s="26"/>
      <c r="M96" s="26"/>
      <c r="N96" s="26"/>
      <c r="O96" s="26"/>
      <c r="P96" s="26"/>
      <c r="Q96" s="26"/>
    </row>
    <row r="97" spans="1:17" ht="15" customHeight="1">
      <c r="A97" s="26"/>
      <c r="D97" s="153"/>
      <c r="L97" s="26"/>
      <c r="M97" s="26"/>
      <c r="N97" s="26"/>
      <c r="O97" s="26"/>
      <c r="P97" s="26"/>
      <c r="Q97" s="26"/>
    </row>
    <row r="98" spans="1:17" ht="14.25" customHeight="1">
      <c r="A98" s="26"/>
      <c r="D98" s="153"/>
      <c r="L98" s="26"/>
      <c r="M98" s="26"/>
      <c r="N98" s="26"/>
      <c r="O98" s="26"/>
      <c r="P98" s="26"/>
      <c r="Q98" s="26"/>
    </row>
    <row r="99" spans="1:17" ht="14.25" customHeight="1">
      <c r="A99" s="26"/>
      <c r="D99" s="153"/>
      <c r="L99" s="26"/>
      <c r="M99" s="26"/>
      <c r="N99" s="26"/>
      <c r="O99" s="26"/>
      <c r="P99" s="26"/>
      <c r="Q99" s="26"/>
    </row>
    <row r="100" spans="1:17" ht="15.75" customHeight="1">
      <c r="A100" s="26"/>
      <c r="D100" s="153"/>
      <c r="L100" s="26"/>
      <c r="M100" s="26"/>
      <c r="N100" s="26"/>
      <c r="O100" s="26"/>
      <c r="P100" s="26"/>
      <c r="Q100" s="26"/>
    </row>
    <row r="101" spans="1:17" ht="15.75" customHeight="1">
      <c r="A101" s="26"/>
      <c r="D101" s="153"/>
      <c r="L101" s="26"/>
      <c r="M101" s="26"/>
      <c r="N101" s="26"/>
      <c r="O101" s="26"/>
      <c r="P101" s="26"/>
      <c r="Q101" s="26"/>
    </row>
    <row r="102" spans="1:17" ht="15.75" customHeight="1">
      <c r="A102" s="26"/>
      <c r="D102" s="153"/>
      <c r="L102" s="26"/>
      <c r="M102" s="26"/>
      <c r="N102" s="26"/>
      <c r="O102" s="26"/>
      <c r="P102" s="26"/>
      <c r="Q102" s="26"/>
    </row>
    <row r="103" spans="1:17" ht="15.75" customHeight="1">
      <c r="A103" s="26"/>
      <c r="D103" s="153"/>
      <c r="L103" s="26"/>
      <c r="M103" s="26"/>
      <c r="N103" s="26"/>
      <c r="O103" s="26"/>
      <c r="P103" s="26"/>
      <c r="Q103" s="26"/>
    </row>
    <row r="104" spans="1:17" ht="15.75" customHeight="1">
      <c r="A104" s="26"/>
      <c r="D104" s="153"/>
      <c r="L104" s="26"/>
      <c r="M104" s="26"/>
      <c r="N104" s="26"/>
      <c r="O104" s="26"/>
      <c r="P104" s="26"/>
      <c r="Q104" s="26"/>
    </row>
    <row r="105" spans="1:17" ht="15.75" customHeight="1">
      <c r="A105" s="26"/>
      <c r="D105" s="153"/>
      <c r="L105" s="26"/>
      <c r="M105" s="26"/>
      <c r="N105" s="26"/>
      <c r="O105" s="26"/>
      <c r="P105" s="26"/>
      <c r="Q105" s="26"/>
    </row>
    <row r="106" spans="1:17" ht="15.75" customHeight="1">
      <c r="A106" s="26"/>
      <c r="B106" s="26"/>
      <c r="C106" s="26"/>
      <c r="D106" s="153"/>
      <c r="L106" s="26"/>
      <c r="M106" s="26"/>
      <c r="N106" s="26"/>
      <c r="O106" s="26"/>
      <c r="P106" s="26"/>
      <c r="Q106" s="26"/>
    </row>
    <row r="107" spans="1:17" ht="15.75" customHeight="1">
      <c r="A107" s="26"/>
      <c r="B107" s="26"/>
      <c r="C107" s="26"/>
      <c r="D107" s="26"/>
      <c r="E107" s="26"/>
      <c r="F107" s="26"/>
      <c r="G107" s="26"/>
      <c r="H107" s="26"/>
      <c r="I107" s="26"/>
      <c r="J107" s="26"/>
      <c r="K107" s="26"/>
      <c r="L107" s="26"/>
      <c r="M107" s="26"/>
      <c r="N107" s="26"/>
      <c r="O107" s="26"/>
      <c r="P107" s="26"/>
      <c r="Q107" s="26"/>
    </row>
    <row r="108" spans="1:17" ht="14.25" customHeight="1">
      <c r="A108" s="26"/>
      <c r="D108" s="26"/>
      <c r="H108" s="26"/>
      <c r="L108" s="26"/>
      <c r="M108" s="26"/>
      <c r="N108" s="26"/>
      <c r="O108" s="26"/>
      <c r="P108" s="26"/>
      <c r="Q108" s="26"/>
    </row>
    <row r="109" spans="1:17" ht="15.75" customHeight="1">
      <c r="A109" s="26"/>
      <c r="D109" s="26"/>
      <c r="H109" s="26"/>
      <c r="L109" s="26"/>
      <c r="M109" s="26"/>
      <c r="N109" s="26"/>
      <c r="O109" s="26"/>
      <c r="P109" s="26"/>
      <c r="Q109" s="26"/>
    </row>
    <row r="110" spans="1:17" ht="14.25" customHeight="1">
      <c r="A110" s="26"/>
      <c r="D110" s="26"/>
      <c r="H110" s="26"/>
      <c r="L110" s="26"/>
      <c r="M110" s="26"/>
      <c r="N110" s="26"/>
      <c r="O110" s="26"/>
      <c r="P110" s="26"/>
      <c r="Q110" s="26"/>
    </row>
    <row r="111" spans="1:17" ht="14.25" customHeight="1">
      <c r="A111" s="26"/>
      <c r="D111" s="26"/>
      <c r="H111" s="26"/>
      <c r="L111" s="26"/>
      <c r="M111" s="26"/>
      <c r="N111" s="26"/>
      <c r="O111" s="26"/>
      <c r="P111" s="26"/>
      <c r="Q111" s="26"/>
    </row>
    <row r="112" spans="1:17" ht="14.25" customHeight="1">
      <c r="A112" s="26"/>
      <c r="D112" s="26"/>
      <c r="H112" s="26"/>
      <c r="L112" s="26"/>
      <c r="M112" s="26"/>
      <c r="N112" s="26"/>
      <c r="O112" s="26"/>
      <c r="P112" s="26"/>
      <c r="Q112" s="26"/>
    </row>
    <row r="113" spans="1:17" ht="14.25" customHeight="1">
      <c r="A113" s="26"/>
      <c r="D113" s="26"/>
      <c r="H113" s="26"/>
      <c r="L113" s="26"/>
      <c r="M113" s="26"/>
      <c r="N113" s="26"/>
      <c r="O113" s="26"/>
      <c r="P113" s="26"/>
      <c r="Q113" s="26"/>
    </row>
    <row r="114" spans="1:17" ht="15.75" customHeight="1">
      <c r="A114" s="26"/>
      <c r="B114" s="26"/>
      <c r="C114" s="176"/>
      <c r="D114" s="26"/>
      <c r="H114" s="26"/>
      <c r="L114" s="26"/>
      <c r="M114" s="26"/>
      <c r="N114" s="26"/>
      <c r="O114" s="26"/>
      <c r="P114" s="26"/>
      <c r="Q114" s="26"/>
    </row>
    <row r="115" spans="1:17" ht="15.75" customHeight="1">
      <c r="A115" s="26"/>
      <c r="B115" s="26"/>
      <c r="C115" s="26"/>
      <c r="D115" s="26"/>
      <c r="E115" s="26"/>
      <c r="F115" s="26"/>
      <c r="G115" s="26"/>
      <c r="H115" s="26"/>
      <c r="I115" s="26"/>
      <c r="J115" s="26"/>
      <c r="K115" s="26"/>
      <c r="L115" s="26"/>
      <c r="M115" s="26"/>
      <c r="N115" s="26"/>
      <c r="O115" s="26"/>
      <c r="P115" s="26"/>
      <c r="Q115" s="26"/>
    </row>
    <row r="116" spans="1:17" ht="15.75" customHeight="1">
      <c r="A116" s="26"/>
      <c r="B116" s="26"/>
      <c r="C116" s="26"/>
      <c r="D116" s="26"/>
      <c r="E116" s="26"/>
      <c r="F116" s="26"/>
      <c r="G116" s="26"/>
      <c r="H116" s="26"/>
      <c r="I116" s="26"/>
      <c r="J116" s="26"/>
      <c r="K116" s="26"/>
      <c r="L116" s="26"/>
      <c r="M116" s="26"/>
      <c r="N116" s="26"/>
      <c r="O116" s="26"/>
      <c r="P116" s="26"/>
      <c r="Q116" s="26"/>
    </row>
    <row r="117" spans="1:17" ht="15.75" customHeight="1">
      <c r="A117" s="26"/>
      <c r="B117" s="26"/>
      <c r="C117" s="26"/>
      <c r="D117" s="26"/>
      <c r="E117" s="26"/>
      <c r="F117" s="26"/>
      <c r="G117" s="26"/>
      <c r="H117" s="26"/>
      <c r="I117" s="26"/>
      <c r="J117" s="26"/>
      <c r="K117" s="26"/>
      <c r="L117" s="26"/>
      <c r="M117" s="26"/>
      <c r="N117" s="26"/>
      <c r="O117" s="26"/>
      <c r="P117" s="26"/>
      <c r="Q117" s="26"/>
    </row>
    <row r="118" spans="1:17" ht="14.25" customHeight="1">
      <c r="A118" s="26"/>
      <c r="H118" s="26"/>
      <c r="I118" s="26"/>
      <c r="J118" s="26"/>
      <c r="K118" s="26"/>
      <c r="L118" s="26"/>
      <c r="M118" s="26"/>
      <c r="N118" s="26"/>
      <c r="O118" s="26"/>
      <c r="P118" s="26"/>
      <c r="Q118" s="26"/>
    </row>
    <row r="119" spans="1:17" ht="15.75" customHeight="1">
      <c r="A119" s="26"/>
      <c r="B119" s="26"/>
      <c r="C119" s="26"/>
      <c r="D119" s="26"/>
      <c r="E119" s="26"/>
      <c r="F119" s="26"/>
      <c r="G119" s="26"/>
      <c r="H119" s="26"/>
      <c r="I119" s="26"/>
      <c r="J119" s="26"/>
      <c r="K119" s="26"/>
      <c r="L119" s="26"/>
      <c r="M119" s="26"/>
      <c r="N119" s="26"/>
      <c r="O119" s="26"/>
      <c r="P119" s="26"/>
      <c r="Q119" s="26"/>
    </row>
    <row r="120" spans="1:17" ht="14.25" customHeight="1">
      <c r="A120" s="1392" t="s">
        <v>332</v>
      </c>
      <c r="B120" s="1342"/>
      <c r="C120" s="1342"/>
      <c r="D120" s="1342"/>
      <c r="E120" s="1342"/>
      <c r="F120" s="1342"/>
      <c r="G120" s="1342"/>
      <c r="H120" s="1342"/>
      <c r="I120" s="1342"/>
      <c r="J120" s="1342"/>
      <c r="K120" s="1342"/>
      <c r="L120" s="1342"/>
      <c r="M120" s="1342"/>
      <c r="N120" s="1303"/>
      <c r="O120" s="26"/>
      <c r="P120" s="26"/>
      <c r="Q120" s="26"/>
    </row>
    <row r="121" spans="1:17" ht="15.75" customHeight="1"/>
    <row r="122" spans="1:17" ht="15.75" customHeight="1"/>
    <row r="123" spans="1:17" ht="15.75" customHeight="1"/>
    <row r="124" spans="1:17" ht="15.75" customHeight="1"/>
    <row r="125" spans="1:17" ht="15.75" customHeight="1"/>
    <row r="126" spans="1:17" ht="15.75" customHeight="1"/>
    <row r="127" spans="1:17" ht="15.75" customHeight="1"/>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11">
    <mergeCell ref="F64:K64"/>
    <mergeCell ref="A120:N120"/>
    <mergeCell ref="B27:C27"/>
    <mergeCell ref="F50:G50"/>
    <mergeCell ref="B39:D39"/>
    <mergeCell ref="B50:D50"/>
    <mergeCell ref="E61:F61"/>
    <mergeCell ref="B61:C61"/>
    <mergeCell ref="F73:G73"/>
    <mergeCell ref="I73:K73"/>
    <mergeCell ref="I27:K27"/>
  </mergeCells>
  <pageMargins left="0.75" right="0.75" top="1" bottom="1"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74507-773F-42D3-B204-28E14E0475DF}">
  <sheetPr>
    <tabColor rgb="FF808080"/>
  </sheetPr>
  <dimension ref="A1:Q993"/>
  <sheetViews>
    <sheetView showGridLines="0" topLeftCell="A11" zoomScale="40" zoomScaleNormal="40" workbookViewId="0">
      <selection activeCell="P74" sqref="P74"/>
    </sheetView>
  </sheetViews>
  <sheetFormatPr defaultColWidth="12.6328125" defaultRowHeight="15" customHeight="1"/>
  <cols>
    <col min="1" max="1" width="2" customWidth="1"/>
    <col min="2" max="2" width="37.36328125" bestFit="1" customWidth="1"/>
    <col min="3" max="3" width="13.7265625" bestFit="1" customWidth="1"/>
    <col min="4" max="4" width="24.81640625" bestFit="1" customWidth="1"/>
    <col min="5" max="5" width="22.453125" bestFit="1" customWidth="1"/>
    <col min="6" max="6" width="45.54296875" bestFit="1" customWidth="1"/>
    <col min="7" max="7" width="13.453125" bestFit="1" customWidth="1"/>
    <col min="8" max="8" width="17.453125" customWidth="1"/>
    <col min="9" max="12" width="28.453125" customWidth="1"/>
    <col min="13" max="13" width="15" customWidth="1"/>
    <col min="14" max="14" width="14.90625" customWidth="1"/>
    <col min="15" max="15" width="18.36328125" bestFit="1" customWidth="1"/>
    <col min="16" max="16" width="31.453125" customWidth="1"/>
    <col min="17" max="17" width="11.90625" customWidth="1"/>
  </cols>
  <sheetData>
    <row r="1" spans="1:17" ht="24" customHeight="1">
      <c r="A1" s="137" t="s">
        <v>187</v>
      </c>
      <c r="B1" s="137"/>
      <c r="C1" s="137"/>
      <c r="D1" s="137"/>
      <c r="E1" s="137"/>
      <c r="F1" s="137"/>
      <c r="G1" s="137"/>
      <c r="H1" s="137"/>
      <c r="I1" s="137"/>
      <c r="J1" s="137"/>
      <c r="K1" s="137"/>
      <c r="L1" s="137"/>
      <c r="M1" s="137"/>
      <c r="N1" s="137"/>
      <c r="O1" s="137"/>
      <c r="P1" s="137"/>
      <c r="Q1" s="137"/>
    </row>
    <row r="2" spans="1:17" ht="16.5" customHeight="1">
      <c r="A2" s="138" t="s">
        <v>187</v>
      </c>
      <c r="B2" s="139"/>
      <c r="C2" s="139"/>
      <c r="D2" s="139"/>
      <c r="E2" s="139"/>
      <c r="F2" s="139"/>
      <c r="G2" s="139"/>
      <c r="H2" s="139"/>
      <c r="I2" s="139"/>
      <c r="J2" s="139"/>
      <c r="K2" s="139"/>
      <c r="L2" s="139"/>
      <c r="M2" s="139"/>
      <c r="N2" s="139"/>
      <c r="O2" s="139"/>
      <c r="P2" s="139" t="s">
        <v>188</v>
      </c>
      <c r="Q2" s="139" t="str">
        <f>Scenarios!$B$4</f>
        <v>Base</v>
      </c>
    </row>
    <row r="3" spans="1:17" ht="15" customHeight="1">
      <c r="A3" s="26"/>
      <c r="B3" s="140"/>
      <c r="C3" s="26"/>
      <c r="D3" s="26"/>
      <c r="E3" s="26"/>
      <c r="F3" s="26"/>
      <c r="G3" s="26"/>
      <c r="H3" s="26"/>
      <c r="I3" s="26"/>
      <c r="J3" s="26"/>
      <c r="K3" s="26"/>
      <c r="L3" s="26"/>
      <c r="M3" s="26"/>
      <c r="N3" s="26"/>
      <c r="O3" s="26"/>
      <c r="P3" s="139" t="s">
        <v>189</v>
      </c>
      <c r="Q3" s="139" t="e">
        <f>IF(#REF!=0,"OK","FAIL")</f>
        <v>#REF!</v>
      </c>
    </row>
    <row r="4" spans="1:17" ht="15" customHeight="1">
      <c r="A4" s="26"/>
      <c r="B4" s="26"/>
      <c r="C4" s="26"/>
      <c r="D4" s="26"/>
      <c r="E4" s="26"/>
      <c r="F4" s="26"/>
      <c r="G4" s="26"/>
      <c r="H4" s="26"/>
      <c r="I4" s="26"/>
      <c r="J4" s="26"/>
      <c r="K4" s="26"/>
      <c r="L4" s="26"/>
      <c r="M4" s="26"/>
      <c r="N4" s="26"/>
      <c r="O4" s="26"/>
      <c r="P4" s="26"/>
      <c r="Q4" s="26"/>
    </row>
    <row r="5" spans="1:17" ht="22.5" customHeight="1">
      <c r="A5" s="26" t="s">
        <v>190</v>
      </c>
      <c r="B5" s="141" t="s">
        <v>191</v>
      </c>
      <c r="C5" s="142"/>
      <c r="D5" s="142"/>
      <c r="E5" s="142"/>
      <c r="F5" s="142"/>
      <c r="G5" s="142"/>
      <c r="H5" s="142"/>
      <c r="I5" s="142"/>
      <c r="J5" s="142"/>
      <c r="K5" s="142"/>
      <c r="L5" s="142"/>
      <c r="M5" s="142"/>
      <c r="N5" s="142"/>
      <c r="O5" s="142"/>
      <c r="P5" s="142"/>
      <c r="Q5" s="26"/>
    </row>
    <row r="6" spans="1:17" ht="15" customHeight="1">
      <c r="A6" s="26"/>
      <c r="B6" s="143" t="s">
        <v>192</v>
      </c>
      <c r="C6" s="144" t="str">
        <f>IFERROR(Cashflow!D$7,"")</f>
        <v>FY25</v>
      </c>
      <c r="D6" s="144" t="str">
        <f>IFERROR(Cashflow!E$7,"")</f>
        <v>FY26</v>
      </c>
      <c r="E6" s="144" t="str">
        <f>IFERROR(Cashflow!F$7,"")</f>
        <v>FY27</v>
      </c>
      <c r="F6" s="144" t="str">
        <f>IFERROR(Cashflow!G$7,"")</f>
        <v>FY28</v>
      </c>
      <c r="G6" s="144" t="str">
        <f>IFERROR(Cashflow!H$7,"")</f>
        <v>FY29</v>
      </c>
      <c r="H6" s="144" t="str">
        <f>IFERROR(Cashflow!I$7,"")</f>
        <v>FY30</v>
      </c>
      <c r="I6" s="144" t="str">
        <f>IFERROR(Cashflow!J$7,"")</f>
        <v>FY31</v>
      </c>
      <c r="J6" s="144" t="str">
        <f>IFERROR(Cashflow!K$7,"")</f>
        <v>FY32</v>
      </c>
      <c r="K6" s="144" t="str">
        <f>IFERROR(Cashflow!L$7,"")</f>
        <v>FY33</v>
      </c>
      <c r="L6" s="144" t="str">
        <f>IFERROR(Cashflow!M$7,"")</f>
        <v>FY34</v>
      </c>
      <c r="M6" s="144" t="str">
        <f>IFERROR(Cashflow!N$7,"")</f>
        <v>FY35</v>
      </c>
      <c r="N6" s="144" t="str">
        <f>IFERROR(Cashflow!O$7,"")</f>
        <v>FY36</v>
      </c>
      <c r="O6" s="144" t="str">
        <f>IFERROR(Cashflow!P$7,"")</f>
        <v>FY37</v>
      </c>
      <c r="P6" s="144" t="str">
        <f>IFERROR(Cashflow!Q$7,"")</f>
        <v>FY38</v>
      </c>
      <c r="Q6" s="26"/>
    </row>
    <row r="7" spans="1:17" ht="15" customHeight="1">
      <c r="A7" s="26"/>
      <c r="B7" s="145" t="s">
        <v>193</v>
      </c>
      <c r="C7" s="146">
        <f>IFERROR(Cashflow!D$48,"")</f>
        <v>0</v>
      </c>
      <c r="D7" s="146">
        <f>IFERROR(Cashflow!E$48,"")</f>
        <v>0</v>
      </c>
      <c r="E7" s="146">
        <f>IFERROR(Cashflow!F$48,"")</f>
        <v>0</v>
      </c>
      <c r="F7" s="146">
        <f>IFERROR(Cashflow!G$48,"")</f>
        <v>18772333.414999999</v>
      </c>
      <c r="G7" s="146">
        <f>IFERROR(Cashflow!H$48,"")</f>
        <v>19676502.288939998</v>
      </c>
      <c r="H7" s="146">
        <f>IFERROR(Cashflow!I$48,"")</f>
        <v>20615521.882462904</v>
      </c>
      <c r="I7" s="146">
        <f>IFERROR(Cashflow!J$48,"")</f>
        <v>21808634.554464001</v>
      </c>
      <c r="J7" s="146">
        <f>IFERROR(Cashflow!K$48,"")</f>
        <v>22300756.692269798</v>
      </c>
      <c r="K7" s="146">
        <f>IFERROR(Cashflow!L$48,"")</f>
        <v>22807316.061739061</v>
      </c>
      <c r="L7" s="146">
        <f>IFERROR(Cashflow!M$48,"")</f>
        <v>23328737.619009934</v>
      </c>
      <c r="M7" s="146">
        <f>IFERROR(Cashflow!N$48,"")</f>
        <v>23865458.864884399</v>
      </c>
      <c r="N7" s="146">
        <f>IFERROR(Cashflow!O$48,"")</f>
        <v>24417930.216067705</v>
      </c>
      <c r="O7" s="146">
        <f>IFERROR(Cashflow!P$48,"")</f>
        <v>24986615.387417436</v>
      </c>
      <c r="P7" s="146">
        <f>IFERROR(Cashflow!Q$48,"")</f>
        <v>25571991.785529338</v>
      </c>
      <c r="Q7" s="26"/>
    </row>
    <row r="8" spans="1:17" ht="15" customHeight="1">
      <c r="A8" s="26"/>
      <c r="B8" s="147" t="s">
        <v>194</v>
      </c>
      <c r="C8" s="148">
        <f>IFERROR(Cashflow!D$64,"")</f>
        <v>0</v>
      </c>
      <c r="D8" s="148">
        <f>IFERROR(Cashflow!E$64,"")</f>
        <v>0</v>
      </c>
      <c r="E8" s="148">
        <f>IFERROR(Cashflow!F$64,"")</f>
        <v>0</v>
      </c>
      <c r="F8" s="148">
        <f>IFERROR(Cashflow!G$64,"")</f>
        <v>10240353.181728749</v>
      </c>
      <c r="G8" s="148">
        <f>IFERROR(Cashflow!H$64,"")</f>
        <v>10221610.60891173</v>
      </c>
      <c r="H8" s="148">
        <f>IFERROR(Cashflow!I$64,"")</f>
        <v>10726643.498227151</v>
      </c>
      <c r="I8" s="148">
        <f>IFERROR(Cashflow!J$64,"")</f>
        <v>11603173.631330766</v>
      </c>
      <c r="J8" s="148">
        <f>IFERROR(Cashflow!K$64,"")</f>
        <v>11825139.08000222</v>
      </c>
      <c r="K8" s="148">
        <f>IFERROR(Cashflow!L$64,"")</f>
        <v>11488417.36165344</v>
      </c>
      <c r="L8" s="148">
        <f>IFERROR(Cashflow!M$64,"")</f>
        <v>11566864.641117346</v>
      </c>
      <c r="M8" s="148">
        <f>IFERROR(Cashflow!N$64,"")</f>
        <v>11784599.554180816</v>
      </c>
      <c r="N8" s="148">
        <f>IFERROR(Cashflow!O$64,"")</f>
        <v>12008306.676067084</v>
      </c>
      <c r="O8" s="148">
        <f>IFERROR(Cashflow!P$64,"")</f>
        <v>12146814.69024964</v>
      </c>
      <c r="P8" s="148">
        <f>IFERROR(Cashflow!Q$64,"")</f>
        <v>13901342.685076447</v>
      </c>
      <c r="Q8" s="26"/>
    </row>
    <row r="9" spans="1:17" ht="15" customHeight="1">
      <c r="A9" s="26"/>
      <c r="B9" s="145" t="s">
        <v>195</v>
      </c>
      <c r="C9" s="146">
        <f>IFERROR(Cashflow!D38,"")</f>
        <v>0</v>
      </c>
      <c r="D9" s="146">
        <f>IFERROR(Cashflow!E38,"")</f>
        <v>0</v>
      </c>
      <c r="E9" s="146">
        <f>IFERROR(Cashflow!F38,"")</f>
        <v>452228.39999999851</v>
      </c>
      <c r="F9" s="146">
        <f>IFERROR(Cashflow!G38,"")</f>
        <v>1724785.5788420234</v>
      </c>
      <c r="G9" s="146">
        <f>IFERROR(Cashflow!H38,"")</f>
        <v>2184190.0265896698</v>
      </c>
      <c r="H9" s="146">
        <f>IFERROR(Cashflow!I38,"")</f>
        <v>2729888.0048414734</v>
      </c>
      <c r="I9" s="146">
        <f>IFERROR(Cashflow!J38,"")</f>
        <v>3408438.9677277789</v>
      </c>
      <c r="J9" s="146">
        <f>IFERROR(Cashflow!K38,"")</f>
        <v>4135811.3744280911</v>
      </c>
      <c r="K9" s="146">
        <f>IFERROR(Cashflow!L38,"")</f>
        <v>4833789.0215595746</v>
      </c>
      <c r="L9" s="146">
        <f>IFERROR(Cashflow!M38,"")</f>
        <v>5560495.5688160015</v>
      </c>
      <c r="M9" s="146">
        <f>IFERROR(Cashflow!N38,"")</f>
        <v>6335431.2849013144</v>
      </c>
      <c r="N9" s="146">
        <f>IFERROR(Cashflow!O38,"")</f>
        <v>7159432.279050706</v>
      </c>
      <c r="O9" s="146">
        <f>IFERROR(Cashflow!P38,"")</f>
        <v>9596186.910685651</v>
      </c>
      <c r="P9" s="146">
        <f>IFERROR(Cashflow!Q38,"")</f>
        <v>12278575.461596355</v>
      </c>
      <c r="Q9" s="26"/>
    </row>
    <row r="10" spans="1:17" ht="15" customHeight="1">
      <c r="A10" s="26"/>
      <c r="B10" s="147" t="s">
        <v>196</v>
      </c>
      <c r="C10" s="148">
        <f>IFERROR(Debt!H48,0)</f>
        <v>0</v>
      </c>
      <c r="D10" s="148">
        <f>IFERROR(Debt!I48,0)</f>
        <v>0</v>
      </c>
      <c r="E10" s="148">
        <f>IFERROR(Debt!J48,0)</f>
        <v>12675915</v>
      </c>
      <c r="F10" s="148">
        <f>IFERROR(Debt!K48,0)</f>
        <v>12675915</v>
      </c>
      <c r="G10" s="148">
        <f>IFERROR(Debt!L48,0)</f>
        <v>11091425.625</v>
      </c>
      <c r="H10" s="148">
        <f>IFERROR(Debt!M48,0)</f>
        <v>9506936.25</v>
      </c>
      <c r="I10" s="148">
        <f>IFERROR(Debt!N48,0)</f>
        <v>7922446.875</v>
      </c>
      <c r="J10" s="148">
        <f>IFERROR(Debt!O48,0)</f>
        <v>6337957.5</v>
      </c>
      <c r="K10" s="148">
        <f>IFERROR(Debt!P48,0)</f>
        <v>4753468.125</v>
      </c>
      <c r="L10" s="148">
        <f>IFERROR(Debt!Q48,0)</f>
        <v>3168978.75</v>
      </c>
      <c r="M10" s="148">
        <f>IFERROR(Debt!R48,0)</f>
        <v>1584489.375</v>
      </c>
      <c r="N10" s="148">
        <f>IFERROR(Debt!S48,0)</f>
        <v>0</v>
      </c>
      <c r="O10" s="148">
        <f>IFERROR(Debt!T48,0)</f>
        <v>0</v>
      </c>
      <c r="P10" s="148">
        <f>IFERROR(Debt!U48,0)</f>
        <v>0</v>
      </c>
      <c r="Q10" s="26"/>
    </row>
    <row r="11" spans="1:17" ht="15" customHeight="1">
      <c r="A11" s="26"/>
      <c r="B11" s="145" t="s">
        <v>197</v>
      </c>
      <c r="C11" s="146" t="str">
        <f>Cashflow!D67</f>
        <v/>
      </c>
      <c r="D11" s="146" t="str">
        <f>Cashflow!E67</f>
        <v/>
      </c>
      <c r="E11" s="146" t="str">
        <f>Cashflow!F67</f>
        <v/>
      </c>
      <c r="F11" s="149">
        <f>Cashflow!G67</f>
        <v>3.7480650108967009</v>
      </c>
      <c r="G11" s="149">
        <f>Cashflow!H67</f>
        <v>3.0466904338978202</v>
      </c>
      <c r="H11" s="149">
        <f>Cashflow!I67</f>
        <v>3.3189553617167831</v>
      </c>
      <c r="I11" s="149">
        <f>Cashflow!J67</f>
        <v>3.7480418669249009</v>
      </c>
      <c r="J11" s="149">
        <f>Cashflow!K67</f>
        <v>4.046953904892197</v>
      </c>
      <c r="K11" s="149">
        <f>Cashflow!L67</f>
        <v>4.1874723826887088</v>
      </c>
      <c r="L11" s="149">
        <f>Cashflow!M67</f>
        <v>4.4574720293004884</v>
      </c>
      <c r="M11" s="149">
        <f>Cashflow!N67</f>
        <v>4.8337591413140704</v>
      </c>
      <c r="N11" s="149">
        <f>Cashflow!O67</f>
        <v>5.2771194419729879</v>
      </c>
      <c r="O11" s="149" t="str">
        <f>Cashflow!P67</f>
        <v/>
      </c>
      <c r="P11" s="149" t="str">
        <f>Cashflow!Q67</f>
        <v/>
      </c>
      <c r="Q11" s="26"/>
    </row>
    <row r="12" spans="1:17" ht="15" customHeight="1">
      <c r="A12" s="26"/>
      <c r="B12" s="150" t="s">
        <v>198</v>
      </c>
      <c r="C12" s="148" t="str">
        <f>IFERROR(IF(Debt!H$57=0,"",Cashflow!D$64/Debt!H$57),"")</f>
        <v/>
      </c>
      <c r="D12" s="148" t="str">
        <f>IFERROR(IF(Debt!I$57=0,"",Cashflow!E$64/Debt!I$57),"")</f>
        <v/>
      </c>
      <c r="E12" s="148">
        <f>IFERROR(IF(Debt!J$57=0,"",Cashflow!F$64/Debt!J$57),"")</f>
        <v>0</v>
      </c>
      <c r="F12" s="151">
        <f>IFERROR(IF(Debt!K$57=0,"",Cashflow!G$64/Debt!K$57),"")</f>
        <v>10.09823864956568</v>
      </c>
      <c r="G12" s="151">
        <f>IFERROR(IF(Debt!L$57=0,"",Cashflow!H$64/Debt!L$57),"")</f>
        <v>10.751739929792556</v>
      </c>
      <c r="H12" s="151">
        <f>IFERROR(IF(Debt!M$57=0,"",Cashflow!I$64/Debt!M$57),"")</f>
        <v>13.018806499421148</v>
      </c>
      <c r="I12" s="151">
        <f>IFERROR(IF(Debt!N$57=0,"",Cashflow!J$64/Debt!N$57),"")</f>
        <v>16.64312148645072</v>
      </c>
      <c r="J12" s="151">
        <f>IFERROR(IF(Debt!O$57=0,"",Cashflow!K$64/Debt!O$57),"")</f>
        <v>20.730721880392363</v>
      </c>
      <c r="K12" s="151">
        <f>IFERROR(IF(Debt!P$57=0,"",Cashflow!L$64/Debt!P$57),"")</f>
        <v>25.894816748711325</v>
      </c>
      <c r="L12" s="151">
        <f>IFERROR(IF(Debt!Q$57=0,"",Cashflow!M$64/Debt!Q$57),"")</f>
        <v>36.500290956881123</v>
      </c>
      <c r="M12" s="151">
        <f>IFERROR(IF(Debt!R$57=0,"",Cashflow!N$64/Debt!R$57),"")</f>
        <v>61.978955387340562</v>
      </c>
      <c r="N12" s="151">
        <f>IFERROR(IF(Debt!S$57=0,"",Cashflow!O$64/Debt!S$57),"")</f>
        <v>189.46650677394229</v>
      </c>
      <c r="O12" s="151" t="str">
        <f>IFERROR(IF(Debt!T$57=0,"",Cashflow!P$64/Debt!T$57),"")</f>
        <v/>
      </c>
      <c r="P12" s="151" t="str">
        <f>IFERROR(IF(Debt!U$57=0,"",Cashflow!Q$64/Debt!U$57),"")</f>
        <v/>
      </c>
      <c r="Q12" s="26"/>
    </row>
    <row r="13" spans="1:17" ht="15" customHeight="1">
      <c r="A13" s="26"/>
      <c r="B13" s="152" t="s">
        <v>199</v>
      </c>
      <c r="C13" s="146" t="str">
        <f>IFERROR(IF(Cashflow!D$64=0,"",((Cashflow!D$72+Cashflow!D$73)-Cashflow!D$39)/Cashflow!D$64),"")</f>
        <v/>
      </c>
      <c r="D13" s="146" t="str">
        <f>IFERROR(IF(Cashflow!E$64=0,"",((Cashflow!E$72+Cashflow!E$73)-Cashflow!E$39)/Cashflow!E$64),"")</f>
        <v/>
      </c>
      <c r="E13" s="146" t="str">
        <f>IFERROR(IF(Cashflow!F$64=0,"",((Cashflow!F$72+Cashflow!F$73)-Cashflow!F$39)/Cashflow!F$64),"")</f>
        <v/>
      </c>
      <c r="F13" s="149">
        <f>IFERROR(IF(Cashflow!G$64=0,"",((Cashflow!G$72+Cashflow!G$73)-Cashflow!G$39)/Cashflow!G$64),"")</f>
        <v>1.2378396306307951</v>
      </c>
      <c r="G13" s="149">
        <f>IFERROR(IF(Cashflow!H$64=0,"",((Cashflow!H$72+Cashflow!H$73)-Cashflow!H$39)/Cashflow!H$64),"")</f>
        <v>1.0850956908229237</v>
      </c>
      <c r="H13" s="149">
        <f>IFERROR(IF(Cashflow!I$64=0,"",((Cashflow!I$72+Cashflow!I$73)-Cashflow!I$39)/Cashflow!I$64),"")</f>
        <v>0.88629180708497135</v>
      </c>
      <c r="I13" s="149">
        <f>IFERROR(IF(Cashflow!J$64=0,"",((Cashflow!J$72+Cashflow!J$73)-Cashflow!J$39)/Cashflow!J$64),"")</f>
        <v>0.68278275640104991</v>
      </c>
      <c r="J13" s="149">
        <f>IFERROR(IF(Cashflow!K$64=0,"",((Cashflow!K$72+Cashflow!K$73)-Cashflow!K$39)/Cashflow!K$64),"")</f>
        <v>0.53597318873976496</v>
      </c>
      <c r="K13" s="149">
        <f>IFERROR(IF(Cashflow!L$64=0,"",((Cashflow!L$72+Cashflow!L$73)-Cashflow!L$39)/Cashflow!L$64),"")</f>
        <v>0.41376178940594038</v>
      </c>
      <c r="L13" s="149">
        <f>IFERROR(IF(Cashflow!M$64=0,"",((Cashflow!M$72+Cashflow!M$73)-Cashflow!M$39)/Cashflow!M$64),"")</f>
        <v>0.27397041880606637</v>
      </c>
      <c r="M13" s="149">
        <f>IFERROR(IF(Cashflow!N$64=0,"",((Cashflow!N$72+Cashflow!N$73)-Cashflow!N$39)/Cashflow!N$64),"")</f>
        <v>0.13445423985050656</v>
      </c>
      <c r="N13" s="149">
        <f>IFERROR(IF(Cashflow!O$64=0,"",((Cashflow!O$72+Cashflow!O$73)-Cashflow!O$39)/Cashflow!O$64),"")</f>
        <v>0</v>
      </c>
      <c r="O13" s="149">
        <f>IFERROR(IF(Cashflow!P$64=0,"",((Cashflow!P$72+Cashflow!P$73)-Cashflow!P$39)/Cashflow!P$64),"")</f>
        <v>0</v>
      </c>
      <c r="P13" s="149">
        <f>IFERROR(IF(Cashflow!Q$64=0,"",((Cashflow!Q$72+Cashflow!Q$73)-Cashflow!Q$39)/Cashflow!Q$64),"")</f>
        <v>0</v>
      </c>
      <c r="Q13" s="26"/>
    </row>
    <row r="14" spans="1:17" ht="15" customHeight="1">
      <c r="A14" s="26"/>
      <c r="B14" s="147"/>
      <c r="C14" s="153"/>
      <c r="D14" s="153"/>
      <c r="E14" s="153"/>
      <c r="F14" s="153"/>
      <c r="G14" s="153"/>
      <c r="H14" s="153"/>
      <c r="I14" s="153"/>
      <c r="J14" s="153"/>
      <c r="K14" s="153"/>
      <c r="L14" s="153"/>
      <c r="M14" s="153"/>
      <c r="N14" s="153"/>
      <c r="O14" s="153"/>
      <c r="P14" s="153"/>
      <c r="Q14" s="26"/>
    </row>
    <row r="15" spans="1:17" ht="21" customHeight="1">
      <c r="A15" s="1393" t="s">
        <v>187</v>
      </c>
      <c r="B15" s="1342"/>
      <c r="C15" s="1342"/>
      <c r="D15" s="1342"/>
      <c r="E15" s="1342"/>
      <c r="F15" s="1342"/>
      <c r="G15" s="1342"/>
      <c r="H15" s="1342"/>
      <c r="I15" s="1342"/>
      <c r="J15" s="1342"/>
      <c r="K15" s="1342"/>
      <c r="L15" s="1342"/>
      <c r="M15" s="1342"/>
      <c r="N15" s="1342"/>
      <c r="O15" s="1342"/>
      <c r="P15" s="1303"/>
      <c r="Q15" s="155"/>
    </row>
    <row r="16" spans="1:17" ht="15.75" customHeight="1">
      <c r="A16" s="156" t="s">
        <v>187</v>
      </c>
      <c r="B16" s="26"/>
      <c r="C16" s="26"/>
      <c r="D16" s="26"/>
      <c r="E16" s="26"/>
      <c r="F16" s="26"/>
      <c r="G16" s="26"/>
      <c r="H16" s="26"/>
      <c r="I16" s="26"/>
      <c r="J16" s="26"/>
      <c r="K16" s="26"/>
      <c r="L16" s="26"/>
      <c r="M16" s="26"/>
      <c r="N16" s="26"/>
      <c r="O16" s="26"/>
      <c r="P16" s="26" t="s">
        <v>188</v>
      </c>
      <c r="Q16" s="157" t="str">
        <f>Scenarios!B4</f>
        <v>Base</v>
      </c>
    </row>
    <row r="17" spans="1:17" ht="15" customHeight="1">
      <c r="A17" s="26"/>
      <c r="B17" s="26"/>
      <c r="C17" s="26"/>
      <c r="D17" s="26"/>
      <c r="E17" s="26"/>
      <c r="F17" s="26"/>
      <c r="G17" s="26"/>
      <c r="H17" s="26"/>
      <c r="I17" s="26"/>
      <c r="J17" s="26"/>
      <c r="K17" s="26"/>
      <c r="L17" s="26"/>
      <c r="M17" s="26"/>
      <c r="N17" s="26"/>
      <c r="O17" s="26"/>
      <c r="P17" s="26" t="s">
        <v>189</v>
      </c>
      <c r="Q17" s="26" t="e">
        <f>Q3</f>
        <v>#REF!</v>
      </c>
    </row>
    <row r="18" spans="1:17" ht="15" customHeight="1">
      <c r="A18" s="26"/>
      <c r="B18" s="26"/>
      <c r="C18" s="26"/>
      <c r="D18" s="26"/>
      <c r="E18" s="26"/>
      <c r="F18" s="26"/>
      <c r="G18" s="26"/>
      <c r="H18" s="26"/>
      <c r="I18" s="26"/>
      <c r="J18" s="26"/>
      <c r="K18" s="26"/>
      <c r="L18" s="26"/>
      <c r="M18" s="26"/>
      <c r="N18" s="26"/>
      <c r="O18" s="26"/>
      <c r="P18" s="26"/>
      <c r="Q18" s="26"/>
    </row>
    <row r="19" spans="1:17" ht="15" customHeight="1">
      <c r="A19" s="26"/>
      <c r="B19" s="158" t="s">
        <v>200</v>
      </c>
      <c r="C19" s="122"/>
      <c r="D19" s="122"/>
      <c r="E19" s="122"/>
      <c r="F19" s="122"/>
      <c r="G19" s="122"/>
      <c r="H19" s="122"/>
      <c r="I19" s="122"/>
      <c r="J19" s="122"/>
      <c r="K19" s="122"/>
      <c r="L19" s="122"/>
      <c r="M19" s="122"/>
      <c r="N19" s="122"/>
      <c r="O19" s="122"/>
      <c r="P19" s="159"/>
      <c r="Q19" s="26"/>
    </row>
    <row r="20" spans="1:17" ht="15" customHeight="1">
      <c r="A20" s="26"/>
      <c r="B20" s="160"/>
      <c r="C20" s="161" t="s">
        <v>150</v>
      </c>
      <c r="D20" s="161" t="s">
        <v>151</v>
      </c>
      <c r="E20" s="161" t="s">
        <v>152</v>
      </c>
      <c r="F20" s="161" t="s">
        <v>153</v>
      </c>
      <c r="G20" s="161" t="s">
        <v>154</v>
      </c>
      <c r="H20" s="161" t="s">
        <v>155</v>
      </c>
      <c r="I20" s="161" t="s">
        <v>201</v>
      </c>
      <c r="J20" s="161" t="s">
        <v>202</v>
      </c>
      <c r="K20" s="161" t="s">
        <v>203</v>
      </c>
      <c r="L20" s="161" t="s">
        <v>204</v>
      </c>
      <c r="M20" s="162" t="s">
        <v>205</v>
      </c>
      <c r="N20" s="163" t="s">
        <v>206</v>
      </c>
      <c r="O20" s="163" t="s">
        <v>207</v>
      </c>
      <c r="P20" s="164" t="s">
        <v>208</v>
      </c>
      <c r="Q20" s="26"/>
    </row>
    <row r="21" spans="1:17" ht="15.75" customHeight="1">
      <c r="A21" s="26"/>
      <c r="B21" s="125" t="s">
        <v>193</v>
      </c>
      <c r="C21" s="165">
        <f>'P&amp;L'!H28</f>
        <v>0</v>
      </c>
      <c r="D21" s="165">
        <f>'P&amp;L'!I28</f>
        <v>0</v>
      </c>
      <c r="E21" s="165">
        <f>'P&amp;L'!J28</f>
        <v>18772333.414999999</v>
      </c>
      <c r="F21" s="165">
        <f>'P&amp;L'!K28</f>
        <v>19676502.288939998</v>
      </c>
      <c r="G21" s="165">
        <f>'P&amp;L'!L28</f>
        <v>20615521.882462904</v>
      </c>
      <c r="H21" s="165">
        <f>'P&amp;L'!M28</f>
        <v>21808634.554464001</v>
      </c>
      <c r="I21" s="165">
        <f>'P&amp;L'!N28</f>
        <v>22300756.692269798</v>
      </c>
      <c r="J21" s="165">
        <f>'P&amp;L'!O28</f>
        <v>22807316.061739061</v>
      </c>
      <c r="K21" s="165">
        <f>'P&amp;L'!P28</f>
        <v>23328737.619009934</v>
      </c>
      <c r="L21" s="165">
        <f>'P&amp;L'!Q28</f>
        <v>23865458.864884399</v>
      </c>
      <c r="M21" s="165">
        <f>'P&amp;L'!R28</f>
        <v>24417930.216067705</v>
      </c>
      <c r="N21" s="165">
        <f>'P&amp;L'!R28</f>
        <v>24417930.216067705</v>
      </c>
      <c r="O21" s="165">
        <f>'P&amp;L'!S28</f>
        <v>24986615.387417436</v>
      </c>
      <c r="P21" s="166">
        <f>'P&amp;L'!T28</f>
        <v>25571991.785529338</v>
      </c>
      <c r="Q21" s="26"/>
    </row>
    <row r="22" spans="1:17" ht="15.75" customHeight="1">
      <c r="A22" s="26"/>
      <c r="B22" s="125" t="s">
        <v>194</v>
      </c>
      <c r="C22" s="165">
        <f>'P&amp;L'!H79</f>
        <v>0</v>
      </c>
      <c r="D22" s="165">
        <f>'P&amp;L'!I79</f>
        <v>0</v>
      </c>
      <c r="E22" s="165">
        <f>'P&amp;L'!J79</f>
        <v>10240353.181728749</v>
      </c>
      <c r="F22" s="165">
        <f>'P&amp;L'!K79</f>
        <v>10221610.60891173</v>
      </c>
      <c r="G22" s="165">
        <f>'P&amp;L'!L79</f>
        <v>10726643.498227151</v>
      </c>
      <c r="H22" s="165">
        <f>'P&amp;L'!M79</f>
        <v>11603173.631330766</v>
      </c>
      <c r="I22" s="165">
        <f>'P&amp;L'!N79</f>
        <v>11825139.08000222</v>
      </c>
      <c r="J22" s="165">
        <f>'P&amp;L'!O79</f>
        <v>11488417.36165344</v>
      </c>
      <c r="K22" s="165">
        <f>'P&amp;L'!P79</f>
        <v>11566864.641117346</v>
      </c>
      <c r="L22" s="165">
        <f>'P&amp;L'!Q79</f>
        <v>11784599.554180816</v>
      </c>
      <c r="M22" s="165">
        <f>'P&amp;L'!R79</f>
        <v>12008306.676067084</v>
      </c>
      <c r="N22" s="165">
        <f>'P&amp;L'!R79</f>
        <v>12008306.676067084</v>
      </c>
      <c r="O22" s="165">
        <f>'P&amp;L'!S79</f>
        <v>12146814.69024964</v>
      </c>
      <c r="P22" s="166">
        <f>'P&amp;L'!T79</f>
        <v>13901342.685076447</v>
      </c>
      <c r="Q22" s="26"/>
    </row>
    <row r="23" spans="1:17" ht="15.75" customHeight="1">
      <c r="A23" s="26"/>
      <c r="B23" s="125" t="s">
        <v>195</v>
      </c>
      <c r="C23" s="165">
        <f>'Balance Sheet'!G10</f>
        <v>0</v>
      </c>
      <c r="D23" s="165">
        <f>'Balance Sheet'!H10</f>
        <v>452228.39999999851</v>
      </c>
      <c r="E23" s="165">
        <f>'Balance Sheet'!I10</f>
        <v>1724785.5788420234</v>
      </c>
      <c r="F23" s="165">
        <f>'Balance Sheet'!J10</f>
        <v>2184190.0265896698</v>
      </c>
      <c r="G23" s="165">
        <f>'Balance Sheet'!K10</f>
        <v>2729888.0048414734</v>
      </c>
      <c r="H23" s="165">
        <f>'Balance Sheet'!L10</f>
        <v>3408438.9677277789</v>
      </c>
      <c r="I23" s="165">
        <f>'Balance Sheet'!M10</f>
        <v>4135811.3744280911</v>
      </c>
      <c r="J23" s="165">
        <f>'Balance Sheet'!N10</f>
        <v>4833789.0215595746</v>
      </c>
      <c r="K23" s="165">
        <f>'Balance Sheet'!O10</f>
        <v>5560495.5688160015</v>
      </c>
      <c r="L23" s="165">
        <f>'Balance Sheet'!P10</f>
        <v>6335431.2849013144</v>
      </c>
      <c r="M23" s="165">
        <f>'Balance Sheet'!Q10</f>
        <v>7159432.279050706</v>
      </c>
      <c r="N23" s="165">
        <f>'Balance Sheet'!Q10</f>
        <v>7159432.279050706</v>
      </c>
      <c r="O23" s="165">
        <f>'Balance Sheet'!R10</f>
        <v>9596186.910685651</v>
      </c>
      <c r="P23" s="166">
        <f>'Balance Sheet'!S10</f>
        <v>12278575.461596355</v>
      </c>
      <c r="Q23" s="26"/>
    </row>
    <row r="24" spans="1:17" ht="15.75" customHeight="1">
      <c r="A24" s="26"/>
      <c r="B24" s="135" t="s">
        <v>196</v>
      </c>
      <c r="C24" s="167">
        <f>Debt!I24+Debt!I43</f>
        <v>0</v>
      </c>
      <c r="D24" s="167">
        <f>Debt!J24+Debt!J43</f>
        <v>12675915</v>
      </c>
      <c r="E24" s="167">
        <f>Debt!K24+Debt!K43</f>
        <v>12675915</v>
      </c>
      <c r="F24" s="167">
        <f>Debt!L24+Debt!L43</f>
        <v>11091425.625</v>
      </c>
      <c r="G24" s="167">
        <f>Debt!M24+Debt!M43</f>
        <v>9506936.25</v>
      </c>
      <c r="H24" s="167">
        <f>Debt!N24+Debt!N43</f>
        <v>7922446.875</v>
      </c>
      <c r="I24" s="167">
        <f>Debt!O24+Debt!O43</f>
        <v>6337957.5</v>
      </c>
      <c r="J24" s="167">
        <f>Debt!P24+Debt!P43</f>
        <v>4753468.125</v>
      </c>
      <c r="K24" s="167">
        <f>Debt!Q24+Debt!Q43</f>
        <v>3168978.75</v>
      </c>
      <c r="L24" s="167">
        <f>Debt!R24+Debt!R43</f>
        <v>1584489.375</v>
      </c>
      <c r="M24" s="167">
        <f>Debt!S24+Debt!S43</f>
        <v>0</v>
      </c>
      <c r="N24" s="167">
        <f>Debt!S24+Debt!S43</f>
        <v>0</v>
      </c>
      <c r="O24" s="167">
        <f>Debt!T24+Debt!T43</f>
        <v>0</v>
      </c>
      <c r="P24" s="168">
        <f>Debt!U24+Debt!U43</f>
        <v>0</v>
      </c>
      <c r="Q24" s="26"/>
    </row>
    <row r="25" spans="1:17" ht="15.75" customHeight="1">
      <c r="A25" s="26"/>
      <c r="B25" s="26"/>
      <c r="C25" s="26"/>
      <c r="D25" s="26"/>
      <c r="E25" s="26"/>
      <c r="F25" s="26"/>
      <c r="G25" s="26"/>
      <c r="H25" s="26"/>
      <c r="I25" s="26"/>
      <c r="J25" s="26"/>
      <c r="K25" s="26"/>
      <c r="L25" s="26"/>
      <c r="M25" s="26"/>
      <c r="N25" s="26"/>
      <c r="O25" s="26"/>
      <c r="P25" s="26"/>
      <c r="Q25" s="26"/>
    </row>
    <row r="26" spans="1:17" ht="15.75" customHeight="1">
      <c r="A26" s="26"/>
      <c r="B26" s="26"/>
      <c r="C26" s="26"/>
      <c r="D26" s="26"/>
      <c r="E26" s="26"/>
      <c r="F26" s="26"/>
      <c r="G26" s="26"/>
      <c r="H26" s="26"/>
      <c r="I26" s="26"/>
      <c r="J26" s="26"/>
      <c r="K26" s="26"/>
      <c r="L26" s="26"/>
      <c r="M26" s="26"/>
      <c r="N26" s="26"/>
      <c r="O26" s="26"/>
      <c r="P26" s="26"/>
      <c r="Q26" s="26"/>
    </row>
    <row r="27" spans="1:17" ht="14.25" customHeight="1">
      <c r="A27" s="26"/>
      <c r="B27" s="1394" t="s">
        <v>209</v>
      </c>
      <c r="C27" s="1388"/>
      <c r="D27" s="26"/>
      <c r="F27" s="206" t="s">
        <v>297</v>
      </c>
      <c r="G27" s="141"/>
      <c r="H27" s="26"/>
      <c r="I27" s="1387" t="s">
        <v>316</v>
      </c>
      <c r="J27" s="1389"/>
      <c r="K27" s="1388"/>
      <c r="L27" s="26"/>
      <c r="M27" s="26"/>
      <c r="N27" s="26"/>
      <c r="O27" s="26"/>
      <c r="P27" s="26"/>
      <c r="Q27" s="26"/>
    </row>
    <row r="28" spans="1:17" ht="15.75" customHeight="1">
      <c r="A28" s="26"/>
      <c r="B28" s="169" t="s">
        <v>211</v>
      </c>
      <c r="C28" s="170" t="s">
        <v>212</v>
      </c>
      <c r="D28" s="26"/>
      <c r="F28" s="193" t="s">
        <v>299</v>
      </c>
      <c r="G28" s="193" t="s">
        <v>300</v>
      </c>
      <c r="H28" s="26"/>
      <c r="I28" s="169" t="s">
        <v>211</v>
      </c>
      <c r="J28" s="209" t="s">
        <v>212</v>
      </c>
      <c r="K28" s="170" t="s">
        <v>317</v>
      </c>
      <c r="L28" s="26"/>
      <c r="M28" s="26"/>
      <c r="N28" s="26"/>
      <c r="O28" s="26"/>
      <c r="P28" s="26"/>
      <c r="Q28" s="26"/>
    </row>
    <row r="29" spans="1:17" ht="15.75" customHeight="1">
      <c r="A29" s="26"/>
      <c r="B29" s="125" t="s">
        <v>213</v>
      </c>
      <c r="C29" s="171">
        <f>Inputs!E66</f>
        <v>11856915</v>
      </c>
      <c r="D29" s="26"/>
      <c r="F29" s="194" t="s">
        <v>302</v>
      </c>
      <c r="G29" s="207">
        <f t="array" ref="G29">IFERROR((INDEX('Calendar Assumptions'!$F$5:$P$5,MATCH(Valuations!C128,'Calendar Assumptions'!$F$4:$P$4,0))+INDEX('Calendar Assumptions'!$F$6:$P$6,MATCH(Valuations!C128,'Calendar Assumptions'!$F$4:$P$4,0))+INDEX('Calendar Assumptions'!$F$7:$P$7,MATCH(Valuations!C128,'Calendar Assumptions'!$F$4:$P$4,0))),0)</f>
        <v>48.516000000000005</v>
      </c>
      <c r="H29" s="26"/>
      <c r="I29" s="125" t="s">
        <v>319</v>
      </c>
      <c r="J29" s="211">
        <f>'Calendar Assumptions'!H16</f>
        <v>162.34200000000004</v>
      </c>
      <c r="K29" s="127" t="s">
        <v>320</v>
      </c>
      <c r="L29" s="26"/>
      <c r="M29" s="26"/>
      <c r="N29" s="26"/>
      <c r="O29" s="26"/>
      <c r="P29" s="26"/>
      <c r="Q29" s="26"/>
    </row>
    <row r="30" spans="1:17" ht="15.75" customHeight="1">
      <c r="A30" s="26"/>
      <c r="B30" s="125" t="s">
        <v>215</v>
      </c>
      <c r="C30" s="171">
        <f>Inputs!E66</f>
        <v>11856915</v>
      </c>
      <c r="D30" s="26"/>
      <c r="F30" s="194" t="s">
        <v>304</v>
      </c>
      <c r="G30" s="207">
        <f t="array" ref="G30">IFERROR(INDEX('Calendar Assumptions'!$F$8:$P$8, MATCH(Valuations!C128,'Calendar Assumptions'!$F$4:$P$4,0)),0)</f>
        <v>16.794</v>
      </c>
      <c r="H30" s="26"/>
      <c r="I30" s="125" t="s">
        <v>262</v>
      </c>
      <c r="J30" s="191">
        <f>'P&amp;L'!L28</f>
        <v>20615521.882462904</v>
      </c>
      <c r="K30" s="127" t="s">
        <v>322</v>
      </c>
      <c r="L30" s="26"/>
      <c r="M30" s="26"/>
      <c r="N30" s="26"/>
      <c r="O30" s="26"/>
      <c r="P30" s="26"/>
      <c r="Q30" s="26"/>
    </row>
    <row r="31" spans="1:17" ht="15.75" customHeight="1">
      <c r="A31" s="26"/>
      <c r="B31" s="125" t="s">
        <v>217</v>
      </c>
      <c r="C31" s="171">
        <f>Inputs!E118+Inputs!E114</f>
        <v>8970383.0899999999</v>
      </c>
      <c r="D31" s="26"/>
      <c r="F31" s="194" t="s">
        <v>306</v>
      </c>
      <c r="G31" s="207">
        <f t="array" ref="G31">IFERROR(INDEX('Calendar Assumptions'!$F$9:$P$9, MATCH(Valuations!C128,'Calendar Assumptions'!$F$4:$P$4,0)),0)</f>
        <v>13.995000000000001</v>
      </c>
      <c r="H31" s="26"/>
      <c r="I31" s="125" t="s">
        <v>324</v>
      </c>
      <c r="J31" s="191">
        <f>J30/J29</f>
        <v>126988.22167068842</v>
      </c>
      <c r="K31" s="127" t="s">
        <v>325</v>
      </c>
      <c r="L31" s="26"/>
      <c r="M31" s="26"/>
      <c r="N31" s="26"/>
      <c r="O31" s="26"/>
      <c r="P31" s="26"/>
      <c r="Q31" s="26"/>
    </row>
    <row r="32" spans="1:17" ht="15.75" customHeight="1">
      <c r="A32" s="26"/>
      <c r="B32" s="125" t="s">
        <v>218</v>
      </c>
      <c r="C32" s="171">
        <f>Inputs!E64</f>
        <v>10</v>
      </c>
      <c r="D32" s="26"/>
      <c r="F32" s="194" t="s">
        <v>308</v>
      </c>
      <c r="G32" s="207">
        <f t="array" ref="G32">IFERROR(INDEX('Calendar Assumptions'!$F$10:$P$10, MATCH(Valuations!C128,'Calendar Assumptions'!$F$4:$P$4,0)),0)</f>
        <v>13.995000000000001</v>
      </c>
      <c r="H32" s="26"/>
      <c r="I32" s="125" t="s">
        <v>327</v>
      </c>
      <c r="J32" s="191">
        <f>'P&amp;L'!L79/J29</f>
        <v>66074.358442221652</v>
      </c>
      <c r="K32" s="127" t="s">
        <v>325</v>
      </c>
      <c r="L32" s="26"/>
      <c r="M32" s="26"/>
      <c r="N32" s="26"/>
      <c r="O32" s="26"/>
      <c r="P32" s="26"/>
      <c r="Q32" s="26"/>
    </row>
    <row r="33" spans="1:17" ht="15.75" customHeight="1">
      <c r="A33" s="26"/>
      <c r="B33" s="125" t="s">
        <v>220</v>
      </c>
      <c r="C33" s="171" t="str">
        <f>Inputs!E131</f>
        <v>FY27</v>
      </c>
      <c r="D33" s="26"/>
      <c r="F33" s="194" t="s">
        <v>187</v>
      </c>
      <c r="G33" s="207">
        <f t="array" ref="G33">IFERROR(INDEX('Calendar Assumptions'!$F$11:$P$11, MATCH(Valuations!C128,'Calendar Assumptions'!$F$4:$P$4,0)),0)</f>
        <v>2.7990000000000004</v>
      </c>
      <c r="H33" s="26"/>
      <c r="I33" s="135" t="s">
        <v>249</v>
      </c>
      <c r="J33" s="213">
        <f>Valuations!C130</f>
        <v>0.54280443934499745</v>
      </c>
      <c r="K33" s="136" t="s">
        <v>328</v>
      </c>
      <c r="L33" s="26"/>
      <c r="M33" s="26"/>
      <c r="N33" s="26"/>
      <c r="O33" s="26"/>
      <c r="P33" s="26"/>
      <c r="Q33" s="26"/>
    </row>
    <row r="34" spans="1:17" ht="15.75" customHeight="1">
      <c r="A34" s="26"/>
      <c r="B34" s="125" t="s">
        <v>222</v>
      </c>
      <c r="C34" s="171">
        <f>Inputs!E63</f>
        <v>0.08</v>
      </c>
      <c r="D34" s="26"/>
      <c r="F34" s="194" t="s">
        <v>311</v>
      </c>
      <c r="G34" s="207">
        <f t="array" ref="G34">IFERROR(INDEX('Calendar Assumptions'!$F$12:$P$12, MATCH(Valuations!C128,'Calendar Assumptions'!$F$4:$P$4,0)),0)</f>
        <v>27.057000000000002</v>
      </c>
      <c r="H34" s="26"/>
      <c r="I34" s="26"/>
      <c r="J34" s="26"/>
      <c r="K34" s="26"/>
      <c r="L34" s="26"/>
      <c r="M34" s="26"/>
      <c r="N34" s="26"/>
      <c r="O34" s="26"/>
      <c r="P34" s="26"/>
      <c r="Q34" s="26"/>
    </row>
    <row r="35" spans="1:17" ht="15.75" customHeight="1">
      <c r="A35" s="26"/>
      <c r="B35" s="125" t="s">
        <v>224</v>
      </c>
      <c r="C35" s="171" t="str">
        <f>IF(Inputs!E133=0,"OFF","ON")</f>
        <v>OFF</v>
      </c>
      <c r="D35" s="26"/>
      <c r="F35" s="194" t="s">
        <v>272</v>
      </c>
      <c r="G35" s="207">
        <f t="array" ref="G35">IFERROR(INDEX('Calendar Assumptions'!$F$13:$P$13, MATCH(Valuations!C128,'Calendar Assumptions'!$F$4:$P$4,0)),0)</f>
        <v>11.196000000000002</v>
      </c>
      <c r="H35" s="26"/>
      <c r="I35" s="26"/>
      <c r="J35" s="26"/>
      <c r="K35" s="26"/>
      <c r="L35" s="26"/>
      <c r="M35" s="26"/>
      <c r="N35" s="26"/>
      <c r="O35" s="26"/>
      <c r="P35" s="26"/>
      <c r="Q35" s="26"/>
    </row>
    <row r="36" spans="1:17" ht="15.75" customHeight="1">
      <c r="A36" s="26"/>
      <c r="B36" s="135" t="s">
        <v>226</v>
      </c>
      <c r="C36" s="175">
        <f>(Inputs!E66+Inputs!E75)/Inputs!E159</f>
        <v>0.6</v>
      </c>
      <c r="D36" s="26"/>
      <c r="F36" s="194" t="s">
        <v>313</v>
      </c>
      <c r="G36" s="207">
        <f t="array" ref="G36">IFERROR(INDEX('Calendar Assumptions'!$F$14:$P$14, MATCH(Valuations!C128,'Calendar Assumptions'!$F$4:$P$4,0)),0)</f>
        <v>3.7320000000000002</v>
      </c>
      <c r="H36" s="26"/>
      <c r="I36" s="26"/>
      <c r="J36" s="26"/>
      <c r="K36" s="26"/>
      <c r="L36" s="26"/>
      <c r="M36" s="26"/>
      <c r="N36" s="26"/>
      <c r="O36" s="26"/>
      <c r="P36" s="26"/>
      <c r="Q36" s="26"/>
    </row>
    <row r="37" spans="1:17" ht="15.75" customHeight="1">
      <c r="A37" s="26"/>
      <c r="B37" s="26"/>
      <c r="C37" s="176"/>
      <c r="D37" s="26"/>
      <c r="E37" s="26"/>
      <c r="F37" s="26"/>
      <c r="G37" s="26"/>
      <c r="H37" s="26"/>
      <c r="I37" s="26"/>
      <c r="J37" s="26"/>
      <c r="K37" s="26"/>
      <c r="L37" s="26"/>
      <c r="M37" s="26"/>
      <c r="N37" s="26"/>
      <c r="O37" s="26"/>
      <c r="P37" s="26"/>
      <c r="Q37" s="26"/>
    </row>
    <row r="38" spans="1:17" ht="15.75" customHeight="1">
      <c r="A38" s="26"/>
      <c r="B38" s="26"/>
      <c r="C38" s="176"/>
      <c r="D38" s="26"/>
      <c r="G38" s="26"/>
      <c r="H38" s="26"/>
      <c r="I38" s="26"/>
      <c r="J38" s="26"/>
      <c r="K38" s="26"/>
      <c r="L38" s="26"/>
      <c r="M38" s="26"/>
      <c r="N38" s="26"/>
      <c r="O38" s="26"/>
      <c r="P38" s="26"/>
      <c r="Q38" s="26"/>
    </row>
    <row r="39" spans="1:17" ht="14.25" customHeight="1">
      <c r="A39" s="26"/>
      <c r="B39" s="1387" t="s">
        <v>228</v>
      </c>
      <c r="C39" s="1389"/>
      <c r="D39" s="1388"/>
      <c r="F39" s="141" t="s">
        <v>258</v>
      </c>
      <c r="G39" s="141"/>
      <c r="H39" s="26"/>
      <c r="I39" s="141" t="s">
        <v>210</v>
      </c>
      <c r="J39" s="141" t="s">
        <v>212</v>
      </c>
      <c r="K39" s="26"/>
      <c r="L39" s="141" t="s">
        <v>276</v>
      </c>
      <c r="M39" s="141"/>
      <c r="N39" s="26"/>
      <c r="O39" s="141" t="s">
        <v>209</v>
      </c>
      <c r="P39" s="192"/>
      <c r="Q39" s="26"/>
    </row>
    <row r="40" spans="1:17" ht="15.75" customHeight="1">
      <c r="A40" s="26"/>
      <c r="B40" s="177" t="s">
        <v>211</v>
      </c>
      <c r="C40" s="178" t="s">
        <v>212</v>
      </c>
      <c r="D40" s="179" t="s">
        <v>229</v>
      </c>
      <c r="F40" s="193" t="s">
        <v>211</v>
      </c>
      <c r="G40" s="193" t="s">
        <v>212</v>
      </c>
      <c r="H40" s="26"/>
      <c r="I40" s="193" t="s">
        <v>211</v>
      </c>
      <c r="J40" s="193" t="s">
        <v>212</v>
      </c>
      <c r="K40" s="26"/>
      <c r="L40" s="193" t="s">
        <v>279</v>
      </c>
      <c r="M40" s="193" t="s">
        <v>212</v>
      </c>
      <c r="N40" s="26"/>
      <c r="O40" s="193" t="s">
        <v>211</v>
      </c>
      <c r="P40" s="1470" t="s">
        <v>212</v>
      </c>
      <c r="Q40" s="26"/>
    </row>
    <row r="41" spans="1:17" ht="15.75" customHeight="1">
      <c r="A41" s="26"/>
      <c r="B41" s="125" t="s">
        <v>79</v>
      </c>
      <c r="C41" s="180">
        <f>Valuations!C9</f>
        <v>0.1</v>
      </c>
      <c r="D41" s="127" t="s">
        <v>230</v>
      </c>
      <c r="F41" s="194" t="s">
        <v>262</v>
      </c>
      <c r="G41" s="196">
        <f>'P&amp;L'!L28</f>
        <v>20615521.882462904</v>
      </c>
      <c r="H41" s="26"/>
      <c r="I41" s="194" t="s">
        <v>251</v>
      </c>
      <c r="J41" s="196">
        <f>Inputs!E159</f>
        <v>19761525</v>
      </c>
      <c r="K41" s="26"/>
      <c r="L41" s="194" t="s">
        <v>281</v>
      </c>
      <c r="M41" s="196">
        <f t="array" ref="M41">IFERROR(INDEX('P&amp;L'!$G$14:$T$14, MATCH(Inputs!$E$488,'P&amp;L'!$G$6:$T$6,0)),0)</f>
        <v>7723631.2311432613</v>
      </c>
      <c r="N41" s="26"/>
      <c r="O41" s="194" t="s">
        <v>213</v>
      </c>
      <c r="P41" s="195">
        <f>Debt!C5+Debt!D5</f>
        <v>12675915</v>
      </c>
      <c r="Q41" s="26"/>
    </row>
    <row r="42" spans="1:17" ht="15.75" customHeight="1">
      <c r="A42" s="26"/>
      <c r="B42" s="125" t="s">
        <v>132</v>
      </c>
      <c r="C42" s="180">
        <f>Valuations!C15</f>
        <v>7</v>
      </c>
      <c r="D42" s="127" t="s">
        <v>231</v>
      </c>
      <c r="E42" s="26"/>
      <c r="F42" s="194" t="s">
        <v>264</v>
      </c>
      <c r="G42" s="196">
        <f>'P&amp;L'!L40</f>
        <v>18125573.176462904</v>
      </c>
      <c r="H42" s="26"/>
      <c r="I42" s="194" t="s">
        <v>252</v>
      </c>
      <c r="J42" s="196">
        <f>SUM(Cashflow!D13:O14)</f>
        <v>8970383.0899999999</v>
      </c>
      <c r="K42" s="26"/>
      <c r="L42" s="194" t="s">
        <v>283</v>
      </c>
      <c r="M42" s="196">
        <f t="array" ref="M42">IFERROR(INDEX('P&amp;L'!$G$15:$T$15, MATCH(Inputs!$E$488,'P&amp;L'!$G$6:$T$6,0)),0)</f>
        <v>1084742.1055876082</v>
      </c>
      <c r="N42" s="26"/>
      <c r="O42" s="194" t="s">
        <v>215</v>
      </c>
      <c r="P42" s="195">
        <f>Debt!C5</f>
        <v>12675915</v>
      </c>
      <c r="Q42" s="26"/>
    </row>
    <row r="43" spans="1:17" ht="15.75" customHeight="1">
      <c r="A43" s="26"/>
      <c r="B43" s="125" t="s">
        <v>131</v>
      </c>
      <c r="C43" s="180">
        <f>Valuations!C72</f>
        <v>13901342.685076447</v>
      </c>
      <c r="D43" s="127" t="s">
        <v>232</v>
      </c>
      <c r="E43" s="26"/>
      <c r="F43" s="194" t="s">
        <v>266</v>
      </c>
      <c r="G43" s="197">
        <f>'P&amp;L'!L41</f>
        <v>0.87921971026510193</v>
      </c>
      <c r="H43" s="26"/>
      <c r="I43" s="194" t="s">
        <v>196</v>
      </c>
      <c r="J43" s="196">
        <f>Debt!C5+Debt!D5</f>
        <v>12675915</v>
      </c>
      <c r="K43" s="26"/>
      <c r="L43" s="194" t="s">
        <v>285</v>
      </c>
      <c r="M43" s="196">
        <f t="array" ref="M43">IFERROR(INDEX('P&amp;L'!$G$16:$T$16, MATCH(Inputs!$E$488,'P&amp;L'!$G$6:$T$6,0)),0)</f>
        <v>182520</v>
      </c>
      <c r="N43" s="26"/>
      <c r="O43" s="194" t="s">
        <v>253</v>
      </c>
      <c r="P43" s="195">
        <f>Debt!D5</f>
        <v>0</v>
      </c>
      <c r="Q43" s="26"/>
    </row>
    <row r="44" spans="1:17" ht="15.75" customHeight="1">
      <c r="A44" s="26"/>
      <c r="B44" s="125" t="s">
        <v>233</v>
      </c>
      <c r="C44" s="180">
        <f>Valuations!C74</f>
        <v>97309398.795535132</v>
      </c>
      <c r="D44" s="127" t="s">
        <v>234</v>
      </c>
      <c r="E44" s="26"/>
      <c r="F44" s="194" t="s">
        <v>194</v>
      </c>
      <c r="G44" s="196">
        <f>'P&amp;L'!L79</f>
        <v>10726643.498227151</v>
      </c>
      <c r="H44" s="26"/>
      <c r="I44" s="194" t="s">
        <v>219</v>
      </c>
      <c r="J44" s="197">
        <f>J43/J42</f>
        <v>1.4130851350296123</v>
      </c>
      <c r="K44" s="26"/>
      <c r="L44" s="194" t="s">
        <v>287</v>
      </c>
      <c r="M44" s="196">
        <f t="array" ref="M44">IFERROR(INDEX('P&amp;L'!$G$17:$T$17, MATCH(Inputs!$E$488,'P&amp;L'!$G$6:$T$6,0)),0)</f>
        <v>8690093.4291223064</v>
      </c>
      <c r="N44" s="26"/>
      <c r="O44" s="194" t="s">
        <v>218</v>
      </c>
      <c r="P44" s="195">
        <f>Debt!C6</f>
        <v>10</v>
      </c>
      <c r="Q44" s="26"/>
    </row>
    <row r="45" spans="1:17" ht="15.75" customHeight="1">
      <c r="A45" s="26"/>
      <c r="B45" s="125" t="s">
        <v>235</v>
      </c>
      <c r="C45" s="180">
        <f>Valuations!C91</f>
        <v>62301606.637933955</v>
      </c>
      <c r="D45" s="127" t="s">
        <v>236</v>
      </c>
      <c r="E45" s="26"/>
      <c r="F45" s="194" t="s">
        <v>269</v>
      </c>
      <c r="G45" s="197">
        <f>'P&amp;L'!L80</f>
        <v>0.52031879471128173</v>
      </c>
      <c r="H45" s="26"/>
      <c r="I45" s="194" t="s">
        <v>221</v>
      </c>
      <c r="J45" s="197">
        <f>Valuations!C109</f>
        <v>0.24794586632771631</v>
      </c>
      <c r="K45" s="26"/>
      <c r="L45" s="194" t="s">
        <v>289</v>
      </c>
      <c r="M45" s="196">
        <f t="array" ref="M45">IFERROR(INDEX('P&amp;L'!$G$18:$T$18, MATCH(Inputs!$E$488,'P&amp;L'!$G$6:$T$6,0)),0)</f>
        <v>832800</v>
      </c>
      <c r="N45" s="26"/>
      <c r="O45" s="194" t="s">
        <v>254</v>
      </c>
      <c r="P45" s="195">
        <f>Debt!D6</f>
        <v>10</v>
      </c>
      <c r="Q45" s="26"/>
    </row>
    <row r="46" spans="1:17" ht="15.75" customHeight="1">
      <c r="A46" s="26"/>
      <c r="B46" s="125" t="s">
        <v>237</v>
      </c>
      <c r="C46" s="180">
        <f>Valuations!C93+Valuations!C94</f>
        <v>-12223686.600000001</v>
      </c>
      <c r="D46" s="127" t="s">
        <v>238</v>
      </c>
      <c r="E46" s="26"/>
      <c r="F46" s="194" t="s">
        <v>271</v>
      </c>
      <c r="G46" s="196">
        <f>'P&amp;L'!L95</f>
        <v>6240242.941259006</v>
      </c>
      <c r="H46" s="26"/>
      <c r="I46" s="194" t="s">
        <v>223</v>
      </c>
      <c r="J46" s="197">
        <f>Valuations!C123</f>
        <v>0.33284790951683618</v>
      </c>
      <c r="K46" s="26"/>
      <c r="L46" s="194" t="s">
        <v>291</v>
      </c>
      <c r="M46" s="196">
        <f t="array" ref="M46">IFERROR(INDEX('P&amp;L'!$G$20:$T$20, MATCH(Inputs!$E$488,'P&amp;L'!$G$6:$T$6,0)),0)</f>
        <v>2610000</v>
      </c>
      <c r="N46" s="26"/>
      <c r="O46" s="194" t="s">
        <v>222</v>
      </c>
      <c r="P46" s="199">
        <f>Debt!C7</f>
        <v>0.08</v>
      </c>
      <c r="Q46" s="26"/>
    </row>
    <row r="47" spans="1:17" ht="15.75" customHeight="1">
      <c r="A47" s="26"/>
      <c r="B47" s="135" t="s">
        <v>239</v>
      </c>
      <c r="C47" s="181">
        <f>Valuations!C23</f>
        <v>50077920.037933953</v>
      </c>
      <c r="D47" s="136" t="s">
        <v>240</v>
      </c>
      <c r="E47" s="26"/>
      <c r="F47" s="194" t="s">
        <v>273</v>
      </c>
      <c r="G47" s="197">
        <f>IF(G41=0,0,G46/G41)</f>
        <v>0.30269633613143798</v>
      </c>
      <c r="H47" s="26"/>
      <c r="I47" s="194" t="s">
        <v>225</v>
      </c>
      <c r="J47" s="197">
        <f>Valuations!C127</f>
        <v>17.693182272018159</v>
      </c>
      <c r="K47" s="26"/>
      <c r="L47" s="194" t="s">
        <v>292</v>
      </c>
      <c r="M47" s="196">
        <f t="array" ref="M47">IFERROR(INDEX('P&amp;L'!$G$24:$T$24, MATCH(Inputs!$E$488,'P&amp;L'!$G$6:$T$6,0)),0)</f>
        <v>2368156.4067632607</v>
      </c>
      <c r="N47" s="26"/>
      <c r="O47" s="194" t="s">
        <v>255</v>
      </c>
      <c r="P47" s="199">
        <f>Debt!D7</f>
        <v>0.12</v>
      </c>
      <c r="Q47" s="26"/>
    </row>
    <row r="48" spans="1:17" ht="15.75" customHeight="1">
      <c r="A48" s="26"/>
      <c r="B48" s="26"/>
      <c r="C48" s="176"/>
      <c r="D48" s="26"/>
      <c r="E48" s="26"/>
      <c r="F48" s="26"/>
      <c r="G48" s="26"/>
      <c r="H48" s="26"/>
      <c r="I48" s="194" t="s">
        <v>227</v>
      </c>
      <c r="J48" s="201" t="s">
        <v>155</v>
      </c>
      <c r="K48" s="26"/>
      <c r="L48" s="194" t="s">
        <v>294</v>
      </c>
      <c r="M48" s="196">
        <f t="array" ref="M48">IFERROR(INDEX('P&amp;L'!$G$25:$T$25, MATCH(Inputs!$E$488,'P&amp;L'!$G$6:$T$6,0)),0)</f>
        <v>736048.61291290494</v>
      </c>
      <c r="N48" s="26"/>
      <c r="O48" s="194" t="s">
        <v>256</v>
      </c>
      <c r="P48" s="195" t="s">
        <v>202</v>
      </c>
      <c r="Q48" s="26"/>
    </row>
    <row r="49" spans="1:17" ht="15.75" customHeight="1">
      <c r="A49" s="26"/>
      <c r="B49" s="26"/>
      <c r="C49" s="176"/>
      <c r="D49" s="26"/>
      <c r="E49" s="26"/>
      <c r="F49" s="26"/>
      <c r="G49" s="26"/>
      <c r="H49" s="26"/>
      <c r="I49" s="26"/>
      <c r="J49" s="26"/>
      <c r="K49" s="26"/>
      <c r="L49" s="26"/>
      <c r="M49" s="26"/>
      <c r="N49" s="26"/>
      <c r="O49" s="153" t="s">
        <v>226</v>
      </c>
      <c r="P49" s="148">
        <f>P41/Inputs!E159</f>
        <v>0.64144416992109665</v>
      </c>
      <c r="Q49" s="26"/>
    </row>
    <row r="50" spans="1:17" ht="14.25" customHeight="1">
      <c r="A50" s="26"/>
      <c r="B50" s="1387" t="s">
        <v>241</v>
      </c>
      <c r="C50" s="1389"/>
      <c r="D50" s="1388"/>
      <c r="E50" s="182"/>
      <c r="F50" s="1394" t="s">
        <v>210</v>
      </c>
      <c r="G50" s="1388"/>
      <c r="H50" s="26"/>
      <c r="I50" s="141" t="s">
        <v>258</v>
      </c>
      <c r="J50" s="141"/>
      <c r="K50" s="26"/>
      <c r="L50" s="141" t="s">
        <v>296</v>
      </c>
      <c r="M50" s="141"/>
      <c r="N50" s="26"/>
      <c r="O50" s="141" t="s">
        <v>257</v>
      </c>
      <c r="P50" s="192"/>
      <c r="Q50" s="26"/>
    </row>
    <row r="51" spans="1:17" ht="15.75" customHeight="1">
      <c r="A51" s="26"/>
      <c r="B51" s="169" t="s">
        <v>211</v>
      </c>
      <c r="C51" s="183" t="s">
        <v>212</v>
      </c>
      <c r="D51" s="170" t="s">
        <v>4</v>
      </c>
      <c r="E51" s="26"/>
      <c r="F51" s="169" t="s">
        <v>211</v>
      </c>
      <c r="G51" s="170" t="s">
        <v>212</v>
      </c>
      <c r="H51" s="26"/>
      <c r="I51" s="193" t="s">
        <v>211</v>
      </c>
      <c r="J51" s="193" t="s">
        <v>212</v>
      </c>
      <c r="K51" s="26"/>
      <c r="L51" s="193" t="s">
        <v>299</v>
      </c>
      <c r="M51" s="193" t="s">
        <v>300</v>
      </c>
      <c r="N51" s="26"/>
      <c r="O51" s="202" t="s">
        <v>259</v>
      </c>
      <c r="P51" s="202" t="s">
        <v>260</v>
      </c>
      <c r="Q51" s="26"/>
    </row>
    <row r="52" spans="1:17" ht="15.75" customHeight="1">
      <c r="A52" s="26"/>
      <c r="B52" s="125" t="s">
        <v>221</v>
      </c>
      <c r="C52" s="184">
        <f>Valuations!C20</f>
        <v>0.24794586632771631</v>
      </c>
      <c r="D52" s="127" t="s">
        <v>242</v>
      </c>
      <c r="E52" s="26"/>
      <c r="F52" s="125" t="s">
        <v>214</v>
      </c>
      <c r="G52" s="172">
        <f>Inputs!E60</f>
        <v>22496298.09</v>
      </c>
      <c r="H52" s="26"/>
      <c r="I52" s="194" t="s">
        <v>262</v>
      </c>
      <c r="J52" s="196">
        <f>'P&amp;L'!T28</f>
        <v>25571991.785529338</v>
      </c>
      <c r="K52" s="26"/>
      <c r="L52" s="194" t="s">
        <v>302</v>
      </c>
      <c r="M52" s="207">
        <f t="array" ref="M52">IFERROR((INDEX('Calendar Assumptions'!$F$5:$P$5,MATCH(Inputs!$E$488,'Calendar Assumptions'!$F$4:$P$4,0))+INDEX('Calendar Assumptions'!$F$6:$P$6,MATCH(Inputs!$E$488,'Calendar Assumptions'!$F$4:$P$4,0))+INDEX('Calendar Assumptions'!$F$7:$P$7,MATCH(Inputs!$E$488,'Calendar Assumptions'!$F$4:$P$4,0))),0)</f>
        <v>52</v>
      </c>
      <c r="N52" s="26"/>
      <c r="O52" s="203" t="s">
        <v>261</v>
      </c>
      <c r="P52" s="204">
        <f>'Revenue Assumptions'!D5</f>
        <v>5000</v>
      </c>
      <c r="Q52" s="26"/>
    </row>
    <row r="53" spans="1:17" ht="15.75" customHeight="1">
      <c r="A53" s="26"/>
      <c r="B53" s="125" t="s">
        <v>223</v>
      </c>
      <c r="C53" s="184">
        <f>Valuations!C22</f>
        <v>0.33284790951683618</v>
      </c>
      <c r="D53" s="127" t="s">
        <v>243</v>
      </c>
      <c r="E53" s="26"/>
      <c r="F53" s="125" t="s">
        <v>216</v>
      </c>
      <c r="G53" s="172">
        <f>Inputs!E120</f>
        <v>8970383.0899999999</v>
      </c>
      <c r="H53" s="26"/>
      <c r="I53" s="194" t="s">
        <v>264</v>
      </c>
      <c r="J53" s="196">
        <f>'P&amp;L'!T40</f>
        <v>22466577.085336529</v>
      </c>
      <c r="K53" s="26"/>
      <c r="L53" s="194" t="s">
        <v>304</v>
      </c>
      <c r="M53" s="201">
        <f t="array" ref="M53">IFERROR(INDEX('Calendar Assumptions'!$F$8:$P$8, MATCH(Inputs!$E$488,'Calendar Assumptions'!$F$4:$P$4,0)),0)</f>
        <v>18</v>
      </c>
      <c r="N53" s="26"/>
      <c r="O53" s="203" t="s">
        <v>263</v>
      </c>
      <c r="P53" s="204">
        <f>'Revenue Assumptions'!D6</f>
        <v>3000</v>
      </c>
      <c r="Q53" s="26"/>
    </row>
    <row r="54" spans="1:17" ht="15.75" customHeight="1">
      <c r="A54" s="26"/>
      <c r="B54" s="125" t="s">
        <v>244</v>
      </c>
      <c r="C54" s="180">
        <f>Valuations!C21</f>
        <v>62301606.637933955</v>
      </c>
      <c r="D54" s="127" t="s">
        <v>245</v>
      </c>
      <c r="E54" s="26"/>
      <c r="F54" s="125" t="s">
        <v>196</v>
      </c>
      <c r="G54" s="172">
        <f>Inputs!E53-Inputs!E51</f>
        <v>12675915</v>
      </c>
      <c r="H54" s="26"/>
      <c r="I54" s="194" t="s">
        <v>266</v>
      </c>
      <c r="J54" s="197">
        <f>'P&amp;L'!T41</f>
        <v>0.87856187635919314</v>
      </c>
      <c r="K54" s="26"/>
      <c r="L54" s="194" t="s">
        <v>306</v>
      </c>
      <c r="M54" s="201">
        <f t="array" ref="M54">IFERROR(INDEX('Calendar Assumptions'!$F$9:$P$9, MATCH(Inputs!$E$488,'Calendar Assumptions'!$F$4:$P$4,0)),0)</f>
        <v>15</v>
      </c>
      <c r="N54" s="26"/>
      <c r="O54" s="203" t="s">
        <v>265</v>
      </c>
      <c r="P54" s="204">
        <f>'Revenue Assumptions'!D7</f>
        <v>1500</v>
      </c>
      <c r="Q54" s="26"/>
    </row>
    <row r="55" spans="1:17" ht="15.75" customHeight="1">
      <c r="A55" s="26"/>
      <c r="B55" s="125" t="s">
        <v>246</v>
      </c>
      <c r="C55" s="180">
        <f>Valuations!C23</f>
        <v>50077920.037933953</v>
      </c>
      <c r="D55" s="127" t="s">
        <v>247</v>
      </c>
      <c r="E55" s="26"/>
      <c r="F55" s="125" t="s">
        <v>219</v>
      </c>
      <c r="G55" s="173">
        <f>IF(Inputs!E120&gt;0,Inputs!E66/Inputs!E120,0)</f>
        <v>1.3217846864553473</v>
      </c>
      <c r="H55" s="26"/>
      <c r="I55" s="194" t="s">
        <v>194</v>
      </c>
      <c r="J55" s="196">
        <f>'P&amp;L'!T79</f>
        <v>13901342.685076447</v>
      </c>
      <c r="K55" s="26"/>
      <c r="L55" s="194" t="s">
        <v>308</v>
      </c>
      <c r="M55" s="201">
        <f t="array" ref="M55">IFERROR(INDEX('Calendar Assumptions'!$F$10:$P$10, MATCH(Inputs!$E$488,'Calendar Assumptions'!$F$4:$P$4,0)),0)</f>
        <v>15</v>
      </c>
      <c r="N55" s="26"/>
      <c r="O55" s="203" t="s">
        <v>267</v>
      </c>
      <c r="P55" s="204">
        <f>'Revenue Assumptions'!D8</f>
        <v>3500</v>
      </c>
      <c r="Q55" s="26"/>
    </row>
    <row r="56" spans="1:17" ht="15.75" customHeight="1">
      <c r="A56" s="26"/>
      <c r="B56" s="125" t="s">
        <v>225</v>
      </c>
      <c r="C56" s="185">
        <f>Valuations!C24</f>
        <v>17.693182272018159</v>
      </c>
      <c r="D56" s="127" t="s">
        <v>248</v>
      </c>
      <c r="E56" s="26"/>
      <c r="F56" s="125" t="s">
        <v>221</v>
      </c>
      <c r="G56" s="197">
        <f>Valuations!C20</f>
        <v>0.24794586632771631</v>
      </c>
      <c r="H56" s="26"/>
      <c r="I56" s="194" t="s">
        <v>269</v>
      </c>
      <c r="J56" s="197">
        <f>'P&amp;L'!T80</f>
        <v>0.54361595301868237</v>
      </c>
      <c r="K56" s="26"/>
      <c r="L56" s="194" t="s">
        <v>187</v>
      </c>
      <c r="M56" s="201">
        <f t="array" ref="M56">IFERROR(INDEX('Calendar Assumptions'!$F$11:$P$11, MATCH(Inputs!$E$488,'Calendar Assumptions'!$F$4:$P$4,0)),0)</f>
        <v>3</v>
      </c>
      <c r="N56" s="26"/>
      <c r="O56" s="203" t="s">
        <v>268</v>
      </c>
      <c r="P56" s="204">
        <f>'Revenue Assumptions'!D9</f>
        <v>3500</v>
      </c>
      <c r="Q56" s="26"/>
    </row>
    <row r="57" spans="1:17" ht="15.75" customHeight="1">
      <c r="A57" s="26"/>
      <c r="B57" s="135" t="s">
        <v>249</v>
      </c>
      <c r="C57" s="186">
        <f>Valuations!C26</f>
        <v>0.70345495527680413</v>
      </c>
      <c r="D57" s="136" t="s">
        <v>250</v>
      </c>
      <c r="E57" s="26"/>
      <c r="F57" s="125" t="s">
        <v>223</v>
      </c>
      <c r="G57" s="197">
        <f>Valuations!C22</f>
        <v>0.33284790951683618</v>
      </c>
      <c r="H57" s="26"/>
      <c r="I57" s="194" t="s">
        <v>271</v>
      </c>
      <c r="J57" s="196">
        <f>'P&amp;L'!T95</f>
        <v>9039286.5045535136</v>
      </c>
      <c r="K57" s="26"/>
      <c r="L57" s="194" t="s">
        <v>311</v>
      </c>
      <c r="M57" s="201">
        <f t="array" ref="M57">IFERROR(INDEX('Calendar Assumptions'!$F$12:$P$12, MATCH(Inputs!$E$488,'Calendar Assumptions'!$F$4:$P$4,0)),0)</f>
        <v>29</v>
      </c>
      <c r="N57" s="26"/>
      <c r="O57" s="203" t="s">
        <v>270</v>
      </c>
      <c r="P57" s="204">
        <f>'Revenue Assumptions'!D12</f>
        <v>3500</v>
      </c>
      <c r="Q57" s="26"/>
    </row>
    <row r="58" spans="1:17" ht="15.75" customHeight="1">
      <c r="A58" s="26"/>
      <c r="B58" s="26"/>
      <c r="C58" s="187"/>
      <c r="D58" s="26"/>
      <c r="E58" s="26"/>
      <c r="F58" s="125" t="s">
        <v>225</v>
      </c>
      <c r="G58" s="174">
        <f>Valuations!C24</f>
        <v>17.693182272018159</v>
      </c>
      <c r="H58" s="26"/>
      <c r="I58" s="194" t="s">
        <v>273</v>
      </c>
      <c r="J58" s="197">
        <f>IF(J52=0,0,J57/J52)</f>
        <v>0.35348386548710919</v>
      </c>
      <c r="K58" s="26"/>
      <c r="L58" s="194" t="s">
        <v>272</v>
      </c>
      <c r="M58" s="201">
        <f t="array" ref="M58">IFERROR(INDEX('Calendar Assumptions'!$F$13:$P$13, MATCH(Inputs!$E$488,'Calendar Assumptions'!$F$4:$P$4,0)),0)</f>
        <v>12</v>
      </c>
      <c r="N58" s="26"/>
      <c r="O58" s="203" t="s">
        <v>272</v>
      </c>
      <c r="P58" s="204">
        <f>'Revenue Assumptions'!D13</f>
        <v>2000</v>
      </c>
      <c r="Q58" s="26"/>
    </row>
    <row r="59" spans="1:17" ht="15.75" customHeight="1">
      <c r="A59" s="26"/>
      <c r="B59" s="26"/>
      <c r="C59" s="176"/>
      <c r="D59" s="26"/>
      <c r="E59" s="26"/>
      <c r="F59" s="135" t="s">
        <v>227</v>
      </c>
      <c r="G59" s="201" t="str">
        <f>Valuations!C25</f>
        <v>FY30</v>
      </c>
      <c r="H59" s="26"/>
      <c r="I59" s="194"/>
      <c r="J59" s="197"/>
      <c r="K59" s="26"/>
      <c r="L59" s="194" t="s">
        <v>313</v>
      </c>
      <c r="M59" s="201">
        <f t="array" ref="M59">IFERROR(INDEX('Calendar Assumptions'!$F$14:$P$14, MATCH(Inputs!$E$488,'Calendar Assumptions'!$F$4:$P$4,0)),0)</f>
        <v>4</v>
      </c>
      <c r="N59" s="26"/>
      <c r="O59" s="203" t="s">
        <v>274</v>
      </c>
      <c r="P59" s="204">
        <v>6000</v>
      </c>
      <c r="Q59" s="26"/>
    </row>
    <row r="60" spans="1:17" ht="15.75" customHeight="1">
      <c r="A60" s="26"/>
      <c r="B60" s="26"/>
      <c r="C60" s="176"/>
      <c r="D60" s="26"/>
      <c r="E60" s="26"/>
      <c r="F60" s="26"/>
      <c r="G60" s="26"/>
      <c r="H60" s="26"/>
      <c r="I60" s="26"/>
      <c r="J60" s="26"/>
      <c r="K60" s="26"/>
      <c r="L60" s="26"/>
      <c r="M60" s="26"/>
      <c r="N60" s="26"/>
      <c r="O60" s="26"/>
      <c r="P60" s="26"/>
      <c r="Q60" s="26"/>
    </row>
    <row r="61" spans="1:17" ht="14.25" customHeight="1">
      <c r="A61" s="26"/>
      <c r="B61" s="1386"/>
      <c r="C61" s="1305"/>
      <c r="D61" s="26"/>
      <c r="E61" s="1386"/>
      <c r="F61" s="1305"/>
      <c r="G61" s="26"/>
      <c r="H61" s="26"/>
      <c r="I61" s="26"/>
      <c r="J61" s="26"/>
      <c r="K61" s="26"/>
      <c r="L61" s="26"/>
      <c r="M61" s="26"/>
      <c r="N61" s="26"/>
      <c r="O61" s="26"/>
      <c r="P61" s="26"/>
      <c r="Q61" s="26"/>
    </row>
    <row r="62" spans="1:17" ht="15.75" customHeight="1">
      <c r="A62" s="26"/>
      <c r="B62" s="188"/>
      <c r="C62" s="189"/>
      <c r="D62" s="26"/>
      <c r="E62" s="188"/>
      <c r="F62" s="188"/>
      <c r="G62" s="26"/>
      <c r="H62" s="26"/>
      <c r="I62" s="26"/>
      <c r="J62" s="26"/>
      <c r="K62" s="26"/>
      <c r="L62" s="26"/>
      <c r="M62" s="26"/>
      <c r="N62" s="26"/>
      <c r="O62" s="26"/>
      <c r="P62" s="26"/>
      <c r="Q62" s="26"/>
    </row>
    <row r="63" spans="1:17" ht="15.75" customHeight="1">
      <c r="A63" s="26"/>
      <c r="B63" s="141" t="s">
        <v>275</v>
      </c>
      <c r="C63" s="192"/>
      <c r="D63" s="26"/>
      <c r="E63" s="26"/>
      <c r="F63" s="1471" t="s">
        <v>329</v>
      </c>
      <c r="G63" s="1472"/>
      <c r="H63" s="1472"/>
      <c r="I63" s="1472"/>
      <c r="J63" s="1472"/>
      <c r="K63" s="1473"/>
      <c r="L63" s="26"/>
      <c r="P63" s="26"/>
      <c r="Q63" s="26"/>
    </row>
    <row r="64" spans="1:17" ht="14.25" customHeight="1">
      <c r="A64" s="26"/>
      <c r="B64" s="193" t="s">
        <v>277</v>
      </c>
      <c r="C64" s="1470" t="s">
        <v>278</v>
      </c>
      <c r="D64" s="153"/>
      <c r="F64" s="1390" t="s">
        <v>330</v>
      </c>
      <c r="G64" s="1305"/>
      <c r="H64" s="1305"/>
      <c r="I64" s="1305"/>
      <c r="J64" s="1305"/>
      <c r="K64" s="1391"/>
      <c r="L64" s="26"/>
      <c r="P64" s="26"/>
      <c r="Q64" s="26"/>
    </row>
    <row r="65" spans="1:17" ht="14.25" customHeight="1">
      <c r="A65" s="26"/>
      <c r="B65" s="194" t="s">
        <v>280</v>
      </c>
      <c r="C65" s="205">
        <f>Inputs!E9</f>
        <v>46054</v>
      </c>
      <c r="D65" s="153"/>
      <c r="F65" s="169" t="s">
        <v>331</v>
      </c>
      <c r="G65" s="214" t="s">
        <v>96</v>
      </c>
      <c r="H65" s="214" t="s">
        <v>97</v>
      </c>
      <c r="I65" s="214" t="s">
        <v>98</v>
      </c>
      <c r="J65" s="214" t="s">
        <v>99</v>
      </c>
      <c r="K65" s="215" t="s">
        <v>100</v>
      </c>
      <c r="L65" s="26"/>
      <c r="P65" s="26"/>
      <c r="Q65" s="26"/>
    </row>
    <row r="66" spans="1:17" ht="14.25" customHeight="1">
      <c r="A66" s="26"/>
      <c r="B66" s="194" t="s">
        <v>282</v>
      </c>
      <c r="C66" s="205">
        <f>Inputs!E14</f>
        <v>46357</v>
      </c>
      <c r="D66" s="153"/>
      <c r="F66" s="217">
        <v>0.08</v>
      </c>
      <c r="G66" s="165">
        <f>Valuations!$C$72*6/(1+0.08)^10</f>
        <v>38634068.444166422</v>
      </c>
      <c r="H66" s="165">
        <f>Valuations!$C$72*7/(1+0.08)^10</f>
        <v>45073079.85152749</v>
      </c>
      <c r="I66" s="165">
        <f>Valuations!$C$72*8/(1+0.08)^10</f>
        <v>51512091.258888558</v>
      </c>
      <c r="J66" s="165">
        <f>Valuations!$C$72*9/(1+0.08)^10</f>
        <v>57951102.666249625</v>
      </c>
      <c r="K66" s="166">
        <f>Valuations!$C$72*10/(1+0.08)^10</f>
        <v>64390114.073610708</v>
      </c>
      <c r="L66" s="26"/>
      <c r="P66" s="26"/>
      <c r="Q66" s="26"/>
    </row>
    <row r="67" spans="1:17" ht="14.25" customHeight="1">
      <c r="A67" s="26"/>
      <c r="B67" s="194" t="s">
        <v>284</v>
      </c>
      <c r="C67" s="205">
        <f>Inputs!E18</f>
        <v>46420</v>
      </c>
      <c r="D67" s="153"/>
      <c r="F67" s="217">
        <v>0.09</v>
      </c>
      <c r="G67" s="165">
        <f>Valuations!$C$72*6/(1+0.09)^10</f>
        <v>35232464.283219747</v>
      </c>
      <c r="H67" s="165">
        <f>Valuations!$C$72*7/(1+0.09)^10</f>
        <v>41104541.663756378</v>
      </c>
      <c r="I67" s="165">
        <f>Valuations!$C$72*8/(1+0.09)^10</f>
        <v>46976619.044293001</v>
      </c>
      <c r="J67" s="165">
        <f>Valuations!$C$72*9/(1+0.09)^10</f>
        <v>52848696.424829625</v>
      </c>
      <c r="K67" s="166">
        <f>Valuations!$C$72*10/(1+0.09)^10</f>
        <v>58720773.805366255</v>
      </c>
      <c r="L67" s="26"/>
      <c r="P67" s="26"/>
      <c r="Q67" s="26"/>
    </row>
    <row r="68" spans="1:17" ht="14.25" customHeight="1">
      <c r="A68" s="26"/>
      <c r="B68" s="194" t="s">
        <v>286</v>
      </c>
      <c r="C68" s="205">
        <f>Inputs!E19</f>
        <v>46568</v>
      </c>
      <c r="D68" s="153"/>
      <c r="F68" s="217">
        <v>0.1</v>
      </c>
      <c r="G68" s="165">
        <f>Valuations!$C$72*6/(1+0.1)^10</f>
        <v>32157416.317749176</v>
      </c>
      <c r="H68" s="218">
        <f>Valuations!$C$72*7/(1+0.1)^10</f>
        <v>37516985.704040706</v>
      </c>
      <c r="I68" s="218">
        <f>Valuations!$C$72*8/(1+0.1)^10</f>
        <v>42876555.090332232</v>
      </c>
      <c r="J68" s="165">
        <f>Valuations!$C$72*9/(1+0.1)^10</f>
        <v>48236124.476623759</v>
      </c>
      <c r="K68" s="166">
        <f>Valuations!$C$72*10/(1+0.1)^10</f>
        <v>53595693.862915292</v>
      </c>
      <c r="L68" s="26"/>
      <c r="P68" s="26"/>
      <c r="Q68" s="26"/>
    </row>
    <row r="69" spans="1:17" ht="14.25" customHeight="1">
      <c r="A69" s="26"/>
      <c r="B69" s="194" t="s">
        <v>288</v>
      </c>
      <c r="C69" s="205">
        <f>Inputs!E22</f>
        <v>46569</v>
      </c>
      <c r="D69" s="153"/>
      <c r="F69" s="217">
        <v>0.11</v>
      </c>
      <c r="G69" s="165">
        <f>Valuations!$C$72*6/(1+0.11)^10</f>
        <v>29375022.766853381</v>
      </c>
      <c r="H69" s="165">
        <f>Valuations!$C$72*7/(1+0.11)^10</f>
        <v>34270859.894662276</v>
      </c>
      <c r="I69" s="165">
        <f>Valuations!$C$72*8/(1+0.11)^10</f>
        <v>39166697.022471175</v>
      </c>
      <c r="J69" s="165">
        <f>Valuations!$C$72*9/(1+0.11)^10</f>
        <v>44062534.150280073</v>
      </c>
      <c r="K69" s="166">
        <f>Valuations!$C$72*10/(1+0.11)^10</f>
        <v>48958371.278088972</v>
      </c>
      <c r="L69" s="26"/>
      <c r="P69" s="26"/>
      <c r="Q69" s="26"/>
    </row>
    <row r="70" spans="1:17" ht="15.75" customHeight="1">
      <c r="A70" s="26"/>
      <c r="B70" s="194" t="s">
        <v>290</v>
      </c>
      <c r="C70" s="205">
        <f>Inputs!E10</f>
        <v>50526</v>
      </c>
      <c r="D70" s="153"/>
      <c r="F70" s="219">
        <v>0.12</v>
      </c>
      <c r="G70" s="167">
        <f>Valuations!$C$72*6/(1+0.12)^10</f>
        <v>26855161.783622764</v>
      </c>
      <c r="H70" s="167">
        <f>Valuations!$C$72*7/(1+0.12)^10</f>
        <v>31331022.080893222</v>
      </c>
      <c r="I70" s="167">
        <f>Valuations!$C$72*8/(1+0.12)^10</f>
        <v>35806882.37816368</v>
      </c>
      <c r="J70" s="167">
        <f>Valuations!$C$72*9/(1+0.12)^10</f>
        <v>40282742.675434142</v>
      </c>
      <c r="K70" s="168">
        <f>Valuations!$C$72*10/(1+0.12)^10</f>
        <v>44758602.972704604</v>
      </c>
      <c r="L70" s="26"/>
      <c r="M70" s="26"/>
      <c r="N70" s="26"/>
      <c r="O70" s="26"/>
      <c r="P70" s="26"/>
      <c r="Q70" s="26"/>
    </row>
    <row r="71" spans="1:17" ht="14.25" customHeight="1">
      <c r="A71" s="26"/>
      <c r="B71" s="194" t="s">
        <v>130</v>
      </c>
      <c r="C71" s="196" t="str">
        <f>Valuations!C13</f>
        <v>FY38</v>
      </c>
      <c r="D71" s="153"/>
      <c r="H71" s="26"/>
      <c r="I71" s="26"/>
      <c r="J71" s="26"/>
      <c r="K71" s="26"/>
      <c r="L71" s="26"/>
      <c r="M71" s="26"/>
      <c r="N71" s="26"/>
      <c r="O71" s="26"/>
      <c r="P71" s="26"/>
      <c r="Q71" s="26"/>
    </row>
    <row r="72" spans="1:17" ht="15.75" customHeight="1">
      <c r="A72" s="26"/>
      <c r="B72" s="194" t="s">
        <v>293</v>
      </c>
      <c r="C72" s="197" t="str">
        <f>"12 years"</f>
        <v>12 years</v>
      </c>
      <c r="D72" s="153"/>
      <c r="H72" s="26"/>
      <c r="I72" s="26"/>
      <c r="J72" s="26"/>
      <c r="K72" s="26"/>
      <c r="L72" s="26"/>
      <c r="M72" s="26"/>
      <c r="N72" s="26"/>
      <c r="O72" s="26"/>
      <c r="P72" s="26"/>
      <c r="Q72" s="26"/>
    </row>
    <row r="73" spans="1:17" ht="14.25" customHeight="1">
      <c r="A73" s="26"/>
      <c r="B73" s="26"/>
      <c r="C73" s="176"/>
      <c r="D73" s="153"/>
      <c r="F73" s="1387" t="s">
        <v>314</v>
      </c>
      <c r="G73" s="1388"/>
      <c r="H73" s="26"/>
      <c r="I73" s="1387" t="s">
        <v>315</v>
      </c>
      <c r="J73" s="1389"/>
      <c r="K73" s="1388"/>
      <c r="L73" s="26"/>
      <c r="M73" s="26"/>
      <c r="N73" s="26"/>
      <c r="O73" s="26"/>
      <c r="P73" s="26"/>
      <c r="Q73" s="26"/>
    </row>
    <row r="74" spans="1:17" ht="15.75" customHeight="1">
      <c r="A74" s="26"/>
      <c r="B74" s="141" t="s">
        <v>295</v>
      </c>
      <c r="C74" s="192"/>
      <c r="D74" s="153"/>
      <c r="F74" s="169" t="s">
        <v>211</v>
      </c>
      <c r="G74" s="208" t="s">
        <v>212</v>
      </c>
      <c r="H74" s="26"/>
      <c r="I74" s="169" t="s">
        <v>211</v>
      </c>
      <c r="J74" s="209" t="s">
        <v>212</v>
      </c>
      <c r="K74" s="170" t="s">
        <v>317</v>
      </c>
      <c r="L74" s="26"/>
      <c r="M74" s="26"/>
      <c r="N74" s="26"/>
      <c r="O74" s="26"/>
      <c r="P74" s="26"/>
      <c r="Q74" s="26"/>
    </row>
    <row r="75" spans="1:17" ht="14.25" customHeight="1">
      <c r="A75" s="26"/>
      <c r="B75" s="193" t="s">
        <v>298</v>
      </c>
      <c r="C75" s="1470" t="s">
        <v>212</v>
      </c>
      <c r="D75" s="153"/>
      <c r="F75" s="125" t="s">
        <v>318</v>
      </c>
      <c r="G75" s="210">
        <f>AVERAGE(Cashflow!G67:O67)</f>
        <v>4.0738366192894055</v>
      </c>
      <c r="I75" s="125" t="s">
        <v>319</v>
      </c>
      <c r="J75" s="211">
        <f>'Calendar Assumptions'!P16</f>
        <v>174</v>
      </c>
      <c r="K75" s="127" t="s">
        <v>320</v>
      </c>
      <c r="L75" s="26"/>
      <c r="M75" s="26"/>
      <c r="N75" s="26"/>
      <c r="O75" s="26"/>
      <c r="P75" s="26"/>
      <c r="Q75" s="26"/>
    </row>
    <row r="76" spans="1:17" ht="14.25" customHeight="1">
      <c r="A76" s="26"/>
      <c r="B76" s="194" t="s">
        <v>301</v>
      </c>
      <c r="C76" s="195">
        <f t="array" ref="C76">IFERROR(INDEX('P&amp;L'!$G$67:$T$67, MATCH(Inputs!$E$488,'P&amp;L'!$G$6:$T$6,0)),0)</f>
        <v>2497512.1434486741</v>
      </c>
      <c r="D76" s="153"/>
      <c r="F76" s="125" t="s">
        <v>321</v>
      </c>
      <c r="G76" s="210">
        <f>MIN(Cashflow!G67:O67)</f>
        <v>3.0466904338978202</v>
      </c>
      <c r="I76" s="125" t="s">
        <v>262</v>
      </c>
      <c r="J76" s="191">
        <f>'P&amp;L'!T28</f>
        <v>25571991.785529338</v>
      </c>
      <c r="K76" s="127" t="s">
        <v>322</v>
      </c>
      <c r="L76" s="26"/>
      <c r="M76" s="26"/>
      <c r="N76" s="26"/>
      <c r="O76" s="26"/>
      <c r="P76" s="26"/>
      <c r="Q76" s="26"/>
    </row>
    <row r="77" spans="1:17" ht="14.25" customHeight="1">
      <c r="A77" s="26"/>
      <c r="B77" s="194" t="s">
        <v>303</v>
      </c>
      <c r="C77" s="195">
        <f t="array" ref="C77">IFERROR(INDEX('P&amp;L'!$G$45:$T$45, MATCH(Inputs!$E$488,'P&amp;L'!$G$6:$T$6,0)),0)</f>
        <v>956218.62933432672</v>
      </c>
      <c r="D77" s="153"/>
      <c r="F77" s="125" t="s">
        <v>323</v>
      </c>
      <c r="G77" s="210">
        <f>AVERAGE('P&amp;L'!J79/'P&amp;L'!J87,'P&amp;L'!K79/'P&amp;L'!K87,'P&amp;L'!L79/'P&amp;L'!L87,'P&amp;L'!M79/'P&amp;L'!M87)</f>
        <v>12.54113615938336</v>
      </c>
      <c r="I77" s="125" t="s">
        <v>324</v>
      </c>
      <c r="J77" s="191">
        <f>J76/J75</f>
        <v>146965.4700317778</v>
      </c>
      <c r="K77" s="127" t="s">
        <v>325</v>
      </c>
      <c r="L77" s="26"/>
      <c r="M77" s="26"/>
      <c r="N77" s="26"/>
      <c r="O77" s="26"/>
      <c r="P77" s="26"/>
      <c r="Q77" s="26"/>
    </row>
    <row r="78" spans="1:17" ht="14.25" customHeight="1">
      <c r="A78" s="26"/>
      <c r="B78" s="194" t="s">
        <v>305</v>
      </c>
      <c r="C78" s="195">
        <f t="array" ref="C78">IFERROR(INDEX('P&amp;L'!$G$46:$T$46, MATCH(Inputs!$E$488,'P&amp;L'!$G$6:$T$6,0)),0)</f>
        <v>315820.34914586868</v>
      </c>
      <c r="D78" s="153"/>
      <c r="F78" s="135" t="s">
        <v>326</v>
      </c>
      <c r="G78" s="212">
        <f>MIN('P&amp;L'!J79/'P&amp;L'!J87,'P&amp;L'!K79/'P&amp;L'!K87,'P&amp;L'!L79/'P&amp;L'!L87,'P&amp;L'!M79/'P&amp;L'!M87)</f>
        <v>9.7508767218690213</v>
      </c>
      <c r="I78" s="125" t="s">
        <v>327</v>
      </c>
      <c r="J78" s="191">
        <f>'P&amp;L'!T79/J75</f>
        <v>79892.774052163484</v>
      </c>
      <c r="K78" s="127" t="s">
        <v>325</v>
      </c>
      <c r="L78" s="26"/>
      <c r="M78" s="26"/>
      <c r="N78" s="26"/>
      <c r="O78" s="26"/>
      <c r="P78" s="26"/>
      <c r="Q78" s="26"/>
    </row>
    <row r="79" spans="1:17" ht="14.25" customHeight="1">
      <c r="A79" s="26"/>
      <c r="B79" s="194" t="s">
        <v>307</v>
      </c>
      <c r="C79" s="195">
        <v>0</v>
      </c>
      <c r="D79" s="153"/>
      <c r="I79" s="135" t="s">
        <v>249</v>
      </c>
      <c r="J79" s="213">
        <f>Valuations!C26</f>
        <v>0.70345495527680413</v>
      </c>
      <c r="K79" s="136" t="s">
        <v>328</v>
      </c>
      <c r="L79" s="26"/>
      <c r="M79" s="26"/>
      <c r="N79" s="26"/>
      <c r="O79" s="26"/>
      <c r="P79" s="26"/>
      <c r="Q79" s="26"/>
    </row>
    <row r="80" spans="1:17" ht="14.25" customHeight="1">
      <c r="A80" s="26"/>
      <c r="B80" s="194" t="s">
        <v>309</v>
      </c>
      <c r="C80" s="195">
        <f t="array" ref="C80">IFERROR(INDEX('P&amp;L'!$G$48:$T$48, MATCH(Inputs!$E$488,'P&amp;L'!$G$6:$T$6,0)),0)</f>
        <v>161269.96552129465</v>
      </c>
      <c r="D80" s="153"/>
      <c r="J80" s="26"/>
      <c r="K80" s="26"/>
      <c r="L80" s="26"/>
      <c r="M80" s="26"/>
      <c r="N80" s="26"/>
      <c r="O80" s="26"/>
      <c r="P80" s="26"/>
      <c r="Q80" s="26"/>
    </row>
    <row r="81" spans="1:17" ht="14.25" customHeight="1">
      <c r="A81" s="26"/>
      <c r="B81" s="194" t="s">
        <v>310</v>
      </c>
      <c r="C81" s="195">
        <f t="array" ref="C81">IFERROR((INDEX('P&amp;L'!$G$59:$T$59, MATCH(Inputs!$E$488,'P&amp;L'!$G$6:$T$6,0))+INDEX('P&amp;L'!$G$60:$T$60, MATCH(Inputs!$E$488,'P&amp;L'!$G$6:$T$6,0))+INDEX('P&amp;L'!$G$62:$T$62, MATCH(Inputs!$E$488,'P&amp;L'!$G$6:$T$6,0))+INDEX('P&amp;L'!$G$63:$T$63, MATCH(Inputs!$E$488,'P&amp;L'!$G$6:$T$6,0))+INDEX('P&amp;L'!$G$64:$T$64, MATCH(Inputs!$E$488,'P&amp;L'!$G$6:$T$6,0))+INDEX('P&amp;L'!$G$65:$T$65, MATCH(Inputs!$E$488,'P&amp;L'!$G$6:$T$6,0))),0)</f>
        <v>486093.45961842482</v>
      </c>
      <c r="D81" s="153"/>
      <c r="J81" s="26"/>
      <c r="K81" s="26"/>
      <c r="L81" s="26"/>
      <c r="M81" s="26"/>
      <c r="N81" s="26"/>
      <c r="O81" s="26"/>
      <c r="P81" s="26"/>
      <c r="Q81" s="26"/>
    </row>
    <row r="82" spans="1:17" ht="14.25" customHeight="1">
      <c r="A82" s="26"/>
      <c r="B82" s="194" t="s">
        <v>312</v>
      </c>
      <c r="C82" s="195">
        <v>0</v>
      </c>
      <c r="D82" s="153"/>
      <c r="J82" s="26"/>
      <c r="K82" s="26"/>
      <c r="L82" s="26"/>
      <c r="M82" s="26"/>
      <c r="N82" s="26"/>
      <c r="O82" s="26"/>
      <c r="P82" s="26"/>
      <c r="Q82" s="26"/>
    </row>
    <row r="83" spans="1:17" ht="14.25" customHeight="1">
      <c r="A83" s="26"/>
      <c r="D83" s="153"/>
      <c r="J83" s="26"/>
      <c r="K83" s="26"/>
      <c r="L83" s="26"/>
      <c r="M83" s="26"/>
      <c r="N83" s="26"/>
      <c r="O83" s="26"/>
      <c r="P83" s="26"/>
      <c r="Q83" s="26"/>
    </row>
    <row r="84" spans="1:17" ht="15.75" customHeight="1">
      <c r="A84" s="26"/>
      <c r="D84" s="153"/>
      <c r="H84" s="26"/>
      <c r="I84" s="26"/>
      <c r="J84" s="26"/>
      <c r="K84" s="26"/>
      <c r="L84" s="26"/>
      <c r="M84" s="26"/>
      <c r="N84" s="26"/>
      <c r="O84" s="26"/>
      <c r="P84" s="26"/>
      <c r="Q84" s="26"/>
    </row>
    <row r="85" spans="1:17" ht="14.25" customHeight="1">
      <c r="A85" s="26"/>
      <c r="B85" s="26"/>
      <c r="C85" s="176"/>
      <c r="D85" s="153"/>
      <c r="F85" s="26"/>
      <c r="G85" s="26"/>
      <c r="H85" s="26"/>
      <c r="I85" s="26"/>
      <c r="J85" s="26"/>
      <c r="K85" s="26"/>
      <c r="L85" s="26"/>
      <c r="M85" s="26"/>
      <c r="N85" s="26"/>
      <c r="O85" s="26"/>
      <c r="P85" s="26"/>
      <c r="Q85" s="26"/>
    </row>
    <row r="86" spans="1:17" ht="15" customHeight="1">
      <c r="A86" s="26"/>
      <c r="D86" s="153"/>
      <c r="H86" s="26"/>
      <c r="I86" s="26"/>
      <c r="J86" s="26"/>
      <c r="K86" s="26"/>
      <c r="L86" s="26"/>
      <c r="M86" s="26"/>
      <c r="N86" s="26"/>
      <c r="O86" s="26"/>
      <c r="P86" s="26"/>
      <c r="Q86" s="26"/>
    </row>
    <row r="87" spans="1:17" ht="14.25" customHeight="1">
      <c r="A87" s="26"/>
      <c r="D87" s="153"/>
      <c r="H87" s="26"/>
      <c r="I87" s="26"/>
      <c r="J87" s="26"/>
      <c r="K87" s="26"/>
      <c r="L87" s="26"/>
      <c r="M87" s="26"/>
      <c r="N87" s="26"/>
      <c r="O87" s="26"/>
      <c r="P87" s="26"/>
      <c r="Q87" s="26"/>
    </row>
    <row r="88" spans="1:17" ht="15.75" customHeight="1">
      <c r="A88" s="26"/>
      <c r="D88" s="153"/>
      <c r="H88" s="26"/>
      <c r="I88" s="26"/>
      <c r="J88" s="26"/>
      <c r="K88" s="26"/>
      <c r="L88" s="26"/>
      <c r="M88" s="26"/>
      <c r="N88" s="26"/>
      <c r="O88" s="26"/>
      <c r="P88" s="26"/>
      <c r="Q88" s="26"/>
    </row>
    <row r="89" spans="1:17" ht="14.25" customHeight="1">
      <c r="A89" s="26"/>
      <c r="D89" s="153"/>
      <c r="H89" s="26"/>
      <c r="I89" s="26"/>
      <c r="J89" s="26"/>
      <c r="K89" s="26"/>
      <c r="L89" s="26"/>
      <c r="M89" s="26"/>
      <c r="N89" s="26"/>
      <c r="O89" s="26"/>
      <c r="P89" s="26"/>
      <c r="Q89" s="26"/>
    </row>
    <row r="90" spans="1:17" ht="14.25" customHeight="1">
      <c r="A90" s="26"/>
      <c r="D90" s="153"/>
      <c r="H90" s="26"/>
      <c r="I90" s="26"/>
      <c r="J90" s="26"/>
      <c r="K90" s="26"/>
      <c r="L90" s="26"/>
      <c r="M90" s="26"/>
      <c r="N90" s="26"/>
      <c r="O90" s="26"/>
      <c r="P90" s="26"/>
      <c r="Q90" s="26"/>
    </row>
    <row r="91" spans="1:17" ht="14.25" customHeight="1">
      <c r="A91" s="26"/>
      <c r="D91" s="153"/>
      <c r="H91" s="26"/>
      <c r="I91" s="26"/>
      <c r="J91" s="26"/>
      <c r="K91" s="26"/>
      <c r="L91" s="26"/>
      <c r="M91" s="26"/>
      <c r="N91" s="26"/>
      <c r="O91" s="26"/>
      <c r="P91" s="26"/>
      <c r="Q91" s="26"/>
    </row>
    <row r="92" spans="1:17" ht="14.25" customHeight="1">
      <c r="A92" s="26"/>
      <c r="D92" s="153"/>
      <c r="H92" s="26"/>
      <c r="I92" s="26"/>
      <c r="J92" s="26"/>
      <c r="K92" s="26"/>
      <c r="L92" s="26"/>
      <c r="M92" s="26"/>
      <c r="N92" s="26"/>
      <c r="O92" s="26"/>
      <c r="P92" s="26"/>
      <c r="Q92" s="26"/>
    </row>
    <row r="93" spans="1:17" ht="14.25" customHeight="1">
      <c r="A93" s="26"/>
      <c r="D93" s="153"/>
      <c r="H93" s="26"/>
      <c r="I93" s="26"/>
      <c r="J93" s="26"/>
      <c r="K93" s="26"/>
      <c r="L93" s="26"/>
      <c r="M93" s="26"/>
      <c r="N93" s="26"/>
      <c r="O93" s="26"/>
      <c r="P93" s="26"/>
      <c r="Q93" s="26"/>
    </row>
    <row r="94" spans="1:17" ht="14.25" customHeight="1">
      <c r="A94" s="26"/>
      <c r="D94" s="153"/>
      <c r="H94" s="26"/>
      <c r="I94" s="26"/>
      <c r="J94" s="26"/>
      <c r="K94" s="26"/>
      <c r="L94" s="26"/>
      <c r="M94" s="26"/>
      <c r="N94" s="26"/>
      <c r="O94" s="26"/>
      <c r="P94" s="26"/>
      <c r="Q94" s="26"/>
    </row>
    <row r="95" spans="1:17" ht="15.75" customHeight="1">
      <c r="A95" s="26"/>
      <c r="D95" s="153"/>
      <c r="H95" s="26"/>
      <c r="I95" s="26"/>
      <c r="J95" s="26"/>
      <c r="K95" s="26"/>
      <c r="L95" s="26"/>
      <c r="M95" s="26"/>
      <c r="N95" s="26"/>
      <c r="O95" s="26"/>
      <c r="P95" s="26"/>
      <c r="Q95" s="26"/>
    </row>
    <row r="96" spans="1:17" ht="15.75" customHeight="1">
      <c r="A96" s="26"/>
      <c r="D96" s="26"/>
      <c r="H96" s="26"/>
      <c r="I96" s="26"/>
      <c r="J96" s="26"/>
      <c r="K96" s="26"/>
      <c r="L96" s="26"/>
      <c r="M96" s="26"/>
      <c r="N96" s="26"/>
      <c r="O96" s="26"/>
      <c r="P96" s="26"/>
      <c r="Q96" s="26"/>
    </row>
    <row r="97" spans="1:17" ht="15" customHeight="1">
      <c r="A97" s="26"/>
      <c r="D97" s="153"/>
      <c r="L97" s="26"/>
      <c r="M97" s="26"/>
      <c r="N97" s="26"/>
      <c r="O97" s="26"/>
      <c r="P97" s="26"/>
      <c r="Q97" s="26"/>
    </row>
    <row r="98" spans="1:17" ht="14.25" customHeight="1">
      <c r="A98" s="26"/>
      <c r="D98" s="153"/>
      <c r="L98" s="26"/>
      <c r="M98" s="26"/>
      <c r="N98" s="26"/>
      <c r="O98" s="26"/>
      <c r="P98" s="26"/>
      <c r="Q98" s="26"/>
    </row>
    <row r="99" spans="1:17" ht="14.25" customHeight="1">
      <c r="A99" s="26"/>
      <c r="D99" s="153"/>
      <c r="L99" s="26"/>
      <c r="M99" s="26"/>
      <c r="N99" s="26"/>
      <c r="O99" s="26"/>
      <c r="P99" s="26"/>
      <c r="Q99" s="26"/>
    </row>
    <row r="100" spans="1:17" ht="15.75" customHeight="1">
      <c r="A100" s="26"/>
      <c r="D100" s="153"/>
      <c r="L100" s="26"/>
      <c r="M100" s="26"/>
      <c r="N100" s="26"/>
      <c r="O100" s="26"/>
      <c r="P100" s="26"/>
      <c r="Q100" s="26"/>
    </row>
    <row r="101" spans="1:17" ht="15.75" customHeight="1">
      <c r="A101" s="26"/>
      <c r="D101" s="153"/>
      <c r="L101" s="26"/>
      <c r="M101" s="26"/>
      <c r="N101" s="26"/>
      <c r="O101" s="26"/>
      <c r="P101" s="26"/>
      <c r="Q101" s="26"/>
    </row>
    <row r="102" spans="1:17" ht="15.75" customHeight="1">
      <c r="A102" s="26"/>
      <c r="D102" s="153"/>
      <c r="L102" s="26"/>
      <c r="M102" s="26"/>
      <c r="N102" s="26"/>
      <c r="O102" s="26"/>
      <c r="P102" s="26"/>
      <c r="Q102" s="26"/>
    </row>
    <row r="103" spans="1:17" ht="15.75" customHeight="1">
      <c r="A103" s="26"/>
      <c r="D103" s="153"/>
      <c r="L103" s="26"/>
      <c r="M103" s="26"/>
      <c r="N103" s="26"/>
      <c r="O103" s="26"/>
      <c r="P103" s="26"/>
      <c r="Q103" s="26"/>
    </row>
    <row r="104" spans="1:17" ht="15.75" customHeight="1">
      <c r="A104" s="26"/>
      <c r="D104" s="153"/>
      <c r="L104" s="26"/>
      <c r="M104" s="26"/>
      <c r="N104" s="26"/>
      <c r="O104" s="26"/>
      <c r="P104" s="26"/>
      <c r="Q104" s="26"/>
    </row>
    <row r="105" spans="1:17" ht="15.75" customHeight="1">
      <c r="A105" s="26"/>
      <c r="D105" s="153"/>
      <c r="L105" s="26"/>
      <c r="M105" s="26"/>
      <c r="N105" s="26"/>
      <c r="O105" s="26"/>
      <c r="P105" s="26"/>
      <c r="Q105" s="26"/>
    </row>
    <row r="106" spans="1:17" ht="15.75" customHeight="1">
      <c r="A106" s="26"/>
      <c r="B106" s="26"/>
      <c r="C106" s="26"/>
      <c r="D106" s="153"/>
      <c r="L106" s="26"/>
      <c r="M106" s="26"/>
      <c r="N106" s="26"/>
      <c r="O106" s="26"/>
      <c r="P106" s="26"/>
      <c r="Q106" s="26"/>
    </row>
    <row r="107" spans="1:17" ht="15.75" customHeight="1">
      <c r="A107" s="26"/>
      <c r="B107" s="26"/>
      <c r="C107" s="26"/>
      <c r="D107" s="26"/>
      <c r="E107" s="26"/>
      <c r="F107" s="26"/>
      <c r="G107" s="26"/>
      <c r="H107" s="26"/>
      <c r="I107" s="26"/>
      <c r="J107" s="26"/>
      <c r="K107" s="26"/>
      <c r="L107" s="26"/>
      <c r="M107" s="26"/>
      <c r="N107" s="26"/>
      <c r="O107" s="26"/>
      <c r="P107" s="26"/>
      <c r="Q107" s="26"/>
    </row>
    <row r="108" spans="1:17" ht="14.25" customHeight="1">
      <c r="A108" s="26"/>
      <c r="D108" s="26"/>
      <c r="H108" s="26"/>
      <c r="L108" s="26"/>
      <c r="M108" s="26"/>
      <c r="N108" s="26"/>
      <c r="O108" s="26"/>
      <c r="P108" s="26"/>
      <c r="Q108" s="26"/>
    </row>
    <row r="109" spans="1:17" ht="15.75" customHeight="1">
      <c r="A109" s="26"/>
      <c r="D109" s="26"/>
      <c r="H109" s="26"/>
      <c r="L109" s="26"/>
      <c r="M109" s="26"/>
      <c r="N109" s="26"/>
      <c r="O109" s="26"/>
      <c r="P109" s="26"/>
      <c r="Q109" s="26"/>
    </row>
    <row r="110" spans="1:17" ht="14.25" customHeight="1">
      <c r="A110" s="26"/>
      <c r="D110" s="26"/>
      <c r="H110" s="26"/>
      <c r="L110" s="26"/>
      <c r="M110" s="26"/>
      <c r="N110" s="26"/>
      <c r="O110" s="26"/>
      <c r="P110" s="26"/>
      <c r="Q110" s="26"/>
    </row>
    <row r="111" spans="1:17" ht="14.25" customHeight="1">
      <c r="A111" s="26"/>
      <c r="D111" s="26"/>
      <c r="H111" s="26"/>
      <c r="L111" s="26"/>
      <c r="M111" s="26"/>
      <c r="N111" s="26"/>
      <c r="O111" s="26"/>
      <c r="P111" s="26"/>
      <c r="Q111" s="26"/>
    </row>
    <row r="112" spans="1:17" ht="14.25" customHeight="1">
      <c r="A112" s="26"/>
      <c r="D112" s="26"/>
      <c r="H112" s="26"/>
      <c r="L112" s="26"/>
      <c r="M112" s="26"/>
      <c r="N112" s="26"/>
      <c r="O112" s="26"/>
      <c r="P112" s="26"/>
      <c r="Q112" s="26"/>
    </row>
    <row r="113" spans="1:17" ht="14.25" customHeight="1">
      <c r="A113" s="26"/>
      <c r="D113" s="26"/>
      <c r="H113" s="26"/>
      <c r="L113" s="26"/>
      <c r="M113" s="26"/>
      <c r="N113" s="26"/>
      <c r="O113" s="26"/>
      <c r="P113" s="26"/>
      <c r="Q113" s="26"/>
    </row>
    <row r="114" spans="1:17" ht="15.75" customHeight="1">
      <c r="A114" s="26"/>
      <c r="B114" s="26"/>
      <c r="C114" s="176"/>
      <c r="D114" s="26"/>
      <c r="H114" s="26"/>
      <c r="L114" s="26"/>
      <c r="M114" s="26"/>
      <c r="N114" s="26"/>
      <c r="O114" s="26"/>
      <c r="P114" s="26"/>
      <c r="Q114" s="26"/>
    </row>
    <row r="115" spans="1:17" ht="15.75" customHeight="1">
      <c r="A115" s="26"/>
      <c r="B115" s="26"/>
      <c r="C115" s="26"/>
      <c r="D115" s="26"/>
      <c r="E115" s="26"/>
      <c r="F115" s="26"/>
      <c r="G115" s="26"/>
      <c r="H115" s="26"/>
      <c r="I115" s="26"/>
      <c r="J115" s="26"/>
      <c r="K115" s="26"/>
      <c r="L115" s="26"/>
      <c r="M115" s="26"/>
      <c r="N115" s="26"/>
      <c r="O115" s="26"/>
      <c r="P115" s="26"/>
      <c r="Q115" s="26"/>
    </row>
    <row r="116" spans="1:17" ht="15.75" customHeight="1">
      <c r="A116" s="26"/>
      <c r="B116" s="26"/>
      <c r="C116" s="26"/>
      <c r="D116" s="26"/>
      <c r="E116" s="26"/>
      <c r="F116" s="26"/>
      <c r="G116" s="26"/>
      <c r="H116" s="26"/>
      <c r="I116" s="26"/>
      <c r="J116" s="26"/>
      <c r="K116" s="26"/>
      <c r="L116" s="26"/>
      <c r="M116" s="26"/>
      <c r="N116" s="26"/>
      <c r="O116" s="26"/>
      <c r="P116" s="26"/>
      <c r="Q116" s="26"/>
    </row>
    <row r="117" spans="1:17" ht="15.75" customHeight="1">
      <c r="A117" s="26"/>
      <c r="B117" s="26"/>
      <c r="C117" s="26"/>
      <c r="D117" s="26"/>
      <c r="E117" s="26"/>
      <c r="F117" s="26"/>
      <c r="G117" s="26"/>
      <c r="H117" s="26"/>
      <c r="I117" s="26"/>
      <c r="J117" s="26"/>
      <c r="K117" s="26"/>
      <c r="L117" s="26"/>
      <c r="M117" s="26"/>
      <c r="N117" s="26"/>
      <c r="O117" s="26"/>
      <c r="P117" s="26"/>
      <c r="Q117" s="26"/>
    </row>
    <row r="118" spans="1:17" ht="14.25" customHeight="1">
      <c r="A118" s="26"/>
      <c r="H118" s="26"/>
      <c r="I118" s="26"/>
      <c r="J118" s="26"/>
      <c r="K118" s="26"/>
      <c r="L118" s="26"/>
      <c r="M118" s="26"/>
      <c r="N118" s="26"/>
      <c r="O118" s="26"/>
      <c r="P118" s="26"/>
      <c r="Q118" s="26"/>
    </row>
    <row r="119" spans="1:17" ht="15.75" customHeight="1">
      <c r="A119" s="26"/>
      <c r="B119" s="26"/>
      <c r="C119" s="26"/>
      <c r="D119" s="26"/>
      <c r="E119" s="26"/>
      <c r="F119" s="26"/>
      <c r="G119" s="26"/>
      <c r="H119" s="26"/>
      <c r="I119" s="26"/>
      <c r="J119" s="26"/>
      <c r="K119" s="26"/>
      <c r="L119" s="26"/>
      <c r="M119" s="26"/>
      <c r="N119" s="26"/>
      <c r="O119" s="26"/>
      <c r="P119" s="26"/>
      <c r="Q119" s="26"/>
    </row>
    <row r="120" spans="1:17" ht="14.25" customHeight="1">
      <c r="A120" s="1392" t="s">
        <v>332</v>
      </c>
      <c r="B120" s="1342"/>
      <c r="C120" s="1342"/>
      <c r="D120" s="1342"/>
      <c r="E120" s="1342"/>
      <c r="F120" s="1342"/>
      <c r="G120" s="1342"/>
      <c r="H120" s="1342"/>
      <c r="I120" s="1342"/>
      <c r="J120" s="1342"/>
      <c r="K120" s="1342"/>
      <c r="L120" s="1342"/>
      <c r="M120" s="1342"/>
      <c r="N120" s="1303"/>
      <c r="O120" s="26"/>
      <c r="P120" s="26"/>
      <c r="Q120" s="26"/>
    </row>
    <row r="121" spans="1:17" ht="15.75" customHeight="1"/>
    <row r="122" spans="1:17" ht="15.75" customHeight="1"/>
    <row r="123" spans="1:17" ht="15.75" customHeight="1"/>
    <row r="124" spans="1:17" ht="15.75" customHeight="1"/>
    <row r="125" spans="1:17" ht="15.75" customHeight="1"/>
    <row r="126" spans="1:17" ht="15.75" customHeight="1"/>
    <row r="127" spans="1:17" ht="15.75" customHeight="1"/>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12">
    <mergeCell ref="B61:C61"/>
    <mergeCell ref="E61:F61"/>
    <mergeCell ref="F64:K64"/>
    <mergeCell ref="F73:G73"/>
    <mergeCell ref="I73:K73"/>
    <mergeCell ref="A120:N120"/>
    <mergeCell ref="A15:P15"/>
    <mergeCell ref="B27:C27"/>
    <mergeCell ref="I27:K27"/>
    <mergeCell ref="B39:D39"/>
    <mergeCell ref="B50:D50"/>
    <mergeCell ref="F50:G50"/>
  </mergeCells>
  <pageMargins left="0.75" right="0.75" top="1" bottom="1"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6E0B4"/>
    <pageSetUpPr fitToPage="1"/>
  </sheetPr>
  <dimension ref="A1:Z993"/>
  <sheetViews>
    <sheetView showGridLines="0" workbookViewId="0">
      <pane xSplit="1" ySplit="7" topLeftCell="B60" activePane="bottomRight" state="frozen"/>
      <selection pane="topRight" activeCell="B1" sqref="B1"/>
      <selection pane="bottomLeft" activeCell="A8" sqref="A8"/>
      <selection pane="bottomRight" activeCell="F79" sqref="A79:XFD81"/>
    </sheetView>
  </sheetViews>
  <sheetFormatPr defaultColWidth="12.6328125" defaultRowHeight="15" customHeight="1"/>
  <cols>
    <col min="1" max="1" width="58" customWidth="1"/>
    <col min="2" max="2" width="10.453125" hidden="1" customWidth="1"/>
    <col min="3" max="3" width="9.6328125" customWidth="1"/>
    <col min="4" max="4" width="11.453125" customWidth="1"/>
    <col min="5" max="5" width="14.26953125" customWidth="1"/>
    <col min="6" max="6" width="14.6328125" customWidth="1"/>
    <col min="7" max="7" width="14.90625" customWidth="1"/>
    <col min="8" max="14" width="15.26953125" customWidth="1"/>
    <col min="15" max="15" width="15.6328125" customWidth="1"/>
    <col min="16" max="17" width="14.08984375" customWidth="1"/>
    <col min="18" max="26" width="12" hidden="1" customWidth="1"/>
  </cols>
  <sheetData>
    <row r="1" spans="1:26" ht="24" customHeight="1">
      <c r="A1" s="137" t="s">
        <v>333</v>
      </c>
      <c r="B1" s="137"/>
      <c r="C1" s="137"/>
      <c r="D1" s="137"/>
      <c r="E1" s="137"/>
      <c r="F1" s="137"/>
      <c r="G1" s="137"/>
      <c r="H1" s="137"/>
      <c r="I1" s="137"/>
      <c r="J1" s="137"/>
      <c r="K1" s="137"/>
      <c r="L1" s="137"/>
      <c r="M1" s="137"/>
      <c r="N1" s="137"/>
      <c r="O1" s="137"/>
      <c r="P1" s="137"/>
      <c r="Q1" s="137"/>
      <c r="R1" s="220"/>
      <c r="S1" s="220"/>
      <c r="T1" s="220"/>
      <c r="U1" s="26"/>
      <c r="V1" s="26"/>
      <c r="W1" s="26"/>
      <c r="X1" s="26"/>
      <c r="Y1" s="26"/>
    </row>
    <row r="2" spans="1:26" ht="16.5" customHeight="1">
      <c r="A2" s="139" t="s">
        <v>334</v>
      </c>
      <c r="B2" s="139"/>
      <c r="C2" s="139"/>
      <c r="D2" s="139"/>
      <c r="E2" s="139"/>
      <c r="F2" s="139"/>
      <c r="G2" s="139"/>
      <c r="H2" s="139"/>
      <c r="I2" s="139"/>
      <c r="J2" s="139"/>
      <c r="K2" s="139"/>
      <c r="L2" s="139"/>
      <c r="M2" s="139"/>
      <c r="N2" s="139"/>
      <c r="O2" s="139"/>
      <c r="P2" s="139"/>
      <c r="Q2" s="139"/>
      <c r="R2" s="139"/>
      <c r="S2" s="139"/>
      <c r="T2" s="139"/>
      <c r="U2" s="26"/>
      <c r="V2" s="26"/>
      <c r="W2" s="26"/>
      <c r="X2" s="26"/>
      <c r="Y2" s="26"/>
    </row>
    <row r="3" spans="1:26" ht="24" hidden="1" customHeight="1">
      <c r="A3" s="221"/>
      <c r="B3" s="221"/>
      <c r="C3" s="221"/>
      <c r="D3" s="222"/>
      <c r="E3" s="222"/>
      <c r="F3" s="222"/>
      <c r="G3" s="222"/>
      <c r="H3" s="222"/>
      <c r="I3" s="222"/>
      <c r="J3" s="222"/>
      <c r="K3" s="222"/>
      <c r="L3" s="222"/>
      <c r="M3" s="222"/>
      <c r="N3" s="222"/>
      <c r="O3" s="222"/>
      <c r="P3" s="222"/>
      <c r="Q3" s="222"/>
      <c r="R3" s="26"/>
      <c r="S3" s="26"/>
      <c r="T3" s="26"/>
      <c r="U3" s="26"/>
      <c r="V3" s="26"/>
      <c r="W3" s="26"/>
      <c r="X3" s="26"/>
      <c r="Y3" s="26"/>
    </row>
    <row r="4" spans="1:26" ht="15" customHeight="1">
      <c r="A4" s="26"/>
      <c r="B4" s="223"/>
      <c r="C4" s="223" t="s">
        <v>335</v>
      </c>
      <c r="E4" s="223" t="s">
        <v>336</v>
      </c>
      <c r="F4" s="224"/>
      <c r="G4" s="224"/>
      <c r="H4" s="224"/>
      <c r="I4" s="224"/>
      <c r="J4" s="224"/>
      <c r="K4" s="224"/>
      <c r="L4" s="224"/>
      <c r="M4" s="224"/>
      <c r="N4" s="224"/>
      <c r="O4" s="224"/>
      <c r="P4" s="224"/>
      <c r="Q4" s="224"/>
      <c r="R4" s="26"/>
      <c r="S4" s="26"/>
      <c r="T4" s="26"/>
      <c r="U4" s="26"/>
      <c r="V4" s="26"/>
      <c r="W4" s="26"/>
      <c r="X4" s="26"/>
      <c r="Y4" s="26"/>
    </row>
    <row r="5" spans="1:26" ht="15" customHeight="1">
      <c r="A5" s="26"/>
      <c r="B5" s="225"/>
      <c r="C5" s="223" t="s">
        <v>337</v>
      </c>
      <c r="D5" s="226">
        <f>'P&amp;L'!G4</f>
        <v>45689</v>
      </c>
      <c r="E5" s="226">
        <f>'P&amp;L'!H4</f>
        <v>45839</v>
      </c>
      <c r="F5" s="226">
        <f>'P&amp;L'!I4</f>
        <v>46204</v>
      </c>
      <c r="G5" s="226">
        <f>'P&amp;L'!J4</f>
        <v>46569</v>
      </c>
      <c r="H5" s="226">
        <f>'P&amp;L'!K4</f>
        <v>46935</v>
      </c>
      <c r="I5" s="226">
        <f>'P&amp;L'!L4</f>
        <v>47300</v>
      </c>
      <c r="J5" s="226">
        <f>'P&amp;L'!M4</f>
        <v>47665</v>
      </c>
      <c r="K5" s="226">
        <f>'P&amp;L'!N4</f>
        <v>48030</v>
      </c>
      <c r="L5" s="226">
        <f>'P&amp;L'!O4</f>
        <v>48396</v>
      </c>
      <c r="M5" s="226">
        <f>'P&amp;L'!P4</f>
        <v>48761</v>
      </c>
      <c r="N5" s="226">
        <f>'P&amp;L'!Q4</f>
        <v>49126</v>
      </c>
      <c r="O5" s="226">
        <f>'P&amp;L'!R4</f>
        <v>49491</v>
      </c>
      <c r="P5" s="226">
        <f>'P&amp;L'!S4</f>
        <v>49857</v>
      </c>
      <c r="Q5" s="226">
        <f>'P&amp;L'!T4</f>
        <v>50222</v>
      </c>
      <c r="R5" s="26"/>
      <c r="S5" s="26"/>
      <c r="T5" s="26"/>
      <c r="U5" s="26"/>
      <c r="V5" s="26"/>
      <c r="W5" s="26"/>
      <c r="X5" s="26"/>
      <c r="Y5" s="26"/>
    </row>
    <row r="6" spans="1:26" ht="15" customHeight="1">
      <c r="A6" s="26"/>
      <c r="B6" s="225"/>
      <c r="C6" s="223" t="s">
        <v>338</v>
      </c>
      <c r="D6" s="226">
        <f>'P&amp;L'!G5</f>
        <v>45838</v>
      </c>
      <c r="E6" s="226">
        <f>'P&amp;L'!H5</f>
        <v>46203</v>
      </c>
      <c r="F6" s="226">
        <f>'P&amp;L'!I5</f>
        <v>46568</v>
      </c>
      <c r="G6" s="226">
        <f>'P&amp;L'!J5</f>
        <v>46934</v>
      </c>
      <c r="H6" s="226">
        <f>'P&amp;L'!K5</f>
        <v>47299</v>
      </c>
      <c r="I6" s="226">
        <f>'P&amp;L'!L5</f>
        <v>47664</v>
      </c>
      <c r="J6" s="226">
        <f>'P&amp;L'!M5</f>
        <v>48029</v>
      </c>
      <c r="K6" s="226">
        <f>'P&amp;L'!N5</f>
        <v>48395</v>
      </c>
      <c r="L6" s="226">
        <f>'P&amp;L'!O5</f>
        <v>48760</v>
      </c>
      <c r="M6" s="226">
        <f>'P&amp;L'!P5</f>
        <v>49125</v>
      </c>
      <c r="N6" s="226">
        <f>'P&amp;L'!Q5</f>
        <v>49490</v>
      </c>
      <c r="O6" s="226">
        <f>'P&amp;L'!R5</f>
        <v>49856</v>
      </c>
      <c r="P6" s="226">
        <f>'P&amp;L'!S5</f>
        <v>50221</v>
      </c>
      <c r="Q6" s="226">
        <f>'P&amp;L'!T5</f>
        <v>50586</v>
      </c>
      <c r="R6" s="26"/>
      <c r="S6" s="26"/>
      <c r="T6" s="26"/>
      <c r="U6" s="26"/>
      <c r="V6" s="26"/>
      <c r="W6" s="26"/>
      <c r="X6" s="26"/>
      <c r="Y6" s="26"/>
    </row>
    <row r="7" spans="1:26" ht="15" customHeight="1">
      <c r="A7" s="26"/>
      <c r="B7" s="225"/>
      <c r="C7" s="223" t="s">
        <v>339</v>
      </c>
      <c r="D7" s="227" t="str">
        <f>'P&amp;L'!G6</f>
        <v>FY25</v>
      </c>
      <c r="E7" s="227" t="str">
        <f>'P&amp;L'!H6</f>
        <v>FY26</v>
      </c>
      <c r="F7" s="227" t="str">
        <f>'P&amp;L'!I6</f>
        <v>FY27</v>
      </c>
      <c r="G7" s="227" t="str">
        <f>'P&amp;L'!J6</f>
        <v>FY28</v>
      </c>
      <c r="H7" s="227" t="str">
        <f>'P&amp;L'!K6</f>
        <v>FY29</v>
      </c>
      <c r="I7" s="227" t="str">
        <f>'P&amp;L'!L6</f>
        <v>FY30</v>
      </c>
      <c r="J7" s="227" t="str">
        <f>'P&amp;L'!M6</f>
        <v>FY31</v>
      </c>
      <c r="K7" s="227" t="str">
        <f>'P&amp;L'!N6</f>
        <v>FY32</v>
      </c>
      <c r="L7" s="227" t="str">
        <f>'P&amp;L'!O6</f>
        <v>FY33</v>
      </c>
      <c r="M7" s="227" t="str">
        <f>'P&amp;L'!P6</f>
        <v>FY34</v>
      </c>
      <c r="N7" s="227" t="str">
        <f>'P&amp;L'!Q6</f>
        <v>FY35</v>
      </c>
      <c r="O7" s="227" t="str">
        <f>'P&amp;L'!R6</f>
        <v>FY36</v>
      </c>
      <c r="P7" s="227" t="str">
        <f>'P&amp;L'!S6</f>
        <v>FY37</v>
      </c>
      <c r="Q7" s="227" t="str">
        <f>'P&amp;L'!T6</f>
        <v>FY38</v>
      </c>
      <c r="R7" s="26"/>
      <c r="S7" s="26"/>
      <c r="T7" s="26"/>
      <c r="U7" s="26"/>
      <c r="V7" s="26"/>
      <c r="W7" s="26"/>
      <c r="X7" s="26"/>
      <c r="Y7" s="26"/>
      <c r="Z7" s="26"/>
    </row>
    <row r="8" spans="1:26" ht="15" customHeight="1">
      <c r="A8" s="26"/>
      <c r="B8" s="26"/>
      <c r="C8" s="26"/>
      <c r="D8" s="165"/>
      <c r="E8" s="165"/>
      <c r="F8" s="165"/>
      <c r="G8" s="165"/>
      <c r="H8" s="165"/>
      <c r="I8" s="165"/>
      <c r="J8" s="165"/>
      <c r="K8" s="165"/>
      <c r="L8" s="165"/>
      <c r="M8" s="165"/>
      <c r="N8" s="165"/>
      <c r="O8" s="165"/>
      <c r="P8" s="165"/>
      <c r="Q8" s="165"/>
      <c r="R8" s="26"/>
      <c r="S8" s="26"/>
      <c r="T8" s="26"/>
      <c r="U8" s="26"/>
      <c r="V8" s="26"/>
      <c r="W8" s="26"/>
      <c r="X8" s="26"/>
      <c r="Y8" s="26"/>
      <c r="Z8" s="26"/>
    </row>
    <row r="9" spans="1:26" ht="15" customHeight="1">
      <c r="A9" s="26"/>
      <c r="B9" s="26"/>
      <c r="C9" s="26"/>
      <c r="D9" s="165"/>
      <c r="E9" s="165"/>
      <c r="F9" s="165"/>
      <c r="G9" s="165"/>
      <c r="H9" s="165"/>
      <c r="I9" s="165"/>
      <c r="J9" s="165"/>
      <c r="K9" s="165"/>
      <c r="L9" s="165"/>
      <c r="M9" s="165"/>
      <c r="N9" s="165"/>
      <c r="O9" s="165"/>
      <c r="P9" s="165"/>
      <c r="Q9" s="165"/>
      <c r="R9" s="26"/>
      <c r="S9" s="26"/>
      <c r="T9" s="26"/>
      <c r="U9" s="26"/>
      <c r="V9" s="26"/>
      <c r="W9" s="26"/>
      <c r="X9" s="26"/>
      <c r="Y9" s="26"/>
      <c r="Z9" s="26"/>
    </row>
    <row r="10" spans="1:26" ht="15" customHeight="1">
      <c r="A10" s="228" t="s">
        <v>340</v>
      </c>
      <c r="B10" s="228"/>
      <c r="C10" s="228"/>
      <c r="D10" s="229">
        <v>0</v>
      </c>
      <c r="E10" s="229">
        <f>Cashflow!D38</f>
        <v>0</v>
      </c>
      <c r="F10" s="229">
        <f t="shared" ref="F10:Q10" si="0">E38</f>
        <v>0</v>
      </c>
      <c r="G10" s="229">
        <f t="shared" si="0"/>
        <v>452228.39999999851</v>
      </c>
      <c r="H10" s="229">
        <f t="shared" si="0"/>
        <v>1724785.5788420234</v>
      </c>
      <c r="I10" s="229">
        <f t="shared" si="0"/>
        <v>2184190.0265896698</v>
      </c>
      <c r="J10" s="229">
        <f t="shared" si="0"/>
        <v>2729888.0048414734</v>
      </c>
      <c r="K10" s="229">
        <f t="shared" si="0"/>
        <v>3408438.9677277789</v>
      </c>
      <c r="L10" s="229">
        <f t="shared" si="0"/>
        <v>4135811.3744280911</v>
      </c>
      <c r="M10" s="229">
        <f t="shared" si="0"/>
        <v>4833789.0215595746</v>
      </c>
      <c r="N10" s="229">
        <f t="shared" si="0"/>
        <v>5560495.5688160015</v>
      </c>
      <c r="O10" s="229">
        <f t="shared" si="0"/>
        <v>6335431.2849013144</v>
      </c>
      <c r="P10" s="229">
        <f t="shared" si="0"/>
        <v>7159432.279050706</v>
      </c>
      <c r="Q10" s="229">
        <f t="shared" si="0"/>
        <v>9596186.910685651</v>
      </c>
      <c r="R10" s="188"/>
      <c r="S10" s="188"/>
      <c r="T10" s="188"/>
      <c r="U10" s="188"/>
      <c r="V10" s="188"/>
      <c r="W10" s="188"/>
      <c r="X10" s="188"/>
      <c r="Y10" s="188"/>
      <c r="Z10" s="188"/>
    </row>
    <row r="11" spans="1:26" ht="15" customHeight="1">
      <c r="A11" s="24"/>
      <c r="B11" s="26"/>
      <c r="C11" s="26"/>
      <c r="D11" s="227"/>
      <c r="E11" s="227"/>
      <c r="F11" s="227"/>
      <c r="G11" s="227"/>
      <c r="H11" s="227"/>
      <c r="I11" s="227"/>
      <c r="J11" s="227"/>
      <c r="K11" s="227"/>
      <c r="L11" s="227"/>
      <c r="M11" s="227"/>
      <c r="N11" s="227"/>
      <c r="O11" s="227"/>
      <c r="P11" s="227"/>
      <c r="Q11" s="227"/>
      <c r="R11" s="26"/>
      <c r="S11" s="26"/>
      <c r="T11" s="26"/>
      <c r="U11" s="26"/>
      <c r="V11" s="26"/>
      <c r="W11" s="26"/>
      <c r="X11" s="26"/>
      <c r="Y11" s="26"/>
      <c r="Z11" s="26"/>
    </row>
    <row r="12" spans="1:26" ht="15" customHeight="1">
      <c r="A12" s="230" t="s">
        <v>341</v>
      </c>
      <c r="B12" s="24"/>
      <c r="C12" s="24"/>
      <c r="D12" s="227"/>
      <c r="E12" s="227"/>
      <c r="F12" s="227"/>
      <c r="G12" s="227"/>
      <c r="H12" s="227"/>
      <c r="I12" s="227"/>
      <c r="J12" s="227"/>
      <c r="K12" s="227"/>
      <c r="L12" s="227"/>
      <c r="M12" s="227"/>
      <c r="N12" s="227"/>
      <c r="O12" s="227"/>
      <c r="P12" s="227"/>
      <c r="Q12" s="227"/>
      <c r="R12" s="26"/>
      <c r="S12" s="26"/>
      <c r="T12" s="26"/>
      <c r="U12" s="26"/>
      <c r="V12" s="26"/>
      <c r="W12" s="26"/>
      <c r="X12" s="26"/>
      <c r="Y12" s="26"/>
      <c r="Z12" s="26"/>
    </row>
    <row r="13" spans="1:26" ht="15" customHeight="1">
      <c r="A13" s="24" t="s">
        <v>342</v>
      </c>
      <c r="B13" s="24"/>
      <c r="C13" s="24"/>
      <c r="D13" s="227">
        <f>IF(D7=Inputs!$E$126,Inputs!$E$114,0)</f>
        <v>0</v>
      </c>
      <c r="E13" s="165">
        <f>IF(E7=Inputs!$E$126,Inputs!$E$114,0)</f>
        <v>0</v>
      </c>
      <c r="F13" s="165">
        <f>IF(F7=Inputs!$E$126,Inputs!$E$114,0)</f>
        <v>1500000</v>
      </c>
      <c r="G13" s="165">
        <f>IF(G7=Inputs!$E$126,Inputs!$E$114,0)</f>
        <v>0</v>
      </c>
      <c r="H13" s="165">
        <f>IF(H7=Inputs!$E$126,Inputs!$E$114,0)</f>
        <v>0</v>
      </c>
      <c r="I13" s="165">
        <f>IF(I7=Inputs!$E$126,Inputs!$E$114,0)</f>
        <v>0</v>
      </c>
      <c r="J13" s="165">
        <f>IF(J7=Inputs!$E$126,Inputs!$E$114,0)</f>
        <v>0</v>
      </c>
      <c r="K13" s="165">
        <f>IF(K7=Inputs!$E$126,Inputs!$E$114,0)</f>
        <v>0</v>
      </c>
      <c r="L13" s="165">
        <f>IF(L7=Inputs!$E$126,Inputs!$E$114,0)</f>
        <v>0</v>
      </c>
      <c r="M13" s="165">
        <f>IF(M7=Inputs!$E$126,Inputs!$E$114,0)</f>
        <v>0</v>
      </c>
      <c r="N13" s="165">
        <f>IF(N7=Inputs!$E$126,Inputs!$E$114,0)</f>
        <v>0</v>
      </c>
      <c r="O13" s="165">
        <f>IF(O7=Inputs!$E$126,Inputs!$E$114,0)</f>
        <v>0</v>
      </c>
      <c r="P13" s="165">
        <f>IF(P7=Inputs!$E$126,Inputs!$E$114,0)</f>
        <v>0</v>
      </c>
      <c r="Q13" s="165">
        <f>IF(Q7=Inputs!$E$126,Inputs!$E$114,0)</f>
        <v>0</v>
      </c>
      <c r="R13" s="26"/>
      <c r="S13" s="26"/>
      <c r="T13" s="26"/>
      <c r="U13" s="26"/>
      <c r="V13" s="26"/>
      <c r="W13" s="26"/>
      <c r="X13" s="26"/>
      <c r="Y13" s="26"/>
      <c r="Z13" s="26"/>
    </row>
    <row r="14" spans="1:26" ht="15" customHeight="1">
      <c r="A14" s="24" t="s">
        <v>343</v>
      </c>
      <c r="B14" s="24"/>
      <c r="C14" s="24"/>
      <c r="D14" s="227">
        <f>IF(AND(D7=Inputs!$E$131,Inputs!$E$133=0),Inputs!$E$118,0)</f>
        <v>0</v>
      </c>
      <c r="E14" s="165">
        <f>IF(AND(E7=Inputs!$E$131,Inputs!$E$133=0),Inputs!$E$118,0)</f>
        <v>0</v>
      </c>
      <c r="F14" s="165">
        <f>IF(AND(F7=Inputs!$E$131,Inputs!$E$133=0),Inputs!$E$118,0)</f>
        <v>7470383.0899999999</v>
      </c>
      <c r="G14" s="165">
        <f>IF(AND(G7=Inputs!$E$131,Inputs!$E$133=0),Inputs!$E$118,0)</f>
        <v>0</v>
      </c>
      <c r="H14" s="165">
        <f>IF(AND(H7=Inputs!$E$131,Inputs!$E$133=0),Inputs!$E$118,0)</f>
        <v>0</v>
      </c>
      <c r="I14" s="165">
        <f>IF(AND(I7=Inputs!$E$131,Inputs!$E$133=0),Inputs!$E$118,0)</f>
        <v>0</v>
      </c>
      <c r="J14" s="165">
        <f>IF(AND(J7=Inputs!$E$131,Inputs!$E$133=0),Inputs!$E$118,0)</f>
        <v>0</v>
      </c>
      <c r="K14" s="165">
        <f>IF(AND(K7=Inputs!$E$131,Inputs!$E$133=0),Inputs!$E$118,0)</f>
        <v>0</v>
      </c>
      <c r="L14" s="165">
        <f>IF(AND(L7=Inputs!$E$131,Inputs!$E$133=0),Inputs!$E$118,0)</f>
        <v>0</v>
      </c>
      <c r="M14" s="165">
        <f>IF(AND(M7=Inputs!$E$131,Inputs!$E$133=0),Inputs!$E$118,0)</f>
        <v>0</v>
      </c>
      <c r="N14" s="165">
        <f>IF(AND(N7=Inputs!$E$131,Inputs!$E$133=0),Inputs!$E$118,0)</f>
        <v>0</v>
      </c>
      <c r="O14" s="165">
        <f>IF(AND(O7=Inputs!$E$131,Inputs!$E$133=0),Inputs!$E$118,0)</f>
        <v>0</v>
      </c>
      <c r="P14" s="165">
        <f>IF(AND(P7=Inputs!$E$131,Inputs!$E$133=0),Inputs!$E$118,0)</f>
        <v>0</v>
      </c>
      <c r="Q14" s="165">
        <f>IF(AND(Q7=Inputs!$E$131,Inputs!$E$133=0),Inputs!$E$118,0)</f>
        <v>0</v>
      </c>
      <c r="R14" s="26"/>
      <c r="S14" s="26"/>
      <c r="T14" s="26"/>
      <c r="U14" s="26"/>
      <c r="V14" s="26"/>
      <c r="W14" s="26"/>
      <c r="X14" s="26"/>
      <c r="Y14" s="26"/>
      <c r="Z14" s="26"/>
    </row>
    <row r="15" spans="1:26" ht="15" customHeight="1">
      <c r="A15" s="24" t="s">
        <v>344</v>
      </c>
      <c r="B15" s="24"/>
      <c r="C15" s="24"/>
      <c r="D15" s="227">
        <f>IF(D7=Inputs!$E$128,Inputs!$E$127,0)+IF(D7=Inputs!$E$130,Inputs!$E$129,0)+IF(D7=Inputs!$E$135,Inputs!$E$134,0)</f>
        <v>0</v>
      </c>
      <c r="E15" s="165">
        <f>IF(E7=Inputs!$E$128,Inputs!$E$127,0)+IF(E7=Inputs!$E$130,Inputs!$E$129,0)+IF(E7=Inputs!$E$135,Inputs!$E$134,0)</f>
        <v>0</v>
      </c>
      <c r="F15" s="165">
        <f>IF(F7=Inputs!$E$128,Inputs!$E$127,0)+IF(F7=Inputs!$E$130,Inputs!$E$129,0)+IF(F7=Inputs!$E$135,Inputs!$E$134,0)</f>
        <v>0</v>
      </c>
      <c r="G15" s="165">
        <f>IF(G7=Inputs!$E$128,Inputs!$E$127,0)+IF(G7=Inputs!$E$130,Inputs!$E$129,0)+IF(G7=Inputs!$E$135,Inputs!$E$134,0)</f>
        <v>0</v>
      </c>
      <c r="H15" s="165">
        <f>IF(H7=Inputs!$E$128,Inputs!$E$127,0)+IF(H7=Inputs!$E$130,Inputs!$E$129,0)+IF(H7=Inputs!$E$135,Inputs!$E$134,0)</f>
        <v>0</v>
      </c>
      <c r="I15" s="165">
        <f>IF(I7=Inputs!$E$128,Inputs!$E$127,0)+IF(I7=Inputs!$E$130,Inputs!$E$129,0)+IF(I7=Inputs!$E$135,Inputs!$E$134,0)</f>
        <v>0</v>
      </c>
      <c r="J15" s="165">
        <f>IF(J7=Inputs!$E$128,Inputs!$E$127,0)+IF(J7=Inputs!$E$130,Inputs!$E$129,0)+IF(J7=Inputs!$E$135,Inputs!$E$134,0)</f>
        <v>0</v>
      </c>
      <c r="K15" s="165">
        <f>IF(K7=Inputs!$E$128,Inputs!$E$127,0)+IF(K7=Inputs!$E$130,Inputs!$E$129,0)+IF(K7=Inputs!$E$135,Inputs!$E$134,0)</f>
        <v>0</v>
      </c>
      <c r="L15" s="165">
        <f>IF(L7=Inputs!$E$128,Inputs!$E$127,0)+IF(L7=Inputs!$E$130,Inputs!$E$129,0)+IF(L7=Inputs!$E$135,Inputs!$E$134,0)</f>
        <v>0</v>
      </c>
      <c r="M15" s="165">
        <f>IF(M7=Inputs!$E$128,Inputs!$E$127,0)+IF(M7=Inputs!$E$130,Inputs!$E$129,0)+IF(M7=Inputs!$E$135,Inputs!$E$134,0)</f>
        <v>0</v>
      </c>
      <c r="N15" s="165">
        <f>IF(N7=Inputs!$E$128,Inputs!$E$127,0)+IF(N7=Inputs!$E$130,Inputs!$E$129,0)+IF(N7=Inputs!$E$135,Inputs!$E$134,0)</f>
        <v>0</v>
      </c>
      <c r="O15" s="165">
        <f>IF(O7=Inputs!$E$128,Inputs!$E$127,0)+IF(O7=Inputs!$E$130,Inputs!$E$129,0)+IF(O7=Inputs!$E$135,Inputs!$E$134,0)</f>
        <v>0</v>
      </c>
      <c r="P15" s="165">
        <f>IF(P7=Inputs!$E$128,Inputs!$E$127,0)+IF(P7=Inputs!$E$130,Inputs!$E$129,0)+IF(P7=Inputs!$E$135,Inputs!$E$134,0)</f>
        <v>0</v>
      </c>
      <c r="Q15" s="165">
        <f>IF(Q7=Inputs!$E$128,Inputs!$E$127,0)+IF(Q7=Inputs!$E$130,Inputs!$E$129,0)+IF(Q7=Inputs!$E$135,Inputs!$E$134,0)</f>
        <v>0</v>
      </c>
      <c r="R15" s="26"/>
      <c r="S15" s="26"/>
      <c r="T15" s="26"/>
      <c r="U15" s="26"/>
      <c r="V15" s="26"/>
      <c r="W15" s="26"/>
      <c r="X15" s="26"/>
      <c r="Y15" s="26"/>
      <c r="Z15" s="26"/>
    </row>
    <row r="16" spans="1:26" ht="15" customHeight="1">
      <c r="A16" s="24" t="s">
        <v>345</v>
      </c>
      <c r="B16" s="24"/>
      <c r="C16" s="24"/>
      <c r="D16" s="231">
        <f t="shared" ref="D16:Q16" si="1">D13+D14+D15</f>
        <v>0</v>
      </c>
      <c r="E16" s="232">
        <f t="shared" si="1"/>
        <v>0</v>
      </c>
      <c r="F16" s="232">
        <f t="shared" si="1"/>
        <v>8970383.0899999999</v>
      </c>
      <c r="G16" s="232">
        <f t="shared" si="1"/>
        <v>0</v>
      </c>
      <c r="H16" s="232">
        <f t="shared" si="1"/>
        <v>0</v>
      </c>
      <c r="I16" s="232">
        <f t="shared" si="1"/>
        <v>0</v>
      </c>
      <c r="J16" s="232">
        <f t="shared" si="1"/>
        <v>0</v>
      </c>
      <c r="K16" s="232">
        <f t="shared" si="1"/>
        <v>0</v>
      </c>
      <c r="L16" s="232">
        <f t="shared" si="1"/>
        <v>0</v>
      </c>
      <c r="M16" s="232">
        <f t="shared" si="1"/>
        <v>0</v>
      </c>
      <c r="N16" s="232">
        <f t="shared" si="1"/>
        <v>0</v>
      </c>
      <c r="O16" s="232">
        <f t="shared" si="1"/>
        <v>0</v>
      </c>
      <c r="P16" s="232">
        <f t="shared" si="1"/>
        <v>0</v>
      </c>
      <c r="Q16" s="232">
        <f t="shared" si="1"/>
        <v>0</v>
      </c>
      <c r="R16" s="26"/>
      <c r="S16" s="26"/>
      <c r="T16" s="26"/>
      <c r="U16" s="26"/>
      <c r="V16" s="26"/>
      <c r="W16" s="26"/>
      <c r="X16" s="26"/>
      <c r="Y16" s="26"/>
      <c r="Z16" s="26"/>
    </row>
    <row r="17" spans="1:26" ht="15" customHeight="1">
      <c r="A17" s="24"/>
      <c r="B17" s="24"/>
      <c r="C17" s="24"/>
      <c r="D17" s="227"/>
      <c r="E17" s="165"/>
      <c r="F17" s="165"/>
      <c r="G17" s="165"/>
      <c r="H17" s="165"/>
      <c r="I17" s="165"/>
      <c r="J17" s="165"/>
      <c r="K17" s="165"/>
      <c r="L17" s="165"/>
      <c r="M17" s="165"/>
      <c r="N17" s="165"/>
      <c r="O17" s="165"/>
      <c r="P17" s="165"/>
      <c r="Q17" s="165"/>
      <c r="R17" s="26"/>
      <c r="S17" s="26"/>
      <c r="T17" s="26"/>
      <c r="U17" s="26"/>
      <c r="V17" s="26"/>
      <c r="W17" s="26"/>
      <c r="X17" s="26"/>
      <c r="Y17" s="26"/>
      <c r="Z17" s="26"/>
    </row>
    <row r="18" spans="1:26" ht="15" customHeight="1">
      <c r="A18" s="24" t="s">
        <v>346</v>
      </c>
      <c r="B18" s="24"/>
      <c r="C18" s="24"/>
      <c r="D18" s="227">
        <f>IFERROR(Debt!H20,0)</f>
        <v>0</v>
      </c>
      <c r="E18" s="165">
        <f>IFERROR(Debt!I20,0)</f>
        <v>0</v>
      </c>
      <c r="F18" s="165">
        <f>IFERROR(Debt!J20,0)</f>
        <v>12675915</v>
      </c>
      <c r="G18" s="165">
        <f>IFERROR(Debt!K20,0)</f>
        <v>0</v>
      </c>
      <c r="H18" s="165">
        <f>IFERROR(Debt!L20,0)</f>
        <v>0</v>
      </c>
      <c r="I18" s="165">
        <f>IFERROR(Debt!M20,0)</f>
        <v>0</v>
      </c>
      <c r="J18" s="165">
        <f>IFERROR(Debt!N20,0)</f>
        <v>0</v>
      </c>
      <c r="K18" s="165">
        <f>IFERROR(Debt!O20,0)</f>
        <v>0</v>
      </c>
      <c r="L18" s="165">
        <f>IFERROR(Debt!P20,0)</f>
        <v>0</v>
      </c>
      <c r="M18" s="165">
        <f>IFERROR(Debt!Q20,0)</f>
        <v>0</v>
      </c>
      <c r="N18" s="165">
        <f>IFERROR(Debt!R20,0)</f>
        <v>0</v>
      </c>
      <c r="O18" s="165">
        <f>IFERROR(Debt!S20,0)</f>
        <v>0</v>
      </c>
      <c r="P18" s="165">
        <f>IFERROR(Debt!T20,0)</f>
        <v>0</v>
      </c>
      <c r="Q18" s="165">
        <f>IFERROR(Debt!U20,0)</f>
        <v>0</v>
      </c>
      <c r="R18" s="26"/>
      <c r="S18" s="26"/>
      <c r="T18" s="26"/>
      <c r="U18" s="26"/>
      <c r="V18" s="26"/>
      <c r="W18" s="26"/>
      <c r="X18" s="26"/>
      <c r="Y18" s="26"/>
      <c r="Z18" s="26"/>
    </row>
    <row r="19" spans="1:26" ht="15" customHeight="1">
      <c r="A19" s="233" t="s">
        <v>347</v>
      </c>
      <c r="B19" s="24"/>
      <c r="C19" s="24"/>
      <c r="D19" s="227">
        <f>IFERROR(Debt!H76,0)</f>
        <v>0</v>
      </c>
      <c r="E19" s="227">
        <f>IFERROR(Debt!I76,0)</f>
        <v>0</v>
      </c>
      <c r="F19" s="227">
        <f>IFERROR(Debt!J76,0)</f>
        <v>850000</v>
      </c>
      <c r="G19" s="227">
        <f>IFERROR(Debt!K76,0)</f>
        <v>0</v>
      </c>
      <c r="H19" s="227">
        <f>IFERROR(Debt!L76,0)</f>
        <v>0</v>
      </c>
      <c r="I19" s="227">
        <f>IFERROR(Debt!M76,0)</f>
        <v>0</v>
      </c>
      <c r="J19" s="227">
        <f>IFERROR(Debt!N76,0)</f>
        <v>0</v>
      </c>
      <c r="K19" s="227">
        <f>IFERROR(Debt!O76,0)</f>
        <v>0</v>
      </c>
      <c r="L19" s="227">
        <f>IFERROR(Debt!P76,0)</f>
        <v>0</v>
      </c>
      <c r="M19" s="227">
        <f>IFERROR(Debt!Q76,0)</f>
        <v>0</v>
      </c>
      <c r="N19" s="227">
        <f>IFERROR(Debt!R76,0)</f>
        <v>0</v>
      </c>
      <c r="O19" s="227">
        <f>IFERROR(Debt!S76,0)</f>
        <v>0</v>
      </c>
      <c r="P19" s="227">
        <f>IFERROR(Debt!T76,0)</f>
        <v>0</v>
      </c>
      <c r="Q19" s="227">
        <f>IFERROR(Debt!U76,0)</f>
        <v>0</v>
      </c>
      <c r="R19" s="26"/>
      <c r="S19" s="26"/>
      <c r="T19" s="26"/>
      <c r="U19" s="26"/>
      <c r="V19" s="26"/>
      <c r="W19" s="26"/>
      <c r="X19" s="26"/>
      <c r="Y19" s="26"/>
      <c r="Z19" s="26"/>
    </row>
    <row r="20" spans="1:26" ht="15" customHeight="1">
      <c r="A20" s="24" t="s">
        <v>348</v>
      </c>
      <c r="B20" s="24"/>
      <c r="C20" s="24"/>
      <c r="D20" s="227">
        <f t="shared" ref="D20:Q20" si="2">0</f>
        <v>0</v>
      </c>
      <c r="E20" s="227">
        <f t="shared" si="2"/>
        <v>0</v>
      </c>
      <c r="F20" s="227">
        <f t="shared" si="2"/>
        <v>0</v>
      </c>
      <c r="G20" s="227">
        <f t="shared" si="2"/>
        <v>0</v>
      </c>
      <c r="H20" s="227">
        <f t="shared" si="2"/>
        <v>0</v>
      </c>
      <c r="I20" s="227">
        <f t="shared" si="2"/>
        <v>0</v>
      </c>
      <c r="J20" s="227">
        <f t="shared" si="2"/>
        <v>0</v>
      </c>
      <c r="K20" s="227">
        <f t="shared" si="2"/>
        <v>0</v>
      </c>
      <c r="L20" s="227">
        <f t="shared" si="2"/>
        <v>0</v>
      </c>
      <c r="M20" s="227">
        <f t="shared" si="2"/>
        <v>0</v>
      </c>
      <c r="N20" s="227">
        <f t="shared" si="2"/>
        <v>0</v>
      </c>
      <c r="O20" s="227">
        <f t="shared" si="2"/>
        <v>0</v>
      </c>
      <c r="P20" s="227">
        <f t="shared" si="2"/>
        <v>0</v>
      </c>
      <c r="Q20" s="227">
        <f t="shared" si="2"/>
        <v>0</v>
      </c>
      <c r="R20" s="26"/>
      <c r="S20" s="26"/>
      <c r="T20" s="26"/>
      <c r="U20" s="26"/>
      <c r="V20" s="26"/>
      <c r="W20" s="26"/>
      <c r="X20" s="26"/>
      <c r="Y20" s="26"/>
      <c r="Z20" s="26"/>
    </row>
    <row r="21" spans="1:26" ht="15" customHeight="1">
      <c r="A21" s="24" t="s">
        <v>349</v>
      </c>
      <c r="B21" s="24"/>
      <c r="C21" s="24"/>
      <c r="D21" s="227">
        <f>SUMIF(Timing!$C$6:$Q$6,D7,Timing!$C$22:$Q$22)</f>
        <v>0</v>
      </c>
      <c r="E21" s="227">
        <f>SUMIF(Timing!$C$6:$Q$6,E7,Timing!$C$22:$Q$22)</f>
        <v>0</v>
      </c>
      <c r="F21" s="227">
        <f>SUMIF(Timing!$C$6:$Q$6,F7,Timing!$C$22:$Q$22)</f>
        <v>0</v>
      </c>
      <c r="G21" s="227">
        <f>SUMIF(Timing!$C$6:$Q$6,G7,Timing!$C$22:$Q$22)</f>
        <v>0</v>
      </c>
      <c r="H21" s="227">
        <f>SUMIF(Timing!$C$6:$Q$6,H7,Timing!$C$22:$Q$22)</f>
        <v>0</v>
      </c>
      <c r="I21" s="227">
        <f>SUMIF(Timing!$C$6:$Q$6,I7,Timing!$C$22:$Q$22)</f>
        <v>0</v>
      </c>
      <c r="J21" s="227">
        <f>SUMIF(Timing!$C$6:$Q$6,J7,Timing!$C$22:$Q$22)</f>
        <v>0</v>
      </c>
      <c r="K21" s="227">
        <f>SUMIF(Timing!$C$6:$Q$6,K7,Timing!$C$22:$Q$22)</f>
        <v>0</v>
      </c>
      <c r="L21" s="227">
        <f>SUMIF(Timing!$C$6:$Q$6,L7,Timing!$C$22:$Q$22)</f>
        <v>0</v>
      </c>
      <c r="M21" s="227">
        <f>SUMIF(Timing!$C$6:$Q$6,M7,Timing!$C$22:$Q$22)</f>
        <v>0</v>
      </c>
      <c r="N21" s="227">
        <f>SUMIF(Timing!$C$6:$Q$6,N7,Timing!$C$22:$Q$22)</f>
        <v>0</v>
      </c>
      <c r="O21" s="227">
        <f>SUMIF(Timing!$C$6:$Q$6,O7,Timing!$C$22:$Q$22)</f>
        <v>0</v>
      </c>
      <c r="P21" s="227">
        <f>SUMIF(Timing!$C$6:$Q$6,P7,Timing!$C$22:$Q$22)</f>
        <v>0</v>
      </c>
      <c r="Q21" s="227">
        <f>SUMIF(Timing!$C$6:$Q$6,Q7,Timing!$C$22:$Q$22)</f>
        <v>0</v>
      </c>
      <c r="R21" s="26"/>
      <c r="S21" s="26"/>
      <c r="T21" s="26"/>
      <c r="U21" s="26"/>
      <c r="V21" s="26"/>
      <c r="W21" s="26"/>
      <c r="X21" s="26"/>
      <c r="Y21" s="26"/>
      <c r="Z21" s="26"/>
    </row>
    <row r="22" spans="1:26" ht="15.75" customHeight="1">
      <c r="A22" s="24" t="s">
        <v>350</v>
      </c>
      <c r="B22" s="24"/>
      <c r="C22" s="24"/>
      <c r="D22" s="227">
        <f t="array" ref="D22">IFERROR(INDEX('P&amp;L'!$G$28:$S$28,MATCH(D$7,'P&amp;L'!$G$6:$S$6,0)),0)</f>
        <v>0</v>
      </c>
      <c r="E22" s="227">
        <f t="array" ref="E22">IFERROR(INDEX('P&amp;L'!$G$28:$S$28,MATCH(E$7,'P&amp;L'!$G$6:$S$6,0)),0)</f>
        <v>0</v>
      </c>
      <c r="F22" s="227">
        <f t="array" ref="F22">IFERROR(INDEX('P&amp;L'!$G$28:$S$28,MATCH(F$7,'P&amp;L'!$G$6:$S$6,0)),0)</f>
        <v>0</v>
      </c>
      <c r="G22" s="227">
        <f t="array" ref="G22">IFERROR(INDEX('P&amp;L'!$G$28:$S$28,MATCH(G$7,'P&amp;L'!$G$6:$S$6,0)),0)</f>
        <v>18772333.414999999</v>
      </c>
      <c r="H22" s="227">
        <f t="array" ref="H22">IFERROR(INDEX('P&amp;L'!$G$28:$S$28,MATCH(H$7,'P&amp;L'!$G$6:$S$6,0)),0)</f>
        <v>19676502.288939998</v>
      </c>
      <c r="I22" s="227">
        <f t="array" ref="I22">IFERROR(INDEX('P&amp;L'!$G$28:$S$28,MATCH(I$7,'P&amp;L'!$G$6:$S$6,0)),0)</f>
        <v>20615521.882462904</v>
      </c>
      <c r="J22" s="227">
        <f t="array" ref="J22">IFERROR(INDEX('P&amp;L'!$G$28:$S$28,MATCH(J$7,'P&amp;L'!$G$6:$S$6,0)),0)</f>
        <v>21808634.554464001</v>
      </c>
      <c r="K22" s="227">
        <f t="array" ref="K22">IFERROR(INDEX('P&amp;L'!$G$28:$S$28,MATCH(K$7,'P&amp;L'!$G$6:$S$6,0)),0)</f>
        <v>22300756.692269798</v>
      </c>
      <c r="L22" s="227">
        <f t="array" ref="L22">IFERROR(INDEX('P&amp;L'!$G$28:$S$28,MATCH(L$7,'P&amp;L'!$G$6:$S$6,0)),0)</f>
        <v>22807316.061739061</v>
      </c>
      <c r="M22" s="227">
        <f t="array" ref="M22">IFERROR(INDEX('P&amp;L'!$G$28:$S$28,MATCH(M$7,'P&amp;L'!$G$6:$S$6,0)),0)</f>
        <v>23328737.619009934</v>
      </c>
      <c r="N22" s="227">
        <f t="array" ref="N22">IFERROR(INDEX('P&amp;L'!$G$28:$S$28,MATCH(N$7,'P&amp;L'!$G$6:$S$6,0)),0)</f>
        <v>23865458.864884399</v>
      </c>
      <c r="O22" s="227">
        <f t="array" ref="O22">IFERROR(INDEX('P&amp;L'!$G$28:$S$28,MATCH(O$7,'P&amp;L'!$G$6:$S$6,0)),0)</f>
        <v>24417930.216067705</v>
      </c>
      <c r="P22" s="227">
        <f t="array" ref="P22">IFERROR(INDEX('P&amp;L'!$G$28:$T$28,MATCH(P$7,'P&amp;L'!$G$6:$T$6,0)),0)</f>
        <v>24986615.387417436</v>
      </c>
      <c r="Q22" s="227">
        <f t="array" ref="Q22">IFERROR(INDEX('P&amp;L'!$G$28:$T$28,MATCH(Q$7,'P&amp;L'!$G$6:$T$6,0)),0)</f>
        <v>25571991.785529338</v>
      </c>
      <c r="R22" s="26"/>
      <c r="S22" s="26"/>
      <c r="T22" s="26"/>
      <c r="U22" s="26"/>
      <c r="V22" s="26"/>
      <c r="W22" s="26"/>
      <c r="X22" s="26"/>
      <c r="Y22" s="26"/>
      <c r="Z22" s="26"/>
    </row>
    <row r="23" spans="1:26" ht="15.75" customHeight="1">
      <c r="A23" s="234" t="s">
        <v>351</v>
      </c>
      <c r="B23" s="234"/>
      <c r="C23" s="234"/>
      <c r="D23" s="235">
        <f t="shared" ref="D23:E23" si="3">D16+D18+D20+D21+D22</f>
        <v>0</v>
      </c>
      <c r="E23" s="235">
        <f t="shared" si="3"/>
        <v>0</v>
      </c>
      <c r="F23" s="235">
        <f>F16+F18+F20+F21+F22+F19</f>
        <v>22496298.09</v>
      </c>
      <c r="G23" s="235">
        <f t="shared" ref="G23:Q23" si="4">G16+G18+G20+G21+G22</f>
        <v>18772333.414999999</v>
      </c>
      <c r="H23" s="235">
        <f t="shared" si="4"/>
        <v>19676502.288939998</v>
      </c>
      <c r="I23" s="235">
        <f t="shared" si="4"/>
        <v>20615521.882462904</v>
      </c>
      <c r="J23" s="235">
        <f t="shared" si="4"/>
        <v>21808634.554464001</v>
      </c>
      <c r="K23" s="235">
        <f t="shared" si="4"/>
        <v>22300756.692269798</v>
      </c>
      <c r="L23" s="235">
        <f t="shared" si="4"/>
        <v>22807316.061739061</v>
      </c>
      <c r="M23" s="235">
        <f t="shared" si="4"/>
        <v>23328737.619009934</v>
      </c>
      <c r="N23" s="235">
        <f t="shared" si="4"/>
        <v>23865458.864884399</v>
      </c>
      <c r="O23" s="235">
        <f t="shared" si="4"/>
        <v>24417930.216067705</v>
      </c>
      <c r="P23" s="235">
        <f t="shared" si="4"/>
        <v>24986615.387417436</v>
      </c>
      <c r="Q23" s="235">
        <f t="shared" si="4"/>
        <v>25571991.785529338</v>
      </c>
      <c r="R23" s="236"/>
      <c r="S23" s="236"/>
      <c r="T23" s="236"/>
      <c r="U23" s="236"/>
      <c r="V23" s="236"/>
      <c r="W23" s="236"/>
      <c r="X23" s="236"/>
      <c r="Y23" s="236"/>
      <c r="Z23" s="236"/>
    </row>
    <row r="24" spans="1:26" ht="15.75" customHeight="1">
      <c r="A24" s="24" t="s">
        <v>352</v>
      </c>
      <c r="B24" s="24"/>
      <c r="C24" s="24"/>
      <c r="D24" s="227">
        <f>IF(D$7=Inputs!$E$488,D64*Valuations!$C$15,0)</f>
        <v>0</v>
      </c>
      <c r="E24" s="165">
        <f>IF(E$7=Inputs!$E$488,E64*Valuations!$C$15,0)</f>
        <v>0</v>
      </c>
      <c r="F24" s="165">
        <f>IF(F$7=Inputs!$E$488,F64*Valuations!$C$15,0)</f>
        <v>0</v>
      </c>
      <c r="G24" s="165">
        <f>IF(G$7=Inputs!$E$488,G64*Valuations!$C$15,0)</f>
        <v>0</v>
      </c>
      <c r="H24" s="165">
        <f>IF(H$7=Inputs!$E$488,H64*Valuations!$C$15,0)</f>
        <v>0</v>
      </c>
      <c r="I24" s="165">
        <f>IF(I$7=Inputs!$E$488,I64*Valuations!$C$15,0)</f>
        <v>0</v>
      </c>
      <c r="J24" s="165">
        <f>IF(J$7=Inputs!$E$488,J64*Valuations!$C$15,0)</f>
        <v>0</v>
      </c>
      <c r="K24" s="165">
        <f>IF(K$7=Inputs!$E$488,K64*Valuations!$C$15,0)</f>
        <v>0</v>
      </c>
      <c r="L24" s="165">
        <f>IF(L$7=Inputs!$E$488,L64*Valuations!$C$15,0)</f>
        <v>0</v>
      </c>
      <c r="M24" s="165">
        <f>IF(M$7=Inputs!$E$488,M64*Valuations!$C$15,0)</f>
        <v>0</v>
      </c>
      <c r="N24" s="165">
        <f>IF(N$7=Inputs!$E$488,N64*Valuations!$C$15,0)</f>
        <v>0</v>
      </c>
      <c r="O24" s="165">
        <f>IF(O$7=Inputs!$E$488,O64*Valuations!$C$15,0)</f>
        <v>0</v>
      </c>
      <c r="P24" s="165">
        <f>IF(P$7=Inputs!$E$488,P64*Valuations!$C$15,0)</f>
        <v>0</v>
      </c>
      <c r="Q24" s="165">
        <f>IF(Q$7=Inputs!$E$488,Q64*Valuations!$C$15,0)</f>
        <v>97309398.795535132</v>
      </c>
      <c r="R24" s="26"/>
      <c r="S24" s="26"/>
      <c r="T24" s="26"/>
      <c r="U24" s="26"/>
      <c r="V24" s="26"/>
      <c r="W24" s="26"/>
      <c r="X24" s="26"/>
      <c r="Y24" s="26"/>
      <c r="Z24" s="26"/>
    </row>
    <row r="25" spans="1:26" ht="15.75" customHeight="1">
      <c r="A25" s="24"/>
      <c r="B25" s="237"/>
      <c r="C25" s="237"/>
      <c r="D25" s="227"/>
      <c r="E25" s="227"/>
      <c r="F25" s="227"/>
      <c r="G25" s="227"/>
      <c r="H25" s="227"/>
      <c r="I25" s="227"/>
      <c r="J25" s="227"/>
      <c r="K25" s="227"/>
      <c r="L25" s="227"/>
      <c r="M25" s="227"/>
      <c r="N25" s="227"/>
      <c r="O25" s="227"/>
      <c r="P25" s="227"/>
      <c r="Q25" s="227"/>
      <c r="R25" s="26"/>
      <c r="S25" s="26"/>
      <c r="T25" s="26"/>
      <c r="U25" s="26"/>
      <c r="V25" s="26"/>
      <c r="W25" s="26"/>
      <c r="X25" s="26"/>
      <c r="Y25" s="26"/>
      <c r="Z25" s="26"/>
    </row>
    <row r="26" spans="1:26" ht="15.75" customHeight="1">
      <c r="A26" s="230" t="s">
        <v>353</v>
      </c>
      <c r="B26" s="24"/>
      <c r="C26" s="24"/>
      <c r="D26" s="227"/>
      <c r="E26" s="227"/>
      <c r="F26" s="227"/>
      <c r="G26" s="227"/>
      <c r="H26" s="227"/>
      <c r="I26" s="227"/>
      <c r="J26" s="227"/>
      <c r="K26" s="227"/>
      <c r="L26" s="227"/>
      <c r="M26" s="227"/>
      <c r="N26" s="227"/>
      <c r="O26" s="227"/>
      <c r="P26" s="227"/>
      <c r="Q26" s="227"/>
      <c r="R26" s="26"/>
      <c r="S26" s="26"/>
      <c r="T26" s="26"/>
      <c r="U26" s="26"/>
      <c r="V26" s="26"/>
      <c r="W26" s="26"/>
      <c r="X26" s="26"/>
      <c r="Y26" s="26"/>
      <c r="Z26" s="26"/>
    </row>
    <row r="27" spans="1:26" ht="15.75" customHeight="1">
      <c r="A27" s="24" t="s">
        <v>354</v>
      </c>
      <c r="B27" s="24"/>
      <c r="C27" s="24"/>
      <c r="D27" s="227">
        <f>-'Construction Timeline'!D227</f>
        <v>0</v>
      </c>
      <c r="E27" s="227">
        <f>-'Construction Timeline'!E227</f>
        <v>0</v>
      </c>
      <c r="F27" s="227">
        <f>-'Construction Timeline'!F227-'Construction Timeline'!F219</f>
        <v>-20580525</v>
      </c>
      <c r="G27" s="227">
        <f>-'Construction Timeline'!G227</f>
        <v>0</v>
      </c>
      <c r="H27" s="227">
        <f>-'Construction Timeline'!H227</f>
        <v>0</v>
      </c>
      <c r="I27" s="227">
        <f>-'Construction Timeline'!I227</f>
        <v>0</v>
      </c>
      <c r="J27" s="227">
        <f>-'Construction Timeline'!J227</f>
        <v>0</v>
      </c>
      <c r="K27" s="227">
        <f>-'Construction Timeline'!K227</f>
        <v>0</v>
      </c>
      <c r="L27" s="227">
        <f>-'Construction Timeline'!L227</f>
        <v>0</v>
      </c>
      <c r="M27" s="227">
        <f>-'Construction Timeline'!M227</f>
        <v>0</v>
      </c>
      <c r="N27" s="227">
        <f>-'Construction Timeline'!N227</f>
        <v>0</v>
      </c>
      <c r="O27" s="227">
        <f>-'Construction Timeline'!O227</f>
        <v>0</v>
      </c>
      <c r="P27" s="227">
        <f t="shared" ref="P27:Q27" si="5">0</f>
        <v>0</v>
      </c>
      <c r="Q27" s="227">
        <f t="shared" si="5"/>
        <v>0</v>
      </c>
      <c r="R27" s="26"/>
      <c r="S27" s="26"/>
      <c r="T27" s="26"/>
      <c r="U27" s="26"/>
      <c r="V27" s="26"/>
      <c r="W27" s="26"/>
      <c r="X27" s="26"/>
      <c r="Y27" s="26"/>
      <c r="Z27" s="26"/>
    </row>
    <row r="28" spans="1:26" ht="15.75" customHeight="1">
      <c r="A28" s="24" t="s">
        <v>355</v>
      </c>
      <c r="B28" s="24"/>
      <c r="C28" s="24"/>
      <c r="D28" s="227">
        <f>-SUMIF(Timing!$C$6:$Q$6,D7,Timing!$C$23:$Q$23)</f>
        <v>0</v>
      </c>
      <c r="E28" s="227">
        <f>-SUMIF(Timing!$C$6:$Q$6,E7,Timing!$C$23:$Q$23)</f>
        <v>0</v>
      </c>
      <c r="F28" s="227">
        <f>-SUMIF(Timing!$C$6:$Q$6,F7,Timing!$C$23:$Q$23)</f>
        <v>0</v>
      </c>
      <c r="G28" s="227">
        <f>-SUMIF(Timing!$C$6:$Q$6,G7,Timing!$C$23:$Q$23)</f>
        <v>0</v>
      </c>
      <c r="H28" s="227">
        <f>-SUMIF(Timing!$C$6:$Q$6,H7,Timing!$C$23:$Q$23)</f>
        <v>0</v>
      </c>
      <c r="I28" s="227">
        <f>-SUMIF(Timing!$C$6:$Q$6,I7,Timing!$C$23:$Q$23)</f>
        <v>0</v>
      </c>
      <c r="J28" s="227">
        <f>-SUMIF(Timing!$C$6:$Q$6,J7,Timing!$C$23:$Q$23)</f>
        <v>0</v>
      </c>
      <c r="K28" s="227">
        <f>-SUMIF(Timing!$C$6:$Q$6,K7,Timing!$C$23:$Q$23)</f>
        <v>0</v>
      </c>
      <c r="L28" s="227">
        <f>-SUMIF(Timing!$C$6:$Q$6,L7,Timing!$C$23:$Q$23)</f>
        <v>0</v>
      </c>
      <c r="M28" s="227">
        <f>-SUMIF(Timing!$C$6:$Q$6,M7,Timing!$C$23:$Q$23)</f>
        <v>0</v>
      </c>
      <c r="N28" s="227">
        <f>-SUMIF(Timing!$C$6:$Q$6,N7,Timing!$C$23:$Q$23)</f>
        <v>0</v>
      </c>
      <c r="O28" s="227">
        <f>-SUMIF(Timing!$C$6:$Q$6,O7,Timing!$C$23:$Q$23)</f>
        <v>0</v>
      </c>
      <c r="P28" s="227">
        <f>-SUMIF(Timing!$C$6:$Q$6,P7,Timing!$C$23:$Q$23)</f>
        <v>0</v>
      </c>
      <c r="Q28" s="227">
        <f>-SUMIF(Timing!$C$6:$Q$6,Q7,Timing!$C$23:$Q$23)</f>
        <v>0</v>
      </c>
      <c r="R28" s="26"/>
      <c r="S28" s="26"/>
      <c r="T28" s="26"/>
      <c r="U28" s="26"/>
      <c r="V28" s="26"/>
      <c r="W28" s="26"/>
      <c r="X28" s="26"/>
      <c r="Y28" s="26"/>
      <c r="Z28" s="26"/>
    </row>
    <row r="29" spans="1:26" ht="15.75" customHeight="1">
      <c r="A29" s="24" t="s">
        <v>356</v>
      </c>
      <c r="B29" s="24"/>
      <c r="C29" s="24"/>
      <c r="D29" s="227">
        <f t="array" ref="D29">IFERROR(-(INDEX('P&amp;L'!$G$74:$R$74,MATCH(D$7,'P&amp;L'!$G$6:$R$6,0))-INDEX('P&amp;L'!$G$58:$R$58,MATCH(D$7,'P&amp;L'!$G$6:$R$6,0))-INDEX('P&amp;L'!$G$59:$R$59,MATCH(D$7,'P&amp;L'!$G$6:$R$6,0))+INDEX('P&amp;L'!$G$35:$R$35,MATCH(D$7,'P&amp;L'!$G$6:$R$6,0))+INDEX('P&amp;L'!$G$77:$R$77,MATCH(D$7,'P&amp;L'!$G$6:$R$6,0))),0)</f>
        <v>0</v>
      </c>
      <c r="E29" s="227">
        <f t="array" ref="E29">IFERROR(-(INDEX('P&amp;L'!$G$74:$R$74,MATCH(E$7,'P&amp;L'!$G$6:$R$6,0))-INDEX('P&amp;L'!$G$58:$R$58,MATCH(E$7,'P&amp;L'!$G$6:$R$6,0))-INDEX('P&amp;L'!$G$59:$R$59,MATCH(E$7,'P&amp;L'!$G$6:$R$6,0))+INDEX('P&amp;L'!$G$35:$R$35,MATCH(E$7,'P&amp;L'!$G$6:$R$6,0))+INDEX('P&amp;L'!$G$77:$R$77,MATCH(E$7,'P&amp;L'!$G$6:$R$6,0))),0)</f>
        <v>0</v>
      </c>
      <c r="F29" s="227">
        <f t="array" ref="F29">IFERROR(-(INDEX('P&amp;L'!$G$74:$R$74,MATCH(F$7,'P&amp;L'!$G$6:$R$6,0))-INDEX('P&amp;L'!$G$58:$R$58,MATCH(F$7,'P&amp;L'!$G$6:$R$6,0))-INDEX('P&amp;L'!$G$59:$R$59,MATCH(F$7,'P&amp;L'!$G$6:$R$6,0))+INDEX('P&amp;L'!$G$35:$R$35,MATCH(F$7,'P&amp;L'!$G$6:$R$6,0))+INDEX('P&amp;L'!$G$77:$R$77,MATCH(F$7,'P&amp;L'!$G$6:$R$6,0))),0)</f>
        <v>-920383.09</v>
      </c>
      <c r="G29" s="227">
        <f t="array" ref="G29">IFERROR(-(INDEX('P&amp;L'!$G$74:$R$74,MATCH(G$7,'P&amp;L'!$G$6:$R$6,0))-INDEX('P&amp;L'!$G$58:$R$58,MATCH(G$7,'P&amp;L'!$G$6:$R$6,0))-INDEX('P&amp;L'!$G$59:$R$59,MATCH(G$7,'P&amp;L'!$G$6:$R$6,0))+INDEX('P&amp;L'!$G$35:$R$35,MATCH(G$7,'P&amp;L'!$G$6:$R$6,0))+INDEX('P&amp;L'!$G$77:$R$77,MATCH(G$7,'P&amp;L'!$G$6:$R$6,0))),0)</f>
        <v>-8531980.2332712486</v>
      </c>
      <c r="H29" s="227">
        <f t="array" ref="H29">IFERROR(-(INDEX('P&amp;L'!$G$74:$R$74,MATCH(H$7,'P&amp;L'!$G$6:$R$6,0))-INDEX('P&amp;L'!$G$58:$R$58,MATCH(H$7,'P&amp;L'!$G$6:$R$6,0))-INDEX('P&amp;L'!$G$59:$R$59,MATCH(H$7,'P&amp;L'!$G$6:$R$6,0))+INDEX('P&amp;L'!$G$35:$R$35,MATCH(H$7,'P&amp;L'!$G$6:$R$6,0))+INDEX('P&amp;L'!$G$77:$R$77,MATCH(H$7,'P&amp;L'!$G$6:$R$6,0))),0)</f>
        <v>-9023210.4300282653</v>
      </c>
      <c r="I29" s="227">
        <f t="array" ref="I29">IFERROR(-(INDEX('P&amp;L'!$G$74:$R$74,MATCH(I$7,'P&amp;L'!$G$6:$R$6,0))-INDEX('P&amp;L'!$G$58:$R$58,MATCH(I$7,'P&amp;L'!$G$6:$R$6,0))-INDEX('P&amp;L'!$G$59:$R$59,MATCH(I$7,'P&amp;L'!$G$6:$R$6,0))+INDEX('P&amp;L'!$G$35:$R$35,MATCH(I$7,'P&amp;L'!$G$6:$R$6,0))+INDEX('P&amp;L'!$G$77:$R$77,MATCH(I$7,'P&amp;L'!$G$6:$R$6,0))),0)</f>
        <v>-9402844.5404857527</v>
      </c>
      <c r="J29" s="227">
        <f t="array" ref="J29">IFERROR(-(INDEX('P&amp;L'!$G$74:$R$74,MATCH(J$7,'P&amp;L'!$G$6:$R$6,0))-INDEX('P&amp;L'!$G$58:$R$58,MATCH(J$7,'P&amp;L'!$G$6:$R$6,0))-INDEX('P&amp;L'!$G$59:$R$59,MATCH(J$7,'P&amp;L'!$G$6:$R$6,0))+INDEX('P&amp;L'!$G$35:$R$35,MATCH(J$7,'P&amp;L'!$G$6:$R$6,0))+INDEX('P&amp;L'!$G$77:$R$77,MATCH(J$7,'P&amp;L'!$G$6:$R$6,0))),0)</f>
        <v>-9702415.8948519863</v>
      </c>
      <c r="K29" s="227">
        <f t="array" ref="K29">IFERROR(-(INDEX('P&amp;L'!$G$74:$R$74,MATCH(K$7,'P&amp;L'!$G$6:$R$6,0))-INDEX('P&amp;L'!$G$58:$R$58,MATCH(K$7,'P&amp;L'!$G$6:$R$6,0))-INDEX('P&amp;L'!$G$59:$R$59,MATCH(K$7,'P&amp;L'!$G$6:$R$6,0))+INDEX('P&amp;L'!$G$35:$R$35,MATCH(K$7,'P&amp;L'!$G$6:$R$6,0))+INDEX('P&amp;L'!$G$77:$R$77,MATCH(K$7,'P&amp;L'!$G$6:$R$6,0))),0)</f>
        <v>-9954966.0079964846</v>
      </c>
      <c r="L29" s="227">
        <f t="array" ref="L29">IFERROR(-(INDEX('P&amp;L'!$G$74:$R$74,MATCH(L$7,'P&amp;L'!$G$6:$R$6,0))-INDEX('P&amp;L'!$G$58:$R$58,MATCH(L$7,'P&amp;L'!$G$6:$R$6,0))-INDEX('P&amp;L'!$G$59:$R$59,MATCH(L$7,'P&amp;L'!$G$6:$R$6,0))+INDEX('P&amp;L'!$G$35:$R$35,MATCH(L$7,'P&amp;L'!$G$6:$R$6,0))+INDEX('P&amp;L'!$G$77:$R$77,MATCH(L$7,'P&amp;L'!$G$6:$R$6,0))),0)</f>
        <v>-10284660.126351487</v>
      </c>
      <c r="M29" s="227">
        <f t="array" ref="M29">IFERROR(-(INDEX('P&amp;L'!$G$74:$R$74,MATCH(M$7,'P&amp;L'!$G$6:$R$6,0))-INDEX('P&amp;L'!$G$58:$R$58,MATCH(M$7,'P&amp;L'!$G$6:$R$6,0))-INDEX('P&amp;L'!$G$59:$R$59,MATCH(M$7,'P&amp;L'!$G$6:$R$6,0))+INDEX('P&amp;L'!$G$35:$R$35,MATCH(M$7,'P&amp;L'!$G$6:$R$6,0))+INDEX('P&amp;L'!$G$77:$R$77,MATCH(M$7,'P&amp;L'!$G$6:$R$6,0))),0)</f>
        <v>-10646402.948321987</v>
      </c>
      <c r="N29" s="227">
        <f t="array" ref="N29">IFERROR(-(INDEX('P&amp;L'!$G$74:$R$74,MATCH(N$7,'P&amp;L'!$G$6:$R$6,0))-INDEX('P&amp;L'!$G$58:$R$58,MATCH(N$7,'P&amp;L'!$G$6:$R$6,0))-INDEX('P&amp;L'!$G$59:$R$59,MATCH(N$7,'P&amp;L'!$G$6:$R$6,0))+INDEX('P&amp;L'!$G$35:$R$35,MATCH(N$7,'P&amp;L'!$G$6:$R$6,0))+INDEX('P&amp;L'!$G$77:$R$77,MATCH(N$7,'P&amp;L'!$G$6:$R$6,0))),0)</f>
        <v>-10926347.830098007</v>
      </c>
      <c r="O29" s="227">
        <f t="array" ref="O29">IFERROR(-(INDEX('P&amp;L'!$G$74:$R$74,MATCH(O$7,'P&amp;L'!$G$6:$R$6,0))-INDEX('P&amp;L'!$G$58:$R$58,MATCH(O$7,'P&amp;L'!$G$6:$R$6,0))-INDEX('P&amp;L'!$G$59:$R$59,MATCH(O$7,'P&amp;L'!$G$6:$R$6,0))+INDEX('P&amp;L'!$G$35:$R$35,MATCH(O$7,'P&amp;L'!$G$6:$R$6,0))+INDEX('P&amp;L'!$G$77:$R$77,MATCH(O$7,'P&amp;L'!$G$6:$R$6,0))),0)</f>
        <v>-11214704.157573851</v>
      </c>
      <c r="P29" s="227">
        <f t="array" ref="P29">IFERROR(-(INDEX('P&amp;L'!$G$74:$T$74,MATCH(P$7,'P&amp;L'!$G$6:$T$6,0))-INDEX('P&amp;L'!$G$58:$T$58,MATCH(P$7,'P&amp;L'!$G$6:$T$6,0))-INDEX('P&amp;L'!$G$59:$T$59,MATCH(P$7,'P&amp;L'!$G$6:$T$6,0))+INDEX('P&amp;L'!$G$35:$T$35,MATCH(P$7,'P&amp;L'!$G$6:$T$6,0))+INDEX('P&amp;L'!$G$77:$T$77,MATCH(P$7,'P&amp;L'!$G$6:$T$6,0))),0)</f>
        <v>-11603059.136356089</v>
      </c>
      <c r="Q29" s="227">
        <f t="array" ref="Q29">IFERROR(-(INDEX('P&amp;L'!$G$74:$T$74,MATCH(Q$7,'P&amp;L'!$G$6:$T$6,0))-INDEX('P&amp;L'!$G$58:$T$58,MATCH(Q$7,'P&amp;L'!$G$6:$T$6,0))-INDEX('P&amp;L'!$G$59:$T$59,MATCH(Q$7,'P&amp;L'!$G$6:$T$6,0))+INDEX('P&amp;L'!$G$35:$T$35,MATCH(Q$7,'P&amp;L'!$G$6:$T$6,0))+INDEX('P&amp;L'!$G$77:$T$77,MATCH(Q$7,'P&amp;L'!$G$6:$T$6,0))),0)</f>
        <v>-11139414.42710915</v>
      </c>
      <c r="R29" s="26"/>
      <c r="S29" s="26"/>
      <c r="T29" s="26"/>
      <c r="U29" s="26"/>
      <c r="V29" s="26"/>
      <c r="W29" s="26"/>
      <c r="X29" s="26"/>
      <c r="Y29" s="26"/>
      <c r="Z29" s="26"/>
    </row>
    <row r="30" spans="1:26" ht="15.75" customHeight="1">
      <c r="A30" s="24" t="s">
        <v>357</v>
      </c>
      <c r="B30" s="24"/>
      <c r="C30" s="24"/>
      <c r="D30" s="227">
        <f t="array" ref="D30">IFERROR(-(INDEX('P&amp;L'!$G$58:$R$58,MATCH(D$7,'P&amp;L'!$G$6:$R$6,0))+INDEX('P&amp;L'!$G$59:$R$59,MATCH(D$7,'P&amp;L'!$G$6:$R$6,0))),0)</f>
        <v>0</v>
      </c>
      <c r="E30" s="227">
        <f t="array" ref="E30">IFERROR(-(INDEX('P&amp;L'!$G$58:$R$58,MATCH(E$7,'P&amp;L'!$G$6:$R$6,0))+INDEX('P&amp;L'!$G$59:$R$59,MATCH(E$7,'P&amp;L'!$G$6:$R$6,0))),0)</f>
        <v>0</v>
      </c>
      <c r="F30" s="227">
        <f t="array" ref="F30">IFERROR(-(INDEX('P&amp;L'!$G$58:$R$58,MATCH(F$7,'P&amp;L'!$G$6:$R$6,0))+INDEX('P&amp;L'!$G$59:$R$59,MATCH(F$7,'P&amp;L'!$G$6:$R$6,0))),0)</f>
        <v>0</v>
      </c>
      <c r="G30" s="227">
        <f t="array" ref="G30">IFERROR(-(INDEX('P&amp;L'!$G$58:$R$58,MATCH(G$7,'P&amp;L'!$G$6:$R$6,0))+INDEX('P&amp;L'!$G$59:$R$59,MATCH(G$7,'P&amp;L'!$G$6:$R$6,0))),0)</f>
        <v>0</v>
      </c>
      <c r="H30" s="227">
        <f t="array" ref="H30">IFERROR(-(INDEX('P&amp;L'!$G$58:$R$58,MATCH(H$7,'P&amp;L'!$G$6:$R$6,0))+INDEX('P&amp;L'!$G$59:$R$59,MATCH(H$7,'P&amp;L'!$G$6:$R$6,0))),0)</f>
        <v>-431681.25</v>
      </c>
      <c r="I30" s="227">
        <f t="array" ref="I30">IFERROR(-(INDEX('P&amp;L'!$G$58:$R$58,MATCH(I$7,'P&amp;L'!$G$6:$R$6,0))+INDEX('P&amp;L'!$G$59:$R$59,MATCH(I$7,'P&amp;L'!$G$6:$R$6,0))),0)</f>
        <v>-486033.84375</v>
      </c>
      <c r="J30" s="227">
        <f t="array" ref="J30">IFERROR(-(INDEX('P&amp;L'!$G$58:$R$58,MATCH(J$7,'P&amp;L'!$G$6:$R$6,0))+INDEX('P&amp;L'!$G$59:$R$59,MATCH(J$7,'P&amp;L'!$G$6:$R$6,0))),0)</f>
        <v>-503045.02828124992</v>
      </c>
      <c r="K30" s="227">
        <f t="array" ref="K30">IFERROR(-(INDEX('P&amp;L'!$G$58:$R$58,MATCH(K$7,'P&amp;L'!$G$6:$R$6,0))+INDEX('P&amp;L'!$G$59:$R$59,MATCH(K$7,'P&amp;L'!$G$6:$R$6,0))),0)</f>
        <v>-520651.6042710935</v>
      </c>
      <c r="L30" s="227">
        <f t="array" ref="L30">IFERROR(-(INDEX('P&amp;L'!$G$58:$R$58,MATCH(L$7,'P&amp;L'!$G$6:$R$6,0))+INDEX('P&amp;L'!$G$59:$R$59,MATCH(L$7,'P&amp;L'!$G$6:$R$6,0))),0)</f>
        <v>-1034238.5737341326</v>
      </c>
      <c r="M30" s="227">
        <f t="array" ref="M30">IFERROR(-(INDEX('P&amp;L'!$G$58:$R$58,MATCH(M$7,'P&amp;L'!$G$6:$R$6,0))+INDEX('P&amp;L'!$G$59:$R$59,MATCH(M$7,'P&amp;L'!$G$6:$R$6,0))),0)</f>
        <v>-1115470.0295706044</v>
      </c>
      <c r="N30" s="227">
        <f t="array" ref="N30">IFERROR(-(INDEX('P&amp;L'!$G$58:$R$58,MATCH(N$7,'P&amp;L'!$G$6:$R$6,0))+INDEX('P&amp;L'!$G$59:$R$59,MATCH(N$7,'P&amp;L'!$G$6:$R$6,0))),0)</f>
        <v>-1154511.4806055757</v>
      </c>
      <c r="O30" s="227">
        <f t="array" ref="O30">IFERROR(-(INDEX('P&amp;L'!$G$58:$R$58,MATCH(O$7,'P&amp;L'!$G$6:$R$6,0))+INDEX('P&amp;L'!$G$59:$R$59,MATCH(O$7,'P&amp;L'!$G$6:$R$6,0))),0)</f>
        <v>-1194919.3824267704</v>
      </c>
      <c r="P30" s="227">
        <f t="array" ref="P30">IFERROR(-(INDEX('P&amp;L'!$G$58:$T$58,MATCH(P$7,'P&amp;L'!$G$6:$T$6,0))+INDEX('P&amp;L'!$G$59:$T$59,MATCH(P$7,'P&amp;L'!$G$6:$T$6,0))),0)</f>
        <v>-1236741.5608117073</v>
      </c>
      <c r="Q30" s="227">
        <f t="array" ref="Q30">IFERROR(-(INDEX('P&amp;L'!$G$58:$T$58,MATCH(Q$7,'P&amp;L'!$G$6:$T$6,0))+INDEX('P&amp;L'!$G$59:$T$59,MATCH(Q$7,'P&amp;L'!$G$6:$T$6,0))),0)</f>
        <v>-531234.67334373842</v>
      </c>
      <c r="R30" s="26"/>
      <c r="S30" s="26"/>
      <c r="T30" s="26"/>
      <c r="U30" s="26"/>
      <c r="V30" s="26"/>
      <c r="W30" s="26"/>
      <c r="X30" s="26"/>
      <c r="Y30" s="26"/>
      <c r="Z30" s="26"/>
    </row>
    <row r="31" spans="1:26" ht="15.75" customHeight="1">
      <c r="A31" s="24" t="s">
        <v>358</v>
      </c>
      <c r="B31" s="24"/>
      <c r="C31" s="24"/>
      <c r="D31" s="227">
        <f t="array" ref="D31">IFERROR(-INDEX(Debt!$H$120:$S$120,MATCH(D$7,Debt!$H$14:$S$14,0))+IF(D$5&lt;Inputs!$E$22,INDEX(Debt!$H$119:$S$119,MATCH(D$7,Debt!$H$14:$S$14,0)),0),0)</f>
        <v>0</v>
      </c>
      <c r="E31" s="227">
        <f t="array" ref="E31">IFERROR(-INDEX(Debt!$H$120:$S$120,MATCH(E$7,Debt!$H$14:$S$14,0))+IF(E$5&lt;Inputs!$E$22,INDEX(Debt!$H$119:$S$119,MATCH(E$7,Debt!$H$14:$S$14,0)),0),0)</f>
        <v>0</v>
      </c>
      <c r="F31" s="227">
        <f>-Debt!J120</f>
        <v>-543161.60000000009</v>
      </c>
      <c r="G31" s="227">
        <f t="array" ref="G31">IFERROR(-INDEX(Debt!$H$120:$S$120,MATCH(G$7,Debt!$H$14:$S$14,0))+IF(G$5&lt;Inputs!$E$22,INDEX(Debt!$H$119:$S$119,MATCH(G$7,Debt!$H$14:$S$14,0)),0),0)</f>
        <v>-1900198.2000000002</v>
      </c>
      <c r="H31" s="227">
        <f t="array" ref="H31">IFERROR(-INDEX(Debt!$H$120:$S$120,MATCH(H$7,Debt!$H$14:$S$14,0))+IF(H$5&lt;Inputs!$E$22,INDEX(Debt!$H$119:$S$119,MATCH(H$7,Debt!$H$14:$S$14,0)),0),0)</f>
        <v>-2535183</v>
      </c>
      <c r="I31" s="227">
        <f t="array" ref="I31">IFERROR(-INDEX(Debt!$H$120:$S$120,MATCH(I$7,Debt!$H$14:$S$14,0))+IF(I$5&lt;Inputs!$E$22,INDEX(Debt!$H$119:$S$119,MATCH(I$7,Debt!$H$14:$S$14,0)),0),0)</f>
        <v>-2408423.85</v>
      </c>
      <c r="J31" s="227">
        <f t="array" ref="J31">IFERROR(-INDEX(Debt!$H$120:$S$120,MATCH(J$7,Debt!$H$14:$S$14,0))+IF(J$5&lt;Inputs!$E$22,INDEX(Debt!$H$119:$S$119,MATCH(J$7,Debt!$H$14:$S$14,0)),0),0)</f>
        <v>-2281664.7000000002</v>
      </c>
      <c r="K31" s="227">
        <f t="array" ref="K31">IFERROR(-INDEX(Debt!$H$120:$S$120,MATCH(K$7,Debt!$H$14:$S$14,0))+IF(K$5&lt;Inputs!$E$22,INDEX(Debt!$H$119:$S$119,MATCH(K$7,Debt!$H$14:$S$14,0)),0),0)</f>
        <v>-2154905.5499999998</v>
      </c>
      <c r="L31" s="227">
        <f t="array" ref="L31">IFERROR(-INDEX(Debt!$H$120:$S$120,MATCH(L$7,Debt!$H$14:$S$14,0))+IF(L$5&lt;Inputs!$E$22,INDEX(Debt!$H$119:$S$119,MATCH(L$7,Debt!$H$14:$S$14,0)),0),0)</f>
        <v>-2028146.4</v>
      </c>
      <c r="M31" s="227">
        <f t="array" ref="M31">IFERROR(-INDEX(Debt!$H$120:$S$120,MATCH(M$7,Debt!$H$14:$S$14,0))+IF(M$5&lt;Inputs!$E$22,INDEX(Debt!$H$119:$S$119,MATCH(M$7,Debt!$H$14:$S$14,0)),0),0)</f>
        <v>-1901387.25</v>
      </c>
      <c r="N31" s="227">
        <f t="array" ref="N31">IFERROR(-INDEX(Debt!$H$120:$S$120,MATCH(N$7,Debt!$H$14:$S$14,0))+IF(N$5&lt;Inputs!$E$22,INDEX(Debt!$H$119:$S$119,MATCH(N$7,Debt!$H$14:$S$14,0)),0),0)</f>
        <v>-1774628.1</v>
      </c>
      <c r="O31" s="227">
        <f t="array" ref="O31">IFERROR(-INDEX(Debt!$H$120:$S$120,MATCH(O$7,Debt!$H$14:$S$14,0))+IF(O$5&lt;Inputs!$E$22,INDEX(Debt!$H$119:$S$119,MATCH(O$7,Debt!$H$14:$S$14,0)),0),0)</f>
        <v>-1647868.95</v>
      </c>
      <c r="P31" s="227">
        <f t="array" ref="P31">IFERROR(-INDEX(Debt!$H$120:$U$120,MATCH(P$7,Debt!$H$14:$U$14,0))+IF(P$5&lt;Inputs!$E$22,INDEX(Debt!$H$119:$U$119,MATCH(P$7,Debt!$H$14:$U$14,0)),0),0)</f>
        <v>0</v>
      </c>
      <c r="Q31" s="227">
        <f t="array" ref="Q31">IFERROR(-INDEX(Debt!$H$120:$U$120,MATCH(Q$7,Debt!$H$14:$U$14,0))+IF(Q$5&lt;Inputs!$E$22,INDEX(Debt!$H$119:$U$119,MATCH(Q$7,Debt!$H$14:$U$14,0)),0),0)</f>
        <v>0</v>
      </c>
      <c r="R31" s="26"/>
      <c r="S31" s="26"/>
      <c r="T31" s="26"/>
      <c r="U31" s="26"/>
      <c r="V31" s="26"/>
      <c r="W31" s="26"/>
      <c r="X31" s="26"/>
      <c r="Y31" s="26"/>
      <c r="Z31" s="26"/>
    </row>
    <row r="32" spans="1:26" ht="15.75" customHeight="1">
      <c r="A32" s="24" t="s">
        <v>359</v>
      </c>
      <c r="B32" s="24"/>
      <c r="C32" s="24"/>
      <c r="D32" s="227">
        <f t="array" ref="D32">-INDEX('P&amp;L'!$G$91:$R$91,MATCH(D$7,'P&amp;L'!$G$6:$R$6,0))</f>
        <v>0</v>
      </c>
      <c r="E32" s="227">
        <f t="array" ref="E32">-INDEX('P&amp;L'!$G$91:$R$91,MATCH(E$7,'P&amp;L'!$G$6:$R$6,0))</f>
        <v>0</v>
      </c>
      <c r="F32" s="227">
        <f t="array" ref="F32">-INDEX('P&amp;L'!$G$91:$R$91,MATCH(F$7,'P&amp;L'!$G$6:$R$6,0))</f>
        <v>0</v>
      </c>
      <c r="G32" s="227">
        <f t="array" ref="G32">-INDEX('P&amp;L'!$G$91:$R$91,MATCH(G$7,'P&amp;L'!$G$6:$R$6,0))</f>
        <v>-2021560.2125186243</v>
      </c>
      <c r="H32" s="227">
        <f t="array" ref="H32">-INDEX('P&amp;L'!$G$91:$R$91,MATCH(H$7,'P&amp;L'!$G$6:$R$6,0))</f>
        <v>-2484852.2201735191</v>
      </c>
      <c r="I32" s="227">
        <f t="array" ref="I32">-INDEX('P&amp;L'!$G$91:$R$91,MATCH(I$7,'P&amp;L'!$G$6:$R$6,0))</f>
        <v>-2674389.8319681454</v>
      </c>
      <c r="J32" s="227">
        <f t="array" ref="J32">-INDEX('P&amp;L'!$G$91:$R$91,MATCH(J$7,'P&amp;L'!$G$6:$R$6,0))</f>
        <v>-2975376.6168992301</v>
      </c>
      <c r="K32" s="227">
        <f t="array" ref="K32">-INDEX('P&amp;L'!$G$91:$R$91,MATCH(K$7,'P&amp;L'!$G$6:$R$6,0))</f>
        <v>-3079993.9965006658</v>
      </c>
      <c r="L32" s="227">
        <f t="array" ref="L32">-INDEX('P&amp;L'!$G$91:$R$91,MATCH(L$7,'P&amp;L'!$G$6:$R$6,0))</f>
        <v>-3017005.2259960319</v>
      </c>
      <c r="M32" s="227">
        <f t="array" ref="M32">-INDEX('P&amp;L'!$G$91:$R$91,MATCH(M$7,'P&amp;L'!$G$6:$R$6,0))</f>
        <v>-3078567.1548352037</v>
      </c>
      <c r="N32" s="227">
        <f t="array" ref="N32">-INDEX('P&amp;L'!$G$91:$R$91,MATCH(N$7,'P&amp;L'!$G$6:$R$6,0))</f>
        <v>-3181915.3737542448</v>
      </c>
      <c r="O32" s="227">
        <f t="array" ref="O32">-INDEX('P&amp;L'!$G$91:$R$91,MATCH(O$7,'P&amp;L'!$G$6:$R$6,0))</f>
        <v>-3287055.2553201253</v>
      </c>
      <c r="P32" s="227">
        <f t="array" ref="P32">-INDEX('P&amp;L'!$G$91:$T$91,MATCH(P$7,'P&amp;L'!$G$6:$T$6,0))</f>
        <v>-3347621.532074892</v>
      </c>
      <c r="Q32" s="227">
        <f t="array" ref="Q32">-INDEX('P&amp;L'!$G$91:$T$91,MATCH(Q$7,'P&amp;L'!$G$6:$T$6,0))</f>
        <v>-3873979.9305229341</v>
      </c>
      <c r="R32" s="26"/>
      <c r="S32" s="26"/>
      <c r="T32" s="26"/>
      <c r="U32" s="26"/>
      <c r="V32" s="26"/>
      <c r="W32" s="26"/>
      <c r="X32" s="26"/>
      <c r="Y32" s="26"/>
      <c r="Z32" s="26"/>
    </row>
    <row r="33" spans="1:26" ht="15.75" customHeight="1">
      <c r="A33" s="24" t="s">
        <v>360</v>
      </c>
      <c r="B33" s="24"/>
      <c r="C33" s="24"/>
      <c r="D33" s="227">
        <f t="array" ref="D33">-INDEX('P&amp;L'!$G$104:$R$104,MATCH(D$7,'P&amp;L'!$G$6:$R$6,0))</f>
        <v>0</v>
      </c>
      <c r="E33" s="227">
        <f t="array" ref="E33">-INDEX('P&amp;L'!$G$105:$T$105,MATCH(E$7,'P&amp;L'!$G$6:$T$6,0))</f>
        <v>0</v>
      </c>
      <c r="F33" s="227">
        <f t="array" ref="F33">-INDEX('P&amp;L'!$G$105:$T$105,MATCH(F$7,'P&amp;L'!$G$6:$T$6,0))</f>
        <v>0</v>
      </c>
      <c r="G33" s="227">
        <f t="array" ref="G33">-INDEX('P&amp;L'!$G$105:$T$105,MATCH(G$7,'P&amp;L'!$G$6:$T$6,0))</f>
        <v>-3847688.2333468674</v>
      </c>
      <c r="H33" s="227">
        <f t="array" ref="H33">-INDEX('P&amp;L'!$G$105:$T$105,MATCH(H$7,'P&amp;L'!$G$6:$T$6,0))</f>
        <v>-4625550.2165327361</v>
      </c>
      <c r="I33" s="227">
        <f t="array" ref="I33">-INDEX('P&amp;L'!$G$105:$T$105,MATCH(I$7,'P&amp;L'!$G$6:$T$6,0))</f>
        <v>-4933391.9369922765</v>
      </c>
      <c r="J33" s="227">
        <f t="array" ref="J33">-INDEX('P&amp;L'!$G$105:$T$105,MATCH(J$7,'P&amp;L'!$G$6:$T$6,0))</f>
        <v>-5478014.1589983385</v>
      </c>
      <c r="K33" s="227">
        <f t="array" ref="K33">-INDEX('P&amp;L'!$G$105:$T$105,MATCH(K$7,'P&amp;L'!$G$6:$T$6,0))</f>
        <v>-5724980.4735460561</v>
      </c>
      <c r="L33" s="227">
        <f t="array" ref="L33">-INDEX('P&amp;L'!$G$105:$T$105,MATCH(L$7,'P&amp;L'!$G$6:$T$6,0))</f>
        <v>-5653137.990918044</v>
      </c>
      <c r="M33" s="227">
        <f t="array" ref="M33">-INDEX('P&amp;L'!$G$105:$T$105,MATCH(M$7,'P&amp;L'!$G$6:$T$6,0))</f>
        <v>-5733741.6864871467</v>
      </c>
      <c r="N33" s="227">
        <f t="array" ref="N33">-INDEX('P&amp;L'!$G$105:$T$105,MATCH(N$7,'P&amp;L'!$G$6:$T$6,0))</f>
        <v>-5915015.9847225072</v>
      </c>
      <c r="O33" s="227">
        <f t="array" ref="O33">-INDEX('P&amp;L'!$G$105:$T$105,MATCH(O$7,'P&amp;L'!$G$6:$T$6,0))</f>
        <v>-6110586.3297192222</v>
      </c>
      <c r="P33" s="227">
        <f t="array" ref="P33">-INDEX('P&amp;L'!$G$105:$T$105,MATCH(P$7,'P&amp;L'!$G$6:$T$6,0))</f>
        <v>-6230440.1482436201</v>
      </c>
      <c r="Q33" s="227">
        <f t="array" ref="Q33">-INDEX('P&amp;L'!$G$105:$T$105,MATCH(Q$7,'P&amp;L'!$G$6:$T$6,0))</f>
        <v>-7152677.1061575403</v>
      </c>
      <c r="R33" s="26"/>
      <c r="S33" s="26"/>
      <c r="T33" s="26"/>
      <c r="U33" s="26"/>
      <c r="V33" s="26"/>
      <c r="W33" s="26"/>
      <c r="X33" s="26"/>
      <c r="Y33" s="26"/>
      <c r="Z33" s="26"/>
    </row>
    <row r="34" spans="1:26" ht="15.75" customHeight="1">
      <c r="A34" s="24" t="s">
        <v>361</v>
      </c>
      <c r="B34" s="24"/>
      <c r="C34" s="24"/>
      <c r="D34" s="227">
        <f t="array" ref="D34">IFERROR(-INDEX('P&amp;L'!$G$102:$R$102,MATCH(D$7,'P&amp;L'!$G$6:$R$6,0)),0)</f>
        <v>0</v>
      </c>
      <c r="E34" s="227">
        <f t="array" ref="E34">IFERROR(-INDEX('P&amp;L'!$G$102:$R$102,MATCH(E$7,'P&amp;L'!$G$6:$R$6,0)),0)</f>
        <v>0</v>
      </c>
      <c r="F34" s="227">
        <f t="array" ref="F34">IFERROR(-INDEX('P&amp;L'!$G$102:$R$102,MATCH(F$7,'P&amp;L'!$G$6:$R$6,0)),0)</f>
        <v>0</v>
      </c>
      <c r="G34" s="227">
        <f t="array" ref="G34">IFERROR(-INDEX('P&amp;L'!$G$102:$R$102,MATCH(G$7,'P&amp;L'!$G$6:$R$6,0)),0)</f>
        <v>-101622.77499999999</v>
      </c>
      <c r="H34" s="227">
        <f t="array" ref="H34">IFERROR(-INDEX('P&amp;L'!$G$102:$R$102,MATCH(H$7,'P&amp;L'!$G$6:$R$6,0)),0)</f>
        <v>-103780.13</v>
      </c>
      <c r="I34" s="227">
        <f t="array" ref="I34">IFERROR(-INDEX('P&amp;L'!$G$102:$R$102,MATCH(I$7,'P&amp;L'!$G$6:$R$6,0)),0)</f>
        <v>-105937.48500000002</v>
      </c>
      <c r="J34" s="227">
        <f t="array" ref="J34">IFERROR(-INDEX('P&amp;L'!$G$102:$R$102,MATCH(J$7,'P&amp;L'!$G$6:$R$6,0)),0)</f>
        <v>-113545</v>
      </c>
      <c r="K34" s="227">
        <f t="array" ref="K34">IFERROR(-INDEX('P&amp;L'!$G$102:$R$102,MATCH(K$7,'P&amp;L'!$G$6:$R$6,0)),0)</f>
        <v>-113545</v>
      </c>
      <c r="L34" s="227">
        <f t="array" ref="L34">IFERROR(-INDEX('P&amp;L'!$G$102:$R$102,MATCH(L$7,'P&amp;L'!$G$6:$R$6,0)),0)</f>
        <v>-113545</v>
      </c>
      <c r="M34" s="227">
        <f t="array" ref="M34">IFERROR(-INDEX('P&amp;L'!$G$102:$R$102,MATCH(M$7,'P&amp;L'!$G$6:$R$6,0)),0)</f>
        <v>-113545</v>
      </c>
      <c r="N34" s="227">
        <f t="array" ref="N34">IFERROR(-INDEX('P&amp;L'!$G$102:$R$102,MATCH(N$7,'P&amp;L'!$G$6:$R$6,0)),0)</f>
        <v>-113545</v>
      </c>
      <c r="O34" s="227">
        <f t="array" ref="O34">IFERROR(-INDEX('P&amp;L'!$G$102:$R$102,MATCH(O$7,'P&amp;L'!$G$6:$R$6,0)),0)</f>
        <v>-113545</v>
      </c>
      <c r="P34" s="227">
        <f t="array" ref="P34">IFERROR(-INDEX('P&amp;L'!$G$102:$T$102,MATCH(P$7,'P&amp;L'!$G$6:$T$6,0)),0)</f>
        <v>-113545</v>
      </c>
      <c r="Q34" s="227">
        <f t="array" ref="Q34">IFERROR(-INDEX('P&amp;L'!$G$102:$T$102,MATCH(Q$7,'P&amp;L'!$G$6:$T$6,0)),0)</f>
        <v>-113545</v>
      </c>
      <c r="R34" s="26"/>
      <c r="S34" s="26"/>
      <c r="T34" s="26"/>
      <c r="U34" s="26"/>
      <c r="V34" s="26"/>
      <c r="W34" s="26"/>
      <c r="X34" s="26"/>
      <c r="Y34" s="26"/>
      <c r="Z34" s="26"/>
    </row>
    <row r="35" spans="1:26" ht="15.75" customHeight="1">
      <c r="A35" s="234" t="s">
        <v>362</v>
      </c>
      <c r="B35" s="234"/>
      <c r="C35" s="234"/>
      <c r="D35" s="238">
        <f t="shared" ref="D35:Q35" si="6">D27+D28+D29+D30+D31+D32+D33+D34</f>
        <v>0</v>
      </c>
      <c r="E35" s="238">
        <f t="shared" si="6"/>
        <v>0</v>
      </c>
      <c r="F35" s="238">
        <f t="shared" si="6"/>
        <v>-22044069.690000001</v>
      </c>
      <c r="G35" s="238">
        <f t="shared" si="6"/>
        <v>-16403049.654136742</v>
      </c>
      <c r="H35" s="238">
        <f t="shared" si="6"/>
        <v>-19204257.246734519</v>
      </c>
      <c r="I35" s="238">
        <f t="shared" si="6"/>
        <v>-20011021.488196172</v>
      </c>
      <c r="J35" s="238">
        <f t="shared" si="6"/>
        <v>-21054061.399030805</v>
      </c>
      <c r="K35" s="238">
        <f t="shared" si="6"/>
        <v>-21549042.632314298</v>
      </c>
      <c r="L35" s="238">
        <f t="shared" si="6"/>
        <v>-22130733.316999696</v>
      </c>
      <c r="M35" s="238">
        <f t="shared" si="6"/>
        <v>-22589114.06921494</v>
      </c>
      <c r="N35" s="238">
        <f t="shared" si="6"/>
        <v>-23065963.769180335</v>
      </c>
      <c r="O35" s="238">
        <f t="shared" si="6"/>
        <v>-23568679.075039968</v>
      </c>
      <c r="P35" s="238">
        <f t="shared" si="6"/>
        <v>-22531407.377486311</v>
      </c>
      <c r="Q35" s="238">
        <f t="shared" si="6"/>
        <v>-22810851.137133364</v>
      </c>
      <c r="R35" s="236"/>
      <c r="S35" s="236"/>
      <c r="T35" s="236"/>
      <c r="U35" s="236"/>
      <c r="V35" s="236"/>
      <c r="W35" s="236"/>
      <c r="X35" s="236"/>
      <c r="Y35" s="236"/>
      <c r="Z35" s="236"/>
    </row>
    <row r="36" spans="1:26" ht="15.75" customHeight="1">
      <c r="A36" s="24" t="s">
        <v>363</v>
      </c>
      <c r="B36" s="24"/>
      <c r="C36" s="24"/>
      <c r="D36" s="227">
        <f t="shared" ref="D36:Q36" si="7">D61</f>
        <v>0</v>
      </c>
      <c r="E36" s="227">
        <f t="shared" si="7"/>
        <v>0</v>
      </c>
      <c r="F36" s="227">
        <f t="shared" si="7"/>
        <v>0</v>
      </c>
      <c r="G36" s="227">
        <f t="shared" si="7"/>
        <v>-1096726.5820212327</v>
      </c>
      <c r="H36" s="227">
        <f t="shared" si="7"/>
        <v>-12840.59445783266</v>
      </c>
      <c r="I36" s="227">
        <f t="shared" si="7"/>
        <v>-58802.416014928283</v>
      </c>
      <c r="J36" s="227">
        <f t="shared" si="7"/>
        <v>-76022.192546891019</v>
      </c>
      <c r="K36" s="227">
        <f t="shared" si="7"/>
        <v>-24341.653255187935</v>
      </c>
      <c r="L36" s="227">
        <f t="shared" si="7"/>
        <v>21394.902392118325</v>
      </c>
      <c r="M36" s="227">
        <f t="shared" si="7"/>
        <v>-12917.002538567729</v>
      </c>
      <c r="N36" s="227">
        <f t="shared" si="7"/>
        <v>-24559.379618751002</v>
      </c>
      <c r="O36" s="227">
        <f t="shared" si="7"/>
        <v>-25250.146878345986</v>
      </c>
      <c r="P36" s="227">
        <f t="shared" si="7"/>
        <v>-18453.378296178591</v>
      </c>
      <c r="Q36" s="227">
        <f t="shared" si="7"/>
        <v>-78752.097485271166</v>
      </c>
      <c r="R36" s="26"/>
      <c r="S36" s="26"/>
      <c r="T36" s="26"/>
      <c r="U36" s="26"/>
      <c r="V36" s="26"/>
      <c r="W36" s="26"/>
      <c r="X36" s="26"/>
      <c r="Y36" s="26"/>
      <c r="Z36" s="26"/>
    </row>
    <row r="37" spans="1:26" ht="15.75" customHeight="1">
      <c r="A37" s="24" t="s">
        <v>364</v>
      </c>
      <c r="B37" s="24"/>
      <c r="C37" s="24"/>
      <c r="D37" s="227">
        <f t="shared" ref="D37:Q37" si="8">D23+D35+D36</f>
        <v>0</v>
      </c>
      <c r="E37" s="227">
        <f t="shared" si="8"/>
        <v>0</v>
      </c>
      <c r="F37" s="227">
        <f t="shared" si="8"/>
        <v>452228.39999999851</v>
      </c>
      <c r="G37" s="227">
        <f t="shared" si="8"/>
        <v>1272557.1788420249</v>
      </c>
      <c r="H37" s="165">
        <f t="shared" si="8"/>
        <v>459404.44774764637</v>
      </c>
      <c r="I37" s="165">
        <f t="shared" si="8"/>
        <v>545697.97825180378</v>
      </c>
      <c r="J37" s="165">
        <f t="shared" si="8"/>
        <v>678550.96288630553</v>
      </c>
      <c r="K37" s="165">
        <f t="shared" si="8"/>
        <v>727372.40670031216</v>
      </c>
      <c r="L37" s="165">
        <f t="shared" si="8"/>
        <v>697977.64713148319</v>
      </c>
      <c r="M37" s="165">
        <f t="shared" si="8"/>
        <v>726706.54725642654</v>
      </c>
      <c r="N37" s="165">
        <f t="shared" si="8"/>
        <v>774935.71608531277</v>
      </c>
      <c r="O37" s="165">
        <f t="shared" si="8"/>
        <v>824000.99414939142</v>
      </c>
      <c r="P37" s="165">
        <f t="shared" si="8"/>
        <v>2436754.631634946</v>
      </c>
      <c r="Q37" s="165">
        <f t="shared" si="8"/>
        <v>2682388.5509107029</v>
      </c>
      <c r="R37" s="26"/>
      <c r="S37" s="26"/>
      <c r="T37" s="26"/>
      <c r="U37" s="26"/>
      <c r="V37" s="26"/>
      <c r="W37" s="26"/>
      <c r="X37" s="26"/>
      <c r="Y37" s="26"/>
      <c r="Z37" s="26"/>
    </row>
    <row r="38" spans="1:26" ht="15.75" customHeight="1">
      <c r="A38" s="228" t="s">
        <v>365</v>
      </c>
      <c r="B38" s="228"/>
      <c r="C38" s="228"/>
      <c r="D38" s="229">
        <f t="shared" ref="D38:Q38" si="9">D10+D37</f>
        <v>0</v>
      </c>
      <c r="E38" s="229">
        <f t="shared" si="9"/>
        <v>0</v>
      </c>
      <c r="F38" s="229">
        <f t="shared" si="9"/>
        <v>452228.39999999851</v>
      </c>
      <c r="G38" s="229">
        <f t="shared" si="9"/>
        <v>1724785.5788420234</v>
      </c>
      <c r="H38" s="229">
        <f t="shared" si="9"/>
        <v>2184190.0265896698</v>
      </c>
      <c r="I38" s="229">
        <f t="shared" si="9"/>
        <v>2729888.0048414734</v>
      </c>
      <c r="J38" s="229">
        <f t="shared" si="9"/>
        <v>3408438.9677277789</v>
      </c>
      <c r="K38" s="229">
        <f t="shared" si="9"/>
        <v>4135811.3744280911</v>
      </c>
      <c r="L38" s="229">
        <f t="shared" si="9"/>
        <v>4833789.0215595746</v>
      </c>
      <c r="M38" s="229">
        <f t="shared" si="9"/>
        <v>5560495.5688160015</v>
      </c>
      <c r="N38" s="229">
        <f t="shared" si="9"/>
        <v>6335431.2849013144</v>
      </c>
      <c r="O38" s="229">
        <f t="shared" si="9"/>
        <v>7159432.279050706</v>
      </c>
      <c r="P38" s="229">
        <f t="shared" si="9"/>
        <v>9596186.910685651</v>
      </c>
      <c r="Q38" s="229">
        <f t="shared" si="9"/>
        <v>12278575.461596355</v>
      </c>
      <c r="R38" s="239"/>
      <c r="S38" s="239"/>
      <c r="T38" s="239"/>
      <c r="U38" s="239"/>
      <c r="V38" s="239"/>
      <c r="W38" s="239"/>
      <c r="X38" s="239"/>
      <c r="Y38" s="239"/>
      <c r="Z38" s="239"/>
    </row>
    <row r="39" spans="1:26" ht="15.75" customHeight="1">
      <c r="A39" s="240" t="s">
        <v>366</v>
      </c>
      <c r="B39" s="240"/>
      <c r="C39" s="240"/>
      <c r="D39" s="241">
        <f>D38-'Balance Sheet'!F10</f>
        <v>0</v>
      </c>
      <c r="E39" s="242">
        <f>E38-'Balance Sheet'!G10</f>
        <v>0</v>
      </c>
      <c r="F39" s="242">
        <f>F38-'Balance Sheet'!H10</f>
        <v>0</v>
      </c>
      <c r="G39" s="242">
        <f>G38-'Balance Sheet'!I10</f>
        <v>0</v>
      </c>
      <c r="H39" s="242">
        <f>H38-'Balance Sheet'!J10</f>
        <v>0</v>
      </c>
      <c r="I39" s="242">
        <f>I38-'Balance Sheet'!K10</f>
        <v>0</v>
      </c>
      <c r="J39" s="242">
        <f>J38-'Balance Sheet'!L10</f>
        <v>0</v>
      </c>
      <c r="K39" s="242">
        <f>K38-'Balance Sheet'!M10</f>
        <v>0</v>
      </c>
      <c r="L39" s="242">
        <f>L38-'Balance Sheet'!N10</f>
        <v>0</v>
      </c>
      <c r="M39" s="242">
        <f>M38-'Balance Sheet'!O10</f>
        <v>0</v>
      </c>
      <c r="N39" s="242">
        <f>N38-'Balance Sheet'!P10</f>
        <v>0</v>
      </c>
      <c r="O39" s="242">
        <f>O38-'Balance Sheet'!Q10</f>
        <v>0</v>
      </c>
      <c r="P39" s="242">
        <f>P38-'Balance Sheet'!R10</f>
        <v>0</v>
      </c>
      <c r="Q39" s="242">
        <f>Q38-'Balance Sheet'!S10</f>
        <v>0</v>
      </c>
      <c r="R39" s="26"/>
      <c r="S39" s="26"/>
      <c r="T39" s="26"/>
      <c r="U39" s="26"/>
      <c r="V39" s="26"/>
      <c r="W39" s="26"/>
      <c r="X39" s="26"/>
      <c r="Y39" s="26"/>
      <c r="Z39" s="26"/>
    </row>
    <row r="40" spans="1:26" ht="15.75" customHeight="1">
      <c r="A40" s="240" t="s">
        <v>367</v>
      </c>
      <c r="B40" s="240"/>
      <c r="C40" s="240"/>
      <c r="D40" s="241">
        <f t="shared" ref="D40:Q40" si="10">D10+D37-D38</f>
        <v>0</v>
      </c>
      <c r="E40" s="242">
        <f t="shared" si="10"/>
        <v>0</v>
      </c>
      <c r="F40" s="242">
        <f t="shared" si="10"/>
        <v>0</v>
      </c>
      <c r="G40" s="242">
        <f t="shared" si="10"/>
        <v>0</v>
      </c>
      <c r="H40" s="242">
        <f t="shared" si="10"/>
        <v>0</v>
      </c>
      <c r="I40" s="242">
        <f t="shared" si="10"/>
        <v>0</v>
      </c>
      <c r="J40" s="242">
        <f t="shared" si="10"/>
        <v>0</v>
      </c>
      <c r="K40" s="242">
        <f t="shared" si="10"/>
        <v>0</v>
      </c>
      <c r="L40" s="242">
        <f t="shared" si="10"/>
        <v>0</v>
      </c>
      <c r="M40" s="242">
        <f t="shared" si="10"/>
        <v>0</v>
      </c>
      <c r="N40" s="242">
        <f t="shared" si="10"/>
        <v>0</v>
      </c>
      <c r="O40" s="242">
        <f t="shared" si="10"/>
        <v>0</v>
      </c>
      <c r="P40" s="242">
        <f t="shared" si="10"/>
        <v>0</v>
      </c>
      <c r="Q40" s="242">
        <f t="shared" si="10"/>
        <v>0</v>
      </c>
      <c r="R40" s="26"/>
      <c r="S40" s="26"/>
      <c r="T40" s="26"/>
      <c r="U40" s="26"/>
      <c r="V40" s="26"/>
      <c r="W40" s="26"/>
      <c r="X40" s="26"/>
      <c r="Y40" s="26"/>
      <c r="Z40" s="26"/>
    </row>
    <row r="41" spans="1:26" ht="15.75" customHeight="1">
      <c r="A41" s="24"/>
      <c r="B41" s="26"/>
      <c r="C41" s="26"/>
      <c r="D41" s="165"/>
      <c r="E41" s="165"/>
      <c r="F41" s="165"/>
      <c r="G41" s="165"/>
      <c r="H41" s="165"/>
      <c r="I41" s="165"/>
      <c r="J41" s="165"/>
      <c r="K41" s="165"/>
      <c r="L41" s="165"/>
      <c r="M41" s="165"/>
      <c r="N41" s="165"/>
      <c r="O41" s="165"/>
      <c r="P41" s="165"/>
      <c r="Q41" s="165"/>
      <c r="R41" s="26"/>
      <c r="S41" s="26"/>
      <c r="T41" s="26"/>
      <c r="U41" s="26"/>
      <c r="V41" s="26"/>
      <c r="W41" s="26"/>
      <c r="X41" s="26"/>
      <c r="Y41" s="26"/>
      <c r="Z41" s="26"/>
    </row>
    <row r="42" spans="1:26" ht="15.75" customHeight="1">
      <c r="A42" s="24"/>
      <c r="B42" s="24"/>
      <c r="C42" s="24"/>
      <c r="D42" s="165"/>
      <c r="E42" s="165"/>
      <c r="F42" s="165"/>
      <c r="G42" s="165"/>
      <c r="H42" s="165"/>
      <c r="I42" s="165"/>
      <c r="J42" s="165"/>
      <c r="K42" s="165"/>
      <c r="L42" s="165"/>
      <c r="M42" s="165"/>
      <c r="N42" s="165"/>
      <c r="O42" s="165"/>
      <c r="P42" s="165"/>
      <c r="Q42" s="165"/>
      <c r="R42" s="26"/>
      <c r="S42" s="26"/>
      <c r="T42" s="26"/>
      <c r="U42" s="26"/>
      <c r="V42" s="26"/>
      <c r="W42" s="26"/>
      <c r="X42" s="26"/>
      <c r="Y42" s="26"/>
      <c r="Z42" s="26"/>
    </row>
    <row r="43" spans="1:26" ht="15.75" customHeight="1">
      <c r="A43" s="24" t="s">
        <v>339</v>
      </c>
      <c r="B43" s="24"/>
      <c r="C43" s="24"/>
      <c r="D43" s="227" t="str">
        <f t="shared" ref="D43:Q43" si="11">D7</f>
        <v>FY25</v>
      </c>
      <c r="E43" s="227" t="str">
        <f t="shared" si="11"/>
        <v>FY26</v>
      </c>
      <c r="F43" s="227" t="str">
        <f t="shared" si="11"/>
        <v>FY27</v>
      </c>
      <c r="G43" s="227" t="str">
        <f t="shared" si="11"/>
        <v>FY28</v>
      </c>
      <c r="H43" s="227" t="str">
        <f t="shared" si="11"/>
        <v>FY29</v>
      </c>
      <c r="I43" s="227" t="str">
        <f t="shared" si="11"/>
        <v>FY30</v>
      </c>
      <c r="J43" s="227" t="str">
        <f t="shared" si="11"/>
        <v>FY31</v>
      </c>
      <c r="K43" s="227" t="str">
        <f t="shared" si="11"/>
        <v>FY32</v>
      </c>
      <c r="L43" s="227" t="str">
        <f t="shared" si="11"/>
        <v>FY33</v>
      </c>
      <c r="M43" s="227" t="str">
        <f t="shared" si="11"/>
        <v>FY34</v>
      </c>
      <c r="N43" s="227" t="str">
        <f t="shared" si="11"/>
        <v>FY35</v>
      </c>
      <c r="O43" s="227" t="str">
        <f t="shared" si="11"/>
        <v>FY36</v>
      </c>
      <c r="P43" s="227" t="str">
        <f t="shared" si="11"/>
        <v>FY37</v>
      </c>
      <c r="Q43" s="227" t="str">
        <f t="shared" si="11"/>
        <v>FY38</v>
      </c>
      <c r="R43" s="26"/>
      <c r="S43" s="26"/>
      <c r="T43" s="26"/>
      <c r="U43" s="26"/>
      <c r="V43" s="26"/>
      <c r="W43" s="26"/>
      <c r="X43" s="26"/>
      <c r="Y43" s="26"/>
      <c r="Z43" s="26"/>
    </row>
    <row r="44" spans="1:26" ht="15.75" customHeight="1">
      <c r="A44" s="24" t="s">
        <v>337</v>
      </c>
      <c r="B44" s="24"/>
      <c r="C44" s="24"/>
      <c r="D44" s="243">
        <f t="shared" ref="D44:Q44" si="12">D5</f>
        <v>45689</v>
      </c>
      <c r="E44" s="243">
        <f t="shared" si="12"/>
        <v>45839</v>
      </c>
      <c r="F44" s="243">
        <f t="shared" si="12"/>
        <v>46204</v>
      </c>
      <c r="G44" s="243">
        <f t="shared" si="12"/>
        <v>46569</v>
      </c>
      <c r="H44" s="243">
        <f t="shared" si="12"/>
        <v>46935</v>
      </c>
      <c r="I44" s="243">
        <f t="shared" si="12"/>
        <v>47300</v>
      </c>
      <c r="J44" s="243">
        <f t="shared" si="12"/>
        <v>47665</v>
      </c>
      <c r="K44" s="243">
        <f t="shared" si="12"/>
        <v>48030</v>
      </c>
      <c r="L44" s="243">
        <f t="shared" si="12"/>
        <v>48396</v>
      </c>
      <c r="M44" s="243">
        <f t="shared" si="12"/>
        <v>48761</v>
      </c>
      <c r="N44" s="243">
        <f t="shared" si="12"/>
        <v>49126</v>
      </c>
      <c r="O44" s="243">
        <f t="shared" si="12"/>
        <v>49491</v>
      </c>
      <c r="P44" s="243">
        <f t="shared" si="12"/>
        <v>49857</v>
      </c>
      <c r="Q44" s="243">
        <f t="shared" si="12"/>
        <v>50222</v>
      </c>
      <c r="R44" s="26"/>
      <c r="S44" s="26"/>
      <c r="T44" s="26"/>
      <c r="U44" s="26"/>
      <c r="V44" s="26"/>
      <c r="W44" s="26"/>
      <c r="X44" s="26"/>
      <c r="Y44" s="26"/>
      <c r="Z44" s="26"/>
    </row>
    <row r="45" spans="1:26" ht="15.75" customHeight="1">
      <c r="A45" s="24" t="s">
        <v>338</v>
      </c>
      <c r="B45" s="24"/>
      <c r="C45" s="24"/>
      <c r="D45" s="243">
        <f t="shared" ref="D45:Q45" si="13">D6</f>
        <v>45838</v>
      </c>
      <c r="E45" s="243">
        <f t="shared" si="13"/>
        <v>46203</v>
      </c>
      <c r="F45" s="243">
        <f t="shared" si="13"/>
        <v>46568</v>
      </c>
      <c r="G45" s="243">
        <f t="shared" si="13"/>
        <v>46934</v>
      </c>
      <c r="H45" s="243">
        <f t="shared" si="13"/>
        <v>47299</v>
      </c>
      <c r="I45" s="243">
        <f t="shared" si="13"/>
        <v>47664</v>
      </c>
      <c r="J45" s="243">
        <f t="shared" si="13"/>
        <v>48029</v>
      </c>
      <c r="K45" s="243">
        <f t="shared" si="13"/>
        <v>48395</v>
      </c>
      <c r="L45" s="243">
        <f t="shared" si="13"/>
        <v>48760</v>
      </c>
      <c r="M45" s="243">
        <f t="shared" si="13"/>
        <v>49125</v>
      </c>
      <c r="N45" s="243">
        <f t="shared" si="13"/>
        <v>49490</v>
      </c>
      <c r="O45" s="243">
        <f t="shared" si="13"/>
        <v>49856</v>
      </c>
      <c r="P45" s="243">
        <f t="shared" si="13"/>
        <v>50221</v>
      </c>
      <c r="Q45" s="243">
        <f t="shared" si="13"/>
        <v>50586</v>
      </c>
      <c r="R45" s="26"/>
      <c r="S45" s="26"/>
      <c r="T45" s="26"/>
      <c r="U45" s="26"/>
      <c r="V45" s="26"/>
      <c r="W45" s="26"/>
      <c r="X45" s="26"/>
      <c r="Y45" s="26"/>
      <c r="Z45" s="26"/>
    </row>
    <row r="46" spans="1:26" ht="15.75" customHeight="1">
      <c r="A46" s="26"/>
      <c r="B46" s="26"/>
      <c r="C46" s="26"/>
      <c r="D46" s="165"/>
      <c r="E46" s="165"/>
      <c r="F46" s="165"/>
      <c r="G46" s="165"/>
      <c r="H46" s="165"/>
      <c r="I46" s="165"/>
      <c r="J46" s="165"/>
      <c r="K46" s="165"/>
      <c r="L46" s="165"/>
      <c r="M46" s="165"/>
      <c r="N46" s="165"/>
      <c r="O46" s="165"/>
      <c r="P46" s="165"/>
      <c r="Q46" s="165"/>
      <c r="R46" s="26"/>
      <c r="S46" s="26"/>
      <c r="T46" s="26"/>
      <c r="U46" s="26"/>
      <c r="V46" s="26"/>
      <c r="W46" s="26"/>
      <c r="X46" s="26"/>
      <c r="Y46" s="26"/>
      <c r="Z46" s="26"/>
    </row>
    <row r="47" spans="1:26" ht="15.75" customHeight="1">
      <c r="A47" s="230" t="s">
        <v>368</v>
      </c>
      <c r="B47" s="24"/>
      <c r="C47" s="24"/>
      <c r="D47" s="165"/>
      <c r="E47" s="165"/>
      <c r="F47" s="165"/>
      <c r="G47" s="165"/>
      <c r="H47" s="165"/>
      <c r="I47" s="165"/>
      <c r="J47" s="165"/>
      <c r="K47" s="165"/>
      <c r="L47" s="165"/>
      <c r="M47" s="165"/>
      <c r="N47" s="165"/>
      <c r="O47" s="165"/>
      <c r="P47" s="165"/>
      <c r="Q47" s="165"/>
      <c r="R47" s="26"/>
      <c r="S47" s="26"/>
      <c r="T47" s="26"/>
      <c r="U47" s="26"/>
      <c r="V47" s="26"/>
      <c r="W47" s="26"/>
      <c r="X47" s="26"/>
      <c r="Y47" s="26"/>
      <c r="Z47" s="26"/>
    </row>
    <row r="48" spans="1:26" ht="15.75" customHeight="1">
      <c r="A48" s="24" t="s">
        <v>193</v>
      </c>
      <c r="B48" s="24"/>
      <c r="C48" s="24"/>
      <c r="D48" s="227">
        <f t="array" ref="D48">IFERROR(INDEX('P&amp;L'!$G$28:$R$28,MATCH(D$7,'P&amp;L'!$G$6:$R$6,0)),0)</f>
        <v>0</v>
      </c>
      <c r="E48" s="227">
        <f t="array" ref="E48">IFERROR(INDEX('P&amp;L'!$G$28:$R$28,MATCH(E$7,'P&amp;L'!$G$6:$R$6,0)),0)</f>
        <v>0</v>
      </c>
      <c r="F48" s="227">
        <f t="array" ref="F48">IFERROR(INDEX('P&amp;L'!$G$28:$R$28,MATCH(F$7,'P&amp;L'!$G$6:$R$6,0)),0)</f>
        <v>0</v>
      </c>
      <c r="G48" s="227">
        <f t="array" ref="G48">IFERROR(INDEX('P&amp;L'!$G$28:$R$28,MATCH(G$7,'P&amp;L'!$G$6:$R$6,0)),0)</f>
        <v>18772333.414999999</v>
      </c>
      <c r="H48" s="227">
        <f t="array" ref="H48">IFERROR(INDEX('P&amp;L'!$G$28:$R$28,MATCH(H$7,'P&amp;L'!$G$6:$R$6,0)),0)</f>
        <v>19676502.288939998</v>
      </c>
      <c r="I48" s="227">
        <f t="array" ref="I48">IFERROR(INDEX('P&amp;L'!$G$28:$R$28,MATCH(I$7,'P&amp;L'!$G$6:$R$6,0)),0)</f>
        <v>20615521.882462904</v>
      </c>
      <c r="J48" s="227">
        <f t="array" ref="J48">IFERROR(INDEX('P&amp;L'!$G$28:$R$28,MATCH(J$7,'P&amp;L'!$G$6:$R$6,0)),0)</f>
        <v>21808634.554464001</v>
      </c>
      <c r="K48" s="227">
        <f t="array" ref="K48">IFERROR(INDEX('P&amp;L'!$G$28:$R$28,MATCH(K$7,'P&amp;L'!$G$6:$R$6,0)),0)</f>
        <v>22300756.692269798</v>
      </c>
      <c r="L48" s="227">
        <f t="array" ref="L48">IFERROR(INDEX('P&amp;L'!$G$28:$R$28,MATCH(L$7,'P&amp;L'!$G$6:$R$6,0)),0)</f>
        <v>22807316.061739061</v>
      </c>
      <c r="M48" s="227">
        <f t="array" ref="M48">IFERROR(INDEX('P&amp;L'!$G$28:$R$28,MATCH(M$7,'P&amp;L'!$G$6:$R$6,0)),0)</f>
        <v>23328737.619009934</v>
      </c>
      <c r="N48" s="227">
        <f t="array" ref="N48">IFERROR(INDEX('P&amp;L'!$G$28:$R$28,MATCH(N$7,'P&amp;L'!$G$6:$R$6,0)),0)</f>
        <v>23865458.864884399</v>
      </c>
      <c r="O48" s="227">
        <f t="array" ref="O48">IFERROR(INDEX('P&amp;L'!$G$28:$R$28,MATCH(O$7,'P&amp;L'!$G$6:$R$6,0)),0)</f>
        <v>24417930.216067705</v>
      </c>
      <c r="P48" s="227">
        <f t="array" ref="P48">IFERROR(INDEX('P&amp;L'!$G$28:$T$28,MATCH(P$7,'P&amp;L'!$G$6:$T$6,0)),0)</f>
        <v>24986615.387417436</v>
      </c>
      <c r="Q48" s="227">
        <f t="array" ref="Q48">IFERROR(INDEX('P&amp;L'!$G$28:$T$28,MATCH(Q$7,'P&amp;L'!$G$6:$T$6,0)),0)</f>
        <v>25571991.785529338</v>
      </c>
      <c r="R48" s="26"/>
      <c r="S48" s="26"/>
      <c r="T48" s="26"/>
      <c r="U48" s="26"/>
      <c r="V48" s="26"/>
      <c r="W48" s="26"/>
      <c r="X48" s="26"/>
      <c r="Y48" s="26"/>
      <c r="Z48" s="26"/>
    </row>
    <row r="49" spans="1:26" ht="15.75" customHeight="1">
      <c r="A49" s="24" t="s">
        <v>369</v>
      </c>
      <c r="B49" s="24"/>
      <c r="C49" s="24"/>
      <c r="D49" s="227">
        <f t="array" ref="D49">IFERROR(INDEX('P&amp;L'!$G$35:$R$35,MATCH(D$7,'P&amp;L'!$G$6:$R$6,0)),0)</f>
        <v>0</v>
      </c>
      <c r="E49" s="227">
        <f t="array" ref="E49">IFERROR(INDEX('P&amp;L'!$G$35:$R$35,MATCH(E$7,'P&amp;L'!$G$6:$R$6,0)),0)</f>
        <v>0</v>
      </c>
      <c r="F49" s="227">
        <f t="array" ref="F49">IFERROR(INDEX('P&amp;L'!$G$35:$R$35,MATCH(F$7,'P&amp;L'!$G$6:$R$6,0)),0)</f>
        <v>0</v>
      </c>
      <c r="G49" s="227">
        <f t="array" ref="G49">IFERROR(INDEX('P&amp;L'!$G$35:$R$35,MATCH(G$7,'P&amp;L'!$G$6:$R$6,0)),0)</f>
        <v>2168980.59</v>
      </c>
      <c r="H49" s="227">
        <f t="array" ref="H49">IFERROR(INDEX('P&amp;L'!$G$35:$R$35,MATCH(H$7,'P&amp;L'!$G$6:$R$6,0)),0)</f>
        <v>2325901.7123999991</v>
      </c>
      <c r="I49" s="227">
        <f t="array" ref="I49">IFERROR(INDEX('P&amp;L'!$G$35:$R$35,MATCH(I$7,'P&amp;L'!$G$6:$R$6,0)),0)</f>
        <v>2489948.7060000002</v>
      </c>
      <c r="J49" s="227">
        <f t="array" ref="J49">IFERROR(INDEX('P&amp;L'!$G$35:$R$35,MATCH(J$7,'P&amp;L'!$G$6:$R$6,0)),0)</f>
        <v>2536926.42</v>
      </c>
      <c r="K49" s="227">
        <f t="array" ref="K49">IFERROR(INDEX('P&amp;L'!$G$35:$R$35,MATCH(K$7,'P&amp;L'!$G$6:$R$6,0)),0)</f>
        <v>2611117.7526000002</v>
      </c>
      <c r="L49" s="227">
        <f t="array" ref="L49">IFERROR(INDEX('P&amp;L'!$G$35:$R$35,MATCH(L$7,'P&amp;L'!$G$6:$R$6,0)),0)</f>
        <v>2687534.8251780006</v>
      </c>
      <c r="M49" s="227">
        <f t="array" ref="M49">IFERROR(INDEX('P&amp;L'!$G$35:$R$35,MATCH(M$7,'P&amp;L'!$G$6:$R$6,0)),0)</f>
        <v>2766244.4099333407</v>
      </c>
      <c r="N49" s="227">
        <f t="array" ref="N49">IFERROR(INDEX('P&amp;L'!$G$35:$R$35,MATCH(N$7,'P&amp;L'!$G$6:$R$6,0)),0)</f>
        <v>2847315.2822313411</v>
      </c>
      <c r="O49" s="227">
        <f t="array" ref="O49">IFERROR(INDEX('P&amp;L'!$G$35:$R$35,MATCH(O$7,'P&amp;L'!$G$6:$R$6,0)),0)</f>
        <v>2930818.2806982808</v>
      </c>
      <c r="P49" s="227">
        <f t="array" ref="P49">IFERROR(INDEX('P&amp;L'!$G$35:$T$35,MATCH(P$7,'P&amp;L'!$G$6:$T$6,0)),0)</f>
        <v>3016826.3691192307</v>
      </c>
      <c r="Q49" s="227">
        <f t="array" ref="Q49">IFERROR(INDEX('P&amp;L'!$G$35:$T$35,MATCH(Q$7,'P&amp;L'!$G$6:$T$6,0)),0)</f>
        <v>3105414.7001928072</v>
      </c>
      <c r="R49" s="26"/>
      <c r="S49" s="26"/>
      <c r="T49" s="26"/>
      <c r="U49" s="26"/>
      <c r="V49" s="26"/>
      <c r="W49" s="26"/>
      <c r="X49" s="26"/>
      <c r="Y49" s="26"/>
      <c r="Z49" s="26"/>
    </row>
    <row r="50" spans="1:26" ht="15.75" customHeight="1">
      <c r="A50" s="24" t="s">
        <v>370</v>
      </c>
      <c r="B50" s="24"/>
      <c r="C50" s="24"/>
      <c r="D50" s="227">
        <f>'P&amp;L'!G74</f>
        <v>0</v>
      </c>
      <c r="E50" s="227">
        <f>'P&amp;L'!H74</f>
        <v>0</v>
      </c>
      <c r="F50" s="227">
        <v>0</v>
      </c>
      <c r="G50" s="227">
        <f>'P&amp;L'!J74</f>
        <v>5428826.6670749998</v>
      </c>
      <c r="H50" s="227">
        <f>'P&amp;L'!K74</f>
        <v>6176768.3084447002</v>
      </c>
      <c r="I50" s="227">
        <f>'P&amp;L'!L74</f>
        <v>6400358.5071193147</v>
      </c>
      <c r="J50" s="227">
        <f>'P&amp;L'!M74</f>
        <v>6668534.5031332374</v>
      </c>
      <c r="K50" s="227">
        <f>'P&amp;L'!N74</f>
        <v>6864499.8596675787</v>
      </c>
      <c r="L50" s="227">
        <f>'P&amp;L'!O74</f>
        <v>7631363.8749076193</v>
      </c>
      <c r="M50" s="227">
        <f>'P&amp;L'!P74</f>
        <v>7995628.56795925</v>
      </c>
      <c r="N50" s="227">
        <f>'P&amp;L'!Q74</f>
        <v>8233544.0284722419</v>
      </c>
      <c r="O50" s="227">
        <f>'P&amp;L'!R74</f>
        <v>8478805.2593023404</v>
      </c>
      <c r="P50" s="227">
        <f>'P&amp;L'!S74</f>
        <v>8822974.3280485645</v>
      </c>
      <c r="Q50" s="227">
        <f>'P&amp;L'!T74</f>
        <v>8450200.2067563329</v>
      </c>
      <c r="R50" s="26"/>
      <c r="S50" s="26"/>
      <c r="T50" s="26"/>
      <c r="U50" s="26"/>
      <c r="V50" s="26"/>
      <c r="W50" s="26"/>
      <c r="X50" s="26"/>
      <c r="Y50" s="26"/>
      <c r="Z50" s="26"/>
    </row>
    <row r="51" spans="1:26" ht="15.75" customHeight="1">
      <c r="A51" s="26"/>
      <c r="B51" s="26"/>
      <c r="C51" s="26"/>
      <c r="D51" s="227"/>
      <c r="E51" s="227"/>
      <c r="F51" s="227"/>
      <c r="G51" s="227"/>
      <c r="H51" s="227"/>
      <c r="I51" s="227"/>
      <c r="J51" s="227"/>
      <c r="K51" s="227"/>
      <c r="L51" s="227"/>
      <c r="M51" s="227"/>
      <c r="N51" s="227"/>
      <c r="O51" s="227"/>
      <c r="P51" s="227"/>
      <c r="Q51" s="227"/>
      <c r="R51" s="26"/>
      <c r="S51" s="26"/>
      <c r="T51" s="26"/>
      <c r="U51" s="26"/>
      <c r="V51" s="26"/>
      <c r="W51" s="26"/>
      <c r="X51" s="26"/>
      <c r="Y51" s="26"/>
      <c r="Z51" s="26"/>
    </row>
    <row r="52" spans="1:26" ht="15.75" customHeight="1">
      <c r="A52" s="24" t="s">
        <v>371</v>
      </c>
      <c r="B52" s="24"/>
      <c r="C52" s="24"/>
      <c r="D52" s="227"/>
      <c r="E52" s="227"/>
      <c r="F52" s="227"/>
      <c r="G52" s="227"/>
      <c r="H52" s="227"/>
      <c r="I52" s="227"/>
      <c r="J52" s="227"/>
      <c r="K52" s="227"/>
      <c r="L52" s="227"/>
      <c r="M52" s="227"/>
      <c r="N52" s="227"/>
      <c r="O52" s="227"/>
      <c r="P52" s="227"/>
      <c r="Q52" s="227"/>
      <c r="R52" s="26"/>
      <c r="S52" s="26"/>
      <c r="T52" s="26"/>
      <c r="U52" s="26"/>
      <c r="V52" s="26"/>
      <c r="W52" s="26"/>
      <c r="X52" s="26"/>
      <c r="Y52" s="26"/>
      <c r="Z52" s="26"/>
    </row>
    <row r="53" spans="1:26" ht="15.75" customHeight="1">
      <c r="A53" s="24" t="s">
        <v>372</v>
      </c>
      <c r="B53" s="24"/>
      <c r="C53" s="24"/>
      <c r="D53" s="227">
        <f>(D48/365)*Inputs!$E$527</f>
        <v>0</v>
      </c>
      <c r="E53" s="227">
        <f>(E48/365)*Inputs!$E$527</f>
        <v>0</v>
      </c>
      <c r="F53" s="227">
        <f>(F48/365)*Inputs!$E$527</f>
        <v>0</v>
      </c>
      <c r="G53" s="227">
        <f>(G48/365)*Inputs!$E$527</f>
        <v>1542931.5135616437</v>
      </c>
      <c r="H53" s="227">
        <f>(H48/365)*Inputs!$E$527</f>
        <v>1617246.7634745203</v>
      </c>
      <c r="I53" s="227">
        <f>(I48/365)*Inputs!$E$527</f>
        <v>1694426.4560928415</v>
      </c>
      <c r="J53" s="227">
        <f>(J48/365)*Inputs!$E$527</f>
        <v>1792490.5113258082</v>
      </c>
      <c r="K53" s="227">
        <f>(K48/365)*Inputs!$E$527</f>
        <v>1832938.906213956</v>
      </c>
      <c r="L53" s="227">
        <f>(L48/365)*Inputs!$E$527</f>
        <v>1874573.9228826626</v>
      </c>
      <c r="M53" s="227">
        <f>(M48/365)*Inputs!$E$527</f>
        <v>1917430.4892336933</v>
      </c>
      <c r="N53" s="227">
        <f>(N48/365)*Inputs!$E$527</f>
        <v>1961544.5642370738</v>
      </c>
      <c r="O53" s="227">
        <f>(O48/365)*Inputs!$E$527</f>
        <v>2006953.168443921</v>
      </c>
      <c r="P53" s="227">
        <f>(P48/365)*Inputs!$E$527</f>
        <v>2053694.4154041728</v>
      </c>
      <c r="Q53" s="227">
        <f>(Q48/365)*Inputs!$E$527</f>
        <v>2101807.5440161098</v>
      </c>
      <c r="R53" s="26"/>
      <c r="S53" s="26"/>
      <c r="T53" s="26"/>
      <c r="U53" s="26"/>
      <c r="V53" s="26"/>
      <c r="W53" s="26"/>
      <c r="X53" s="26"/>
      <c r="Y53" s="26"/>
      <c r="Z53" s="26"/>
    </row>
    <row r="54" spans="1:26" ht="15.75" customHeight="1">
      <c r="A54" s="24" t="s">
        <v>373</v>
      </c>
      <c r="B54" s="24"/>
      <c r="C54" s="24"/>
      <c r="D54" s="227">
        <f>(D49/365)*Inputs!$E$529</f>
        <v>0</v>
      </c>
      <c r="E54" s="227">
        <f>(E49/365)*Inputs!$E$529</f>
        <v>0</v>
      </c>
      <c r="F54" s="227">
        <f>(F49/365)*Inputs!$E$529</f>
        <v>0</v>
      </c>
      <c r="G54" s="227">
        <f>(G49/365)*Inputs!$E$529</f>
        <v>178272.37726027396</v>
      </c>
      <c r="H54" s="227">
        <f>(H49/365)*Inputs!$E$529</f>
        <v>191170.00375890403</v>
      </c>
      <c r="I54" s="227">
        <f>(I49/365)*Inputs!$E$529</f>
        <v>204653.3183013699</v>
      </c>
      <c r="J54" s="227">
        <f>(J49/365)*Inputs!$E$529</f>
        <v>208514.5002739726</v>
      </c>
      <c r="K54" s="227">
        <f>(K49/365)*Inputs!$E$529</f>
        <v>214612.41802191781</v>
      </c>
      <c r="L54" s="227">
        <f>(L49/365)*Inputs!$E$529</f>
        <v>220893.27330230144</v>
      </c>
      <c r="M54" s="227">
        <f>(M49/365)*Inputs!$E$529</f>
        <v>227362.55424109648</v>
      </c>
      <c r="N54" s="227">
        <f>(N49/365)*Inputs!$E$529</f>
        <v>234025.91360805545</v>
      </c>
      <c r="O54" s="227">
        <f>(O49/365)*Inputs!$E$529</f>
        <v>240889.17375602305</v>
      </c>
      <c r="P54" s="227">
        <f>(P49/365)*Inputs!$E$529</f>
        <v>247958.33170842991</v>
      </c>
      <c r="Q54" s="227">
        <f>(Q49/365)*Inputs!$E$529</f>
        <v>255239.56439940882</v>
      </c>
      <c r="R54" s="26"/>
      <c r="S54" s="26"/>
      <c r="T54" s="26"/>
      <c r="U54" s="26"/>
      <c r="V54" s="26"/>
      <c r="W54" s="26"/>
      <c r="X54" s="26"/>
      <c r="Y54" s="26"/>
      <c r="Z54" s="26"/>
    </row>
    <row r="55" spans="1:26" ht="15.75" customHeight="1">
      <c r="A55" s="24" t="s">
        <v>374</v>
      </c>
      <c r="B55" s="24"/>
      <c r="C55" s="24"/>
      <c r="D55" s="227">
        <f>(((D49+D50)/365))*Inputs!$E$528</f>
        <v>0</v>
      </c>
      <c r="E55" s="227">
        <f>(((E49+E50)/365))*Inputs!$E$528</f>
        <v>0</v>
      </c>
      <c r="F55" s="227">
        <f>(((F49+F50)/365))*Inputs!$E$528</f>
        <v>0</v>
      </c>
      <c r="G55" s="227">
        <f>(((G49+G50)/365))*Inputs!$E$528</f>
        <v>624477.30880068487</v>
      </c>
      <c r="H55" s="227">
        <f>(((H49+H50)/365))*Inputs!$E$528</f>
        <v>698849.59075435891</v>
      </c>
      <c r="I55" s="227">
        <f>(((I49+I50)/365))*Inputs!$E$528</f>
        <v>730710.18190021766</v>
      </c>
      <c r="J55" s="227">
        <f>(((J49+J50)/365))*Inputs!$E$528</f>
        <v>756613.22655889613</v>
      </c>
      <c r="K55" s="227">
        <f>(((K49+K50)/365))*Inputs!$E$528</f>
        <v>778817.88593980111</v>
      </c>
      <c r="L55" s="227">
        <f>(((L49+L50)/365))*Inputs!$E$528</f>
        <v>848128.66028100974</v>
      </c>
      <c r="M55" s="227">
        <f>(((M49+M50)/365))*Inputs!$E$528</f>
        <v>884537.50503226777</v>
      </c>
      <c r="N55" s="227">
        <f>(((N49+N50)/365))*Inputs!$E$528</f>
        <v>910755.55978385615</v>
      </c>
      <c r="O55" s="227">
        <f>(((O49+O50)/365))*Inputs!$E$528</f>
        <v>937777.27726032503</v>
      </c>
      <c r="P55" s="227">
        <f>(((P49+P50)/365))*Inputs!$E$528</f>
        <v>973134.30387680512</v>
      </c>
      <c r="Q55" s="227">
        <f>(((Q49+Q50)/365))*Inputs!$E$528</f>
        <v>949776.5676944498</v>
      </c>
      <c r="R55" s="26"/>
      <c r="S55" s="26"/>
      <c r="T55" s="26"/>
      <c r="U55" s="26"/>
      <c r="V55" s="26"/>
      <c r="W55" s="26"/>
      <c r="X55" s="26"/>
      <c r="Y55" s="26"/>
      <c r="Z55" s="26"/>
    </row>
    <row r="56" spans="1:26" ht="15.75" customHeight="1">
      <c r="A56" s="26"/>
      <c r="B56" s="26"/>
      <c r="C56" s="26"/>
      <c r="D56" s="227"/>
      <c r="E56" s="227"/>
      <c r="F56" s="227"/>
      <c r="G56" s="227"/>
      <c r="H56" s="227"/>
      <c r="I56" s="227"/>
      <c r="J56" s="227"/>
      <c r="K56" s="227"/>
      <c r="L56" s="227"/>
      <c r="M56" s="227"/>
      <c r="N56" s="227"/>
      <c r="O56" s="227"/>
      <c r="P56" s="227"/>
      <c r="Q56" s="227"/>
      <c r="R56" s="26"/>
      <c r="S56" s="26"/>
      <c r="T56" s="26"/>
      <c r="U56" s="26"/>
      <c r="V56" s="26"/>
      <c r="W56" s="26"/>
      <c r="X56" s="26"/>
      <c r="Y56" s="26"/>
      <c r="Z56" s="26"/>
    </row>
    <row r="57" spans="1:26" ht="15.75" customHeight="1">
      <c r="A57" s="24" t="s">
        <v>375</v>
      </c>
      <c r="B57" s="24"/>
      <c r="C57" s="24"/>
      <c r="D57" s="227"/>
      <c r="E57" s="227"/>
      <c r="F57" s="227"/>
      <c r="G57" s="227"/>
      <c r="H57" s="227"/>
      <c r="I57" s="227"/>
      <c r="J57" s="227"/>
      <c r="K57" s="227"/>
      <c r="L57" s="227"/>
      <c r="M57" s="227"/>
      <c r="N57" s="227"/>
      <c r="O57" s="227"/>
      <c r="P57" s="227"/>
      <c r="Q57" s="227"/>
      <c r="R57" s="26"/>
      <c r="S57" s="26"/>
      <c r="T57" s="26"/>
      <c r="U57" s="26"/>
      <c r="V57" s="26"/>
      <c r="W57" s="26"/>
      <c r="X57" s="26"/>
      <c r="Y57" s="26"/>
      <c r="Z57" s="26"/>
    </row>
    <row r="58" spans="1:26" ht="15.75" customHeight="1">
      <c r="A58" s="24" t="s">
        <v>376</v>
      </c>
      <c r="B58" s="24"/>
      <c r="C58" s="24"/>
      <c r="D58" s="227">
        <f t="shared" ref="D58:D59" si="14">-D53</f>
        <v>0</v>
      </c>
      <c r="E58" s="227">
        <f t="shared" ref="E58:Q58" si="15">-(E53-D53)</f>
        <v>0</v>
      </c>
      <c r="F58" s="227">
        <f t="shared" si="15"/>
        <v>0</v>
      </c>
      <c r="G58" s="227">
        <f t="shared" si="15"/>
        <v>-1542931.5135616437</v>
      </c>
      <c r="H58" s="227">
        <f t="shared" si="15"/>
        <v>-74315.249912876636</v>
      </c>
      <c r="I58" s="227">
        <f t="shared" si="15"/>
        <v>-77179.692618321162</v>
      </c>
      <c r="J58" s="227">
        <f t="shared" si="15"/>
        <v>-98064.055232966784</v>
      </c>
      <c r="K58" s="227">
        <f t="shared" si="15"/>
        <v>-40448.394888147712</v>
      </c>
      <c r="L58" s="227">
        <f t="shared" si="15"/>
        <v>-41635.016668706667</v>
      </c>
      <c r="M58" s="227">
        <f t="shared" si="15"/>
        <v>-42856.56635103072</v>
      </c>
      <c r="N58" s="227">
        <f t="shared" si="15"/>
        <v>-44114.075003380422</v>
      </c>
      <c r="O58" s="227">
        <f t="shared" si="15"/>
        <v>-45408.60420684726</v>
      </c>
      <c r="P58" s="227">
        <f t="shared" si="15"/>
        <v>-46741.246960251825</v>
      </c>
      <c r="Q58" s="227">
        <f t="shared" si="15"/>
        <v>-48113.128611936932</v>
      </c>
      <c r="R58" s="26"/>
      <c r="S58" s="26"/>
      <c r="T58" s="26"/>
      <c r="U58" s="26"/>
      <c r="V58" s="26"/>
      <c r="W58" s="26"/>
      <c r="X58" s="26"/>
      <c r="Y58" s="26"/>
      <c r="Z58" s="26"/>
    </row>
    <row r="59" spans="1:26" ht="15.75" customHeight="1">
      <c r="A59" s="24" t="s">
        <v>377</v>
      </c>
      <c r="B59" s="24"/>
      <c r="C59" s="24"/>
      <c r="D59" s="227">
        <f t="shared" si="14"/>
        <v>0</v>
      </c>
      <c r="E59" s="227">
        <f t="shared" ref="E59:Q59" si="16">-(E54-D54)</f>
        <v>0</v>
      </c>
      <c r="F59" s="227">
        <f t="shared" si="16"/>
        <v>0</v>
      </c>
      <c r="G59" s="227">
        <f t="shared" si="16"/>
        <v>-178272.37726027396</v>
      </c>
      <c r="H59" s="227">
        <f t="shared" si="16"/>
        <v>-12897.626498630067</v>
      </c>
      <c r="I59" s="227">
        <f t="shared" si="16"/>
        <v>-13483.314542465872</v>
      </c>
      <c r="J59" s="227">
        <f t="shared" si="16"/>
        <v>-3861.1819726027024</v>
      </c>
      <c r="K59" s="227">
        <f t="shared" si="16"/>
        <v>-6097.9177479452046</v>
      </c>
      <c r="L59" s="227">
        <f t="shared" si="16"/>
        <v>-6280.8552803836355</v>
      </c>
      <c r="M59" s="227">
        <f t="shared" si="16"/>
        <v>-6469.2809387950401</v>
      </c>
      <c r="N59" s="227">
        <f t="shared" si="16"/>
        <v>-6663.3593669589609</v>
      </c>
      <c r="O59" s="227">
        <f t="shared" si="16"/>
        <v>-6863.2601479676086</v>
      </c>
      <c r="P59" s="227">
        <f t="shared" si="16"/>
        <v>-7069.1579524068511</v>
      </c>
      <c r="Q59" s="227">
        <f t="shared" si="16"/>
        <v>-7281.2326909789117</v>
      </c>
      <c r="R59" s="26"/>
      <c r="S59" s="26"/>
      <c r="T59" s="26"/>
      <c r="U59" s="26"/>
      <c r="V59" s="26"/>
      <c r="W59" s="26"/>
      <c r="X59" s="26"/>
      <c r="Y59" s="26"/>
      <c r="Z59" s="26"/>
    </row>
    <row r="60" spans="1:26" ht="15.75" customHeight="1">
      <c r="A60" s="24" t="s">
        <v>378</v>
      </c>
      <c r="B60" s="24"/>
      <c r="C60" s="24"/>
      <c r="D60" s="227">
        <f>D55</f>
        <v>0</v>
      </c>
      <c r="E60" s="227">
        <f t="shared" ref="E60:Q60" si="17">(E55-D55)</f>
        <v>0</v>
      </c>
      <c r="F60" s="227">
        <f t="shared" si="17"/>
        <v>0</v>
      </c>
      <c r="G60" s="227">
        <f t="shared" si="17"/>
        <v>624477.30880068487</v>
      </c>
      <c r="H60" s="227">
        <f t="shared" si="17"/>
        <v>74372.281953674043</v>
      </c>
      <c r="I60" s="227">
        <f t="shared" si="17"/>
        <v>31860.591145858751</v>
      </c>
      <c r="J60" s="227">
        <f t="shared" si="17"/>
        <v>25903.044658678467</v>
      </c>
      <c r="K60" s="227">
        <f t="shared" si="17"/>
        <v>22204.659380904981</v>
      </c>
      <c r="L60" s="227">
        <f t="shared" si="17"/>
        <v>69310.774341208627</v>
      </c>
      <c r="M60" s="227">
        <f t="shared" si="17"/>
        <v>36408.844751258031</v>
      </c>
      <c r="N60" s="227">
        <f t="shared" si="17"/>
        <v>26218.054751588381</v>
      </c>
      <c r="O60" s="227">
        <f t="shared" si="17"/>
        <v>27021.717476468883</v>
      </c>
      <c r="P60" s="227">
        <f t="shared" si="17"/>
        <v>35357.026616480085</v>
      </c>
      <c r="Q60" s="227">
        <f t="shared" si="17"/>
        <v>-23357.736182355322</v>
      </c>
      <c r="R60" s="26"/>
      <c r="S60" s="26"/>
      <c r="T60" s="26"/>
      <c r="U60" s="26"/>
      <c r="V60" s="26"/>
      <c r="W60" s="26"/>
      <c r="X60" s="26"/>
      <c r="Y60" s="26"/>
      <c r="Z60" s="26"/>
    </row>
    <row r="61" spans="1:26" ht="15.75" customHeight="1">
      <c r="A61" s="24" t="s">
        <v>379</v>
      </c>
      <c r="B61" s="24"/>
      <c r="C61" s="24"/>
      <c r="D61" s="227">
        <f t="shared" ref="D61:Q61" si="18">SUM(D58:D60)</f>
        <v>0</v>
      </c>
      <c r="E61" s="227">
        <f t="shared" si="18"/>
        <v>0</v>
      </c>
      <c r="F61" s="227">
        <f t="shared" si="18"/>
        <v>0</v>
      </c>
      <c r="G61" s="227">
        <f t="shared" si="18"/>
        <v>-1096726.5820212327</v>
      </c>
      <c r="H61" s="227">
        <f t="shared" si="18"/>
        <v>-12840.59445783266</v>
      </c>
      <c r="I61" s="227">
        <f t="shared" si="18"/>
        <v>-58802.416014928283</v>
      </c>
      <c r="J61" s="227">
        <f t="shared" si="18"/>
        <v>-76022.192546891019</v>
      </c>
      <c r="K61" s="227">
        <f t="shared" si="18"/>
        <v>-24341.653255187935</v>
      </c>
      <c r="L61" s="227">
        <f t="shared" si="18"/>
        <v>21394.902392118325</v>
      </c>
      <c r="M61" s="227">
        <f t="shared" si="18"/>
        <v>-12917.002538567729</v>
      </c>
      <c r="N61" s="227">
        <f t="shared" si="18"/>
        <v>-24559.379618751002</v>
      </c>
      <c r="O61" s="227">
        <f t="shared" si="18"/>
        <v>-25250.146878345986</v>
      </c>
      <c r="P61" s="227">
        <f t="shared" si="18"/>
        <v>-18453.378296178591</v>
      </c>
      <c r="Q61" s="227">
        <f t="shared" si="18"/>
        <v>-78752.097485271166</v>
      </c>
      <c r="R61" s="26"/>
      <c r="S61" s="26"/>
      <c r="T61" s="26"/>
      <c r="U61" s="26"/>
      <c r="V61" s="26"/>
      <c r="W61" s="26"/>
      <c r="X61" s="26"/>
      <c r="Y61" s="26"/>
      <c r="Z61" s="26"/>
    </row>
    <row r="62" spans="1:26" ht="15.75" customHeight="1">
      <c r="A62" s="26"/>
      <c r="B62" s="26"/>
      <c r="C62" s="26"/>
      <c r="D62" s="227"/>
      <c r="E62" s="227"/>
      <c r="F62" s="227"/>
      <c r="G62" s="227"/>
      <c r="H62" s="227"/>
      <c r="I62" s="227"/>
      <c r="J62" s="227"/>
      <c r="K62" s="227"/>
      <c r="L62" s="227"/>
      <c r="M62" s="227"/>
      <c r="N62" s="227"/>
      <c r="O62" s="227"/>
      <c r="P62" s="227"/>
      <c r="Q62" s="227"/>
      <c r="R62" s="26"/>
      <c r="S62" s="26"/>
      <c r="T62" s="26"/>
      <c r="U62" s="26"/>
      <c r="V62" s="26"/>
      <c r="W62" s="26"/>
      <c r="X62" s="26"/>
      <c r="Y62" s="26"/>
      <c r="Z62" s="26"/>
    </row>
    <row r="63" spans="1:26" ht="15.75" customHeight="1">
      <c r="A63" s="230" t="s">
        <v>380</v>
      </c>
      <c r="B63" s="24"/>
      <c r="C63" s="24"/>
      <c r="D63" s="227"/>
      <c r="E63" s="227"/>
      <c r="F63" s="227"/>
      <c r="G63" s="227"/>
      <c r="H63" s="227"/>
      <c r="I63" s="227"/>
      <c r="J63" s="227"/>
      <c r="K63" s="227"/>
      <c r="L63" s="227"/>
      <c r="M63" s="227"/>
      <c r="N63" s="227"/>
      <c r="O63" s="227"/>
      <c r="P63" s="227"/>
      <c r="Q63" s="227"/>
      <c r="R63" s="26"/>
      <c r="S63" s="26"/>
      <c r="T63" s="26"/>
      <c r="U63" s="26"/>
      <c r="V63" s="26"/>
      <c r="W63" s="26"/>
      <c r="X63" s="26"/>
      <c r="Y63" s="26"/>
      <c r="Z63" s="26"/>
    </row>
    <row r="64" spans="1:26" ht="15.75" customHeight="1">
      <c r="A64" s="24" t="s">
        <v>381</v>
      </c>
      <c r="B64" s="24"/>
      <c r="C64" s="24"/>
      <c r="D64" s="227">
        <f>IFERROR('P&amp;L'!G79,0)</f>
        <v>0</v>
      </c>
      <c r="E64" s="227">
        <f>IFERROR('P&amp;L'!H79,0)</f>
        <v>0</v>
      </c>
      <c r="F64" s="227">
        <f>IFERROR('P&amp;L'!I79,0)</f>
        <v>0</v>
      </c>
      <c r="G64" s="227">
        <f>IFERROR('P&amp;L'!J79,0)</f>
        <v>10240353.181728749</v>
      </c>
      <c r="H64" s="227">
        <f>IFERROR('P&amp;L'!K79,0)</f>
        <v>10221610.60891173</v>
      </c>
      <c r="I64" s="227">
        <f>IFERROR('P&amp;L'!L79,0)</f>
        <v>10726643.498227151</v>
      </c>
      <c r="J64" s="227">
        <f>IFERROR('P&amp;L'!M79,0)</f>
        <v>11603173.631330766</v>
      </c>
      <c r="K64" s="227">
        <f>IFERROR('P&amp;L'!N79,0)</f>
        <v>11825139.08000222</v>
      </c>
      <c r="L64" s="227">
        <f>IFERROR('P&amp;L'!O79,0)</f>
        <v>11488417.36165344</v>
      </c>
      <c r="M64" s="227">
        <f>IFERROR('P&amp;L'!P79,0)</f>
        <v>11566864.641117346</v>
      </c>
      <c r="N64" s="227">
        <f>IFERROR('P&amp;L'!Q79,0)</f>
        <v>11784599.554180816</v>
      </c>
      <c r="O64" s="227">
        <f>IFERROR('P&amp;L'!R79,0)</f>
        <v>12008306.676067084</v>
      </c>
      <c r="P64" s="227">
        <f>IFERROR('P&amp;L'!S79,0)</f>
        <v>12146814.69024964</v>
      </c>
      <c r="Q64" s="227">
        <f>IFERROR('P&amp;L'!T79,0)</f>
        <v>13901342.685076447</v>
      </c>
      <c r="R64" s="26"/>
      <c r="S64" s="26"/>
      <c r="T64" s="26"/>
      <c r="U64" s="26"/>
      <c r="V64" s="26"/>
      <c r="W64" s="26"/>
      <c r="X64" s="26"/>
      <c r="Y64" s="26"/>
      <c r="Z64" s="26"/>
    </row>
    <row r="65" spans="1:26" ht="15.75" customHeight="1">
      <c r="A65" s="24" t="s">
        <v>382</v>
      </c>
      <c r="B65" s="24"/>
      <c r="C65" s="24"/>
      <c r="D65" s="227">
        <f t="shared" ref="D65:Q65" si="19">ABS(D31)</f>
        <v>0</v>
      </c>
      <c r="E65" s="227">
        <f t="shared" si="19"/>
        <v>0</v>
      </c>
      <c r="F65" s="227">
        <f t="shared" si="19"/>
        <v>543161.60000000009</v>
      </c>
      <c r="G65" s="227">
        <f t="shared" si="19"/>
        <v>1900198.2000000002</v>
      </c>
      <c r="H65" s="227">
        <f t="shared" si="19"/>
        <v>2535183</v>
      </c>
      <c r="I65" s="227">
        <f t="shared" si="19"/>
        <v>2408423.85</v>
      </c>
      <c r="J65" s="227">
        <f t="shared" si="19"/>
        <v>2281664.7000000002</v>
      </c>
      <c r="K65" s="227">
        <f t="shared" si="19"/>
        <v>2154905.5499999998</v>
      </c>
      <c r="L65" s="227">
        <f t="shared" si="19"/>
        <v>2028146.4</v>
      </c>
      <c r="M65" s="227">
        <f t="shared" si="19"/>
        <v>1901387.25</v>
      </c>
      <c r="N65" s="227">
        <f t="shared" si="19"/>
        <v>1774628.1</v>
      </c>
      <c r="O65" s="227">
        <f t="shared" si="19"/>
        <v>1647868.95</v>
      </c>
      <c r="P65" s="227">
        <f t="shared" si="19"/>
        <v>0</v>
      </c>
      <c r="Q65" s="227">
        <f t="shared" si="19"/>
        <v>0</v>
      </c>
      <c r="R65" s="26"/>
      <c r="S65" s="26"/>
      <c r="T65" s="26"/>
      <c r="U65" s="26"/>
      <c r="V65" s="26"/>
      <c r="W65" s="26"/>
      <c r="X65" s="26"/>
      <c r="Y65" s="26"/>
      <c r="Z65" s="26"/>
    </row>
    <row r="66" spans="1:26" ht="15.75" customHeight="1">
      <c r="A66" s="24" t="s">
        <v>383</v>
      </c>
      <c r="B66" s="24"/>
      <c r="C66" s="24"/>
      <c r="D66" s="227"/>
      <c r="E66" s="227"/>
      <c r="F66" s="227"/>
      <c r="G66" s="244">
        <f t="shared" ref="G66:Q66" si="20">G27</f>
        <v>0</v>
      </c>
      <c r="H66" s="244">
        <f t="shared" si="20"/>
        <v>0</v>
      </c>
      <c r="I66" s="244">
        <f t="shared" si="20"/>
        <v>0</v>
      </c>
      <c r="J66" s="244">
        <f t="shared" si="20"/>
        <v>0</v>
      </c>
      <c r="K66" s="244">
        <f t="shared" si="20"/>
        <v>0</v>
      </c>
      <c r="L66" s="244">
        <f t="shared" si="20"/>
        <v>0</v>
      </c>
      <c r="M66" s="244">
        <f t="shared" si="20"/>
        <v>0</v>
      </c>
      <c r="N66" s="244">
        <f t="shared" si="20"/>
        <v>0</v>
      </c>
      <c r="O66" s="244">
        <f t="shared" si="20"/>
        <v>0</v>
      </c>
      <c r="P66" s="244">
        <f t="shared" si="20"/>
        <v>0</v>
      </c>
      <c r="Q66" s="244">
        <f t="shared" si="20"/>
        <v>0</v>
      </c>
      <c r="R66" s="26"/>
      <c r="S66" s="26"/>
      <c r="T66" s="26"/>
      <c r="U66" s="26"/>
      <c r="V66" s="26"/>
      <c r="W66" s="26"/>
      <c r="X66" s="26"/>
      <c r="Y66" s="26"/>
      <c r="Z66" s="26"/>
    </row>
    <row r="67" spans="1:26" ht="15.75" customHeight="1">
      <c r="A67" s="24" t="s">
        <v>384</v>
      </c>
      <c r="B67" s="24"/>
      <c r="C67" s="24"/>
      <c r="D67" s="227" t="str">
        <f t="shared" ref="D67:F67" si="21">IF(OR(D65=0,D64=0),"",(D64+D32+D36)/D65)</f>
        <v/>
      </c>
      <c r="E67" s="227" t="str">
        <f t="shared" si="21"/>
        <v/>
      </c>
      <c r="F67" s="227" t="str">
        <f t="shared" si="21"/>
        <v/>
      </c>
      <c r="G67" s="244">
        <f t="shared" ref="G67:Q67" si="22">IF(OR(G65=0,G64=0),"",(G64+G32+G36+G66)/G65)</f>
        <v>3.7480650108967009</v>
      </c>
      <c r="H67" s="244">
        <f t="shared" si="22"/>
        <v>3.0466904338978202</v>
      </c>
      <c r="I67" s="244">
        <f t="shared" si="22"/>
        <v>3.3189553617167831</v>
      </c>
      <c r="J67" s="244">
        <f t="shared" si="22"/>
        <v>3.7480418669249009</v>
      </c>
      <c r="K67" s="244">
        <f t="shared" si="22"/>
        <v>4.046953904892197</v>
      </c>
      <c r="L67" s="244">
        <f t="shared" si="22"/>
        <v>4.1874723826887088</v>
      </c>
      <c r="M67" s="244">
        <f t="shared" si="22"/>
        <v>4.4574720293004884</v>
      </c>
      <c r="N67" s="244">
        <f t="shared" si="22"/>
        <v>4.8337591413140704</v>
      </c>
      <c r="O67" s="244">
        <f t="shared" si="22"/>
        <v>5.2771194419729879</v>
      </c>
      <c r="P67" s="244" t="str">
        <f t="shared" si="22"/>
        <v/>
      </c>
      <c r="Q67" s="244" t="str">
        <f t="shared" si="22"/>
        <v/>
      </c>
      <c r="R67" s="26"/>
      <c r="S67" s="26"/>
      <c r="T67" s="26"/>
      <c r="U67" s="26"/>
      <c r="V67" s="26"/>
      <c r="W67" s="26"/>
      <c r="X67" s="26"/>
      <c r="Y67" s="26"/>
      <c r="Z67" s="26"/>
    </row>
    <row r="68" spans="1:26" ht="15.75" customHeight="1">
      <c r="A68" s="24" t="s">
        <v>385</v>
      </c>
      <c r="B68" s="24"/>
      <c r="C68" s="24"/>
      <c r="D68" s="227"/>
      <c r="E68" s="227"/>
      <c r="F68" s="1474">
        <f>IF(F$6&gt;=Inputs!$E$9,Inputs!$E$531,0)</f>
        <v>500</v>
      </c>
      <c r="G68" s="227">
        <f>IF(G$6&gt;=Inputs!$E$9,Inputs!$E$531,0)</f>
        <v>500</v>
      </c>
      <c r="H68" s="227">
        <f>IF(H$6&gt;=Inputs!$E$9,Inputs!$E$531,0)</f>
        <v>500</v>
      </c>
      <c r="I68" s="227">
        <f>IF(I$6&gt;=Inputs!$E$9,Inputs!$E$531,0)</f>
        <v>500</v>
      </c>
      <c r="J68" s="227">
        <f>IF(J$6&gt;=Inputs!$E$9,Inputs!$E$531,0)</f>
        <v>500</v>
      </c>
      <c r="K68" s="227">
        <f>IF(K$6&gt;=Inputs!$E$9,Inputs!$E$531,0)</f>
        <v>500</v>
      </c>
      <c r="L68" s="227">
        <f>IF(L$6&gt;=Inputs!$E$9,Inputs!$E$531,0)</f>
        <v>500</v>
      </c>
      <c r="M68" s="227">
        <f>IF(M$6&gt;=Inputs!$E$9,Inputs!$E$531,0)</f>
        <v>500</v>
      </c>
      <c r="N68" s="227">
        <f>IF(N$6&gt;=Inputs!$E$9,Inputs!$E$531,0)</f>
        <v>500</v>
      </c>
      <c r="O68" s="227">
        <f>IF(O$6&gt;=Inputs!$E$9,Inputs!$E$531,0)</f>
        <v>500</v>
      </c>
      <c r="P68" s="227">
        <f>IF(P$6&gt;=Inputs!$E$9,Inputs!$E$531,0)</f>
        <v>500</v>
      </c>
      <c r="Q68" s="227">
        <f>IF(Q$6&gt;=Inputs!$E$9,Inputs!$E$531,0)</f>
        <v>500</v>
      </c>
      <c r="R68" s="26"/>
      <c r="S68" s="26"/>
      <c r="T68" s="26"/>
      <c r="U68" s="26"/>
      <c r="V68" s="26"/>
      <c r="W68" s="26"/>
      <c r="X68" s="26"/>
      <c r="Y68" s="26"/>
      <c r="Z68" s="26"/>
    </row>
    <row r="69" spans="1:26" ht="15.75" customHeight="1">
      <c r="A69" s="24" t="s">
        <v>386</v>
      </c>
      <c r="B69" s="24"/>
      <c r="C69" s="24"/>
      <c r="D69" s="227">
        <f t="shared" ref="D69:Q69" si="23">MAX(0,D68-D38)</f>
        <v>0</v>
      </c>
      <c r="E69" s="227">
        <f t="shared" si="23"/>
        <v>0</v>
      </c>
      <c r="F69" s="227">
        <f t="shared" si="23"/>
        <v>0</v>
      </c>
      <c r="G69" s="227">
        <f t="shared" si="23"/>
        <v>0</v>
      </c>
      <c r="H69" s="227">
        <f t="shared" si="23"/>
        <v>0</v>
      </c>
      <c r="I69" s="227">
        <f t="shared" si="23"/>
        <v>0</v>
      </c>
      <c r="J69" s="227">
        <f t="shared" si="23"/>
        <v>0</v>
      </c>
      <c r="K69" s="227">
        <f t="shared" si="23"/>
        <v>0</v>
      </c>
      <c r="L69" s="227">
        <f t="shared" si="23"/>
        <v>0</v>
      </c>
      <c r="M69" s="227">
        <f t="shared" si="23"/>
        <v>0</v>
      </c>
      <c r="N69" s="227">
        <f t="shared" si="23"/>
        <v>0</v>
      </c>
      <c r="O69" s="227">
        <f t="shared" si="23"/>
        <v>0</v>
      </c>
      <c r="P69" s="227">
        <f t="shared" si="23"/>
        <v>0</v>
      </c>
      <c r="Q69" s="227">
        <f t="shared" si="23"/>
        <v>0</v>
      </c>
      <c r="R69" s="26"/>
      <c r="S69" s="26"/>
      <c r="T69" s="26"/>
      <c r="U69" s="26"/>
      <c r="V69" s="26"/>
      <c r="W69" s="26"/>
      <c r="X69" s="26"/>
      <c r="Y69" s="26"/>
      <c r="Z69" s="26"/>
    </row>
    <row r="70" spans="1:26" ht="15.75" customHeight="1">
      <c r="A70" s="24" t="s">
        <v>387</v>
      </c>
      <c r="B70" s="24"/>
      <c r="C70" s="24"/>
      <c r="D70" s="227" t="str">
        <f t="shared" ref="D70:Q70" si="24">IF(D69&gt;0,"Shortfall",IF(D38&lt;0,"Negative Cash","OK"))</f>
        <v>OK</v>
      </c>
      <c r="E70" s="227" t="str">
        <f t="shared" si="24"/>
        <v>OK</v>
      </c>
      <c r="F70" s="227" t="str">
        <f t="shared" si="24"/>
        <v>OK</v>
      </c>
      <c r="G70" s="227" t="str">
        <f t="shared" si="24"/>
        <v>OK</v>
      </c>
      <c r="H70" s="227" t="str">
        <f t="shared" si="24"/>
        <v>OK</v>
      </c>
      <c r="I70" s="227" t="str">
        <f t="shared" si="24"/>
        <v>OK</v>
      </c>
      <c r="J70" s="227" t="str">
        <f t="shared" si="24"/>
        <v>OK</v>
      </c>
      <c r="K70" s="227" t="str">
        <f t="shared" si="24"/>
        <v>OK</v>
      </c>
      <c r="L70" s="227" t="str">
        <f t="shared" si="24"/>
        <v>OK</v>
      </c>
      <c r="M70" s="227" t="str">
        <f t="shared" si="24"/>
        <v>OK</v>
      </c>
      <c r="N70" s="227" t="str">
        <f t="shared" si="24"/>
        <v>OK</v>
      </c>
      <c r="O70" s="227" t="str">
        <f t="shared" si="24"/>
        <v>OK</v>
      </c>
      <c r="P70" s="227" t="str">
        <f t="shared" si="24"/>
        <v>OK</v>
      </c>
      <c r="Q70" s="227" t="str">
        <f t="shared" si="24"/>
        <v>OK</v>
      </c>
      <c r="R70" s="26"/>
      <c r="S70" s="26"/>
      <c r="T70" s="26"/>
      <c r="U70" s="26"/>
      <c r="V70" s="26"/>
      <c r="W70" s="26"/>
      <c r="X70" s="26"/>
      <c r="Y70" s="26"/>
      <c r="Z70" s="26"/>
    </row>
    <row r="71" spans="1:26" ht="15.75" customHeight="1">
      <c r="A71" s="24"/>
      <c r="B71" s="26"/>
      <c r="C71" s="26"/>
      <c r="D71" s="227"/>
      <c r="E71" s="227"/>
      <c r="F71" s="227"/>
      <c r="G71" s="227"/>
      <c r="H71" s="227"/>
      <c r="I71" s="227"/>
      <c r="J71" s="227"/>
      <c r="K71" s="227"/>
      <c r="L71" s="227"/>
      <c r="M71" s="227"/>
      <c r="N71" s="227"/>
      <c r="O71" s="227"/>
      <c r="P71" s="227"/>
      <c r="Q71" s="227"/>
      <c r="R71" s="26"/>
      <c r="S71" s="26"/>
      <c r="T71" s="26"/>
      <c r="U71" s="26"/>
      <c r="V71" s="26"/>
      <c r="W71" s="26"/>
      <c r="X71" s="26"/>
      <c r="Y71" s="26"/>
      <c r="Z71" s="26"/>
    </row>
    <row r="72" spans="1:26" ht="15.75" customHeight="1">
      <c r="A72" s="24" t="s">
        <v>388</v>
      </c>
      <c r="B72" s="24"/>
      <c r="C72" s="24"/>
      <c r="D72" s="227">
        <f>IFERROR(Debt!H49,0)</f>
        <v>0</v>
      </c>
      <c r="E72" s="227">
        <f>IFERROR(Debt!I49,0)</f>
        <v>0</v>
      </c>
      <c r="F72" s="227">
        <f>IFERROR(Debt!J49,0)</f>
        <v>0</v>
      </c>
      <c r="G72" s="227">
        <f>IFERROR(Debt!K49,0)</f>
        <v>1584489.375</v>
      </c>
      <c r="H72" s="227">
        <f>IFERROR(Debt!L49,0)</f>
        <v>1584489.375</v>
      </c>
      <c r="I72" s="227">
        <f>IFERROR(Debt!M49,0)</f>
        <v>1584489.375</v>
      </c>
      <c r="J72" s="227">
        <f>IFERROR(Debt!N49,0)</f>
        <v>1584489.375</v>
      </c>
      <c r="K72" s="227">
        <f>IFERROR(Debt!O49,0)</f>
        <v>1584489.375</v>
      </c>
      <c r="L72" s="227">
        <f>IFERROR(Debt!P49,0)</f>
        <v>1584489.375</v>
      </c>
      <c r="M72" s="227">
        <f>IFERROR(Debt!Q49,0)</f>
        <v>1584489.375</v>
      </c>
      <c r="N72" s="227">
        <f>IFERROR(Debt!R49,0)</f>
        <v>1584489.375</v>
      </c>
      <c r="O72" s="227">
        <f>IFERROR(Debt!S49,0)</f>
        <v>0</v>
      </c>
      <c r="P72" s="227">
        <f>IFERROR(Debt!T49,0)</f>
        <v>0</v>
      </c>
      <c r="Q72" s="227">
        <f>IFERROR(Debt!U49,0)</f>
        <v>0</v>
      </c>
      <c r="R72" s="26"/>
      <c r="S72" s="26"/>
      <c r="T72" s="26"/>
      <c r="U72" s="26"/>
      <c r="V72" s="26"/>
      <c r="W72" s="26"/>
      <c r="X72" s="26"/>
      <c r="Y72" s="26"/>
      <c r="Z72" s="26"/>
    </row>
    <row r="73" spans="1:26" ht="15.75" customHeight="1">
      <c r="A73" s="24" t="s">
        <v>389</v>
      </c>
      <c r="B73" s="24"/>
      <c r="C73" s="24"/>
      <c r="D73" s="227">
        <f>IFERROR(Debt!H50,0)</f>
        <v>0</v>
      </c>
      <c r="E73" s="227">
        <f>IFERROR(Debt!I50,0)</f>
        <v>0</v>
      </c>
      <c r="F73" s="227">
        <f>IFERROR(Debt!J50,0)</f>
        <v>12675915</v>
      </c>
      <c r="G73" s="227">
        <f>IFERROR(Debt!K50,0)</f>
        <v>11091425.625</v>
      </c>
      <c r="H73" s="227">
        <f>IFERROR(Debt!L50,0)</f>
        <v>9506936.25</v>
      </c>
      <c r="I73" s="227">
        <f>IFERROR(Debt!M50,0)</f>
        <v>7922446.875</v>
      </c>
      <c r="J73" s="227">
        <f>IFERROR(Debt!N50,0)</f>
        <v>6337957.5</v>
      </c>
      <c r="K73" s="227">
        <f>IFERROR(Debt!O50,0)</f>
        <v>4753468.125</v>
      </c>
      <c r="L73" s="227">
        <f>IFERROR(Debt!P50,0)</f>
        <v>3168978.75</v>
      </c>
      <c r="M73" s="227">
        <f>IFERROR(Debt!Q50,0)</f>
        <v>1584489.375</v>
      </c>
      <c r="N73" s="227">
        <f>IFERROR(Debt!R50,0)</f>
        <v>0</v>
      </c>
      <c r="O73" s="227">
        <f>IFERROR(Debt!S50,0)</f>
        <v>0</v>
      </c>
      <c r="P73" s="227">
        <f>IFERROR(Debt!T50,0)</f>
        <v>0</v>
      </c>
      <c r="Q73" s="227">
        <f>IFERROR(Debt!U50,0)</f>
        <v>0</v>
      </c>
      <c r="R73" s="26"/>
      <c r="S73" s="26"/>
      <c r="T73" s="26"/>
      <c r="U73" s="26"/>
      <c r="V73" s="26"/>
      <c r="W73" s="26"/>
      <c r="X73" s="26"/>
      <c r="Y73" s="26"/>
      <c r="Z73" s="26"/>
    </row>
    <row r="74" spans="1:26" ht="15.75" customHeight="1">
      <c r="A74" s="245"/>
      <c r="B74" s="26"/>
      <c r="C74" s="26"/>
      <c r="D74" s="227"/>
      <c r="E74" s="227"/>
      <c r="F74" s="227"/>
      <c r="G74" s="227"/>
      <c r="H74" s="227"/>
      <c r="I74" s="227"/>
      <c r="J74" s="227"/>
      <c r="K74" s="227"/>
      <c r="L74" s="227"/>
      <c r="M74" s="227"/>
      <c r="N74" s="227"/>
      <c r="O74" s="227"/>
      <c r="P74" s="227"/>
      <c r="Q74" s="227"/>
      <c r="R74" s="26"/>
      <c r="S74" s="26"/>
      <c r="T74" s="26"/>
      <c r="U74" s="26"/>
      <c r="V74" s="26"/>
      <c r="W74" s="26"/>
      <c r="X74" s="26"/>
      <c r="Y74" s="26"/>
      <c r="Z74" s="26"/>
    </row>
    <row r="75" spans="1:26" ht="15.75" customHeight="1">
      <c r="A75" s="26"/>
      <c r="B75" s="26"/>
      <c r="C75" s="26"/>
      <c r="D75" s="165"/>
      <c r="E75" s="165"/>
      <c r="F75" s="165"/>
      <c r="G75" s="165"/>
      <c r="H75" s="165"/>
      <c r="I75" s="165"/>
      <c r="J75" s="165"/>
      <c r="K75" s="165"/>
      <c r="L75" s="165"/>
      <c r="M75" s="165"/>
      <c r="N75" s="165"/>
      <c r="O75" s="165"/>
      <c r="P75" s="165"/>
      <c r="Q75" s="165"/>
      <c r="R75" s="26"/>
      <c r="S75" s="26"/>
      <c r="T75" s="26"/>
      <c r="U75" s="26"/>
      <c r="V75" s="26"/>
      <c r="W75" s="26"/>
      <c r="X75" s="26"/>
      <c r="Y75" s="26"/>
      <c r="Z75" s="26"/>
    </row>
    <row r="76" spans="1:26" ht="15.75" customHeight="1">
      <c r="A76" s="26" t="s">
        <v>390</v>
      </c>
      <c r="B76" s="26"/>
      <c r="C76" s="26"/>
      <c r="D76" s="165">
        <f>D27+D64-D93+D36</f>
        <v>0</v>
      </c>
      <c r="E76" s="165">
        <f>E27+E64-E93+E36</f>
        <v>0</v>
      </c>
      <c r="F76" s="165">
        <f>F27+F64-F93+F36</f>
        <v>-20580525</v>
      </c>
      <c r="G76" s="165">
        <f>G27+G64-G93+G36</f>
        <v>9143626.5997075159</v>
      </c>
      <c r="H76" s="165">
        <f>H27+H64-H93+H36</f>
        <v>10208770.014453897</v>
      </c>
      <c r="I76" s="165">
        <f>I27+I64-I93+I36</f>
        <v>10667841.082212223</v>
      </c>
      <c r="J76" s="165">
        <f>J27+J64-J93+J36</f>
        <v>11527151.438783875</v>
      </c>
      <c r="K76" s="165">
        <f>K27+K64-K93+K36</f>
        <v>11800797.426747032</v>
      </c>
      <c r="L76" s="165">
        <f>L27+L64-L93+L36</f>
        <v>11509812.264045559</v>
      </c>
      <c r="M76" s="165">
        <f>M27+M64-M93+M36</f>
        <v>11553947.638578778</v>
      </c>
      <c r="N76" s="165">
        <f>N27+N64-N93+N36</f>
        <v>11760040.174562065</v>
      </c>
      <c r="O76" s="165">
        <f>O27+O64-O93+O36+O24</f>
        <v>11983056.529188737</v>
      </c>
      <c r="P76" s="165">
        <f>P27+P64-P93+P36+P24</f>
        <v>12128361.311953463</v>
      </c>
      <c r="Q76" s="165">
        <f>Q27+Q64-Q93+Q36+Q24</f>
        <v>111131989.3831263</v>
      </c>
      <c r="R76" s="26"/>
      <c r="S76" s="26"/>
      <c r="T76" s="26"/>
      <c r="U76" s="26"/>
      <c r="V76" s="26"/>
      <c r="W76" s="26"/>
      <c r="X76" s="26"/>
      <c r="Y76" s="26"/>
      <c r="Z76" s="26"/>
    </row>
    <row r="77" spans="1:26" ht="15.75" customHeight="1">
      <c r="A77" s="26" t="s">
        <v>391</v>
      </c>
      <c r="B77" s="26"/>
      <c r="C77" s="26"/>
      <c r="D77" s="165">
        <f>-D16</f>
        <v>0</v>
      </c>
      <c r="E77" s="165">
        <f>-E16</f>
        <v>0</v>
      </c>
      <c r="F77" s="165">
        <f>-F16</f>
        <v>-8970383.0899999999</v>
      </c>
      <c r="G77" s="165">
        <f>-G16</f>
        <v>0</v>
      </c>
      <c r="H77" s="165">
        <f>-H16</f>
        <v>0</v>
      </c>
      <c r="I77" s="165">
        <f>-I16</f>
        <v>0</v>
      </c>
      <c r="J77" s="165">
        <f>-J16</f>
        <v>0</v>
      </c>
      <c r="K77" s="165">
        <f>-K16</f>
        <v>0</v>
      </c>
      <c r="L77" s="165">
        <f>-L16</f>
        <v>0</v>
      </c>
      <c r="M77" s="165">
        <f>-M16</f>
        <v>0</v>
      </c>
      <c r="N77" s="165">
        <f>-N16</f>
        <v>0</v>
      </c>
      <c r="O77" s="165">
        <f>-O16+O24</f>
        <v>0</v>
      </c>
      <c r="P77" s="165">
        <f>-P16+P24</f>
        <v>0</v>
      </c>
      <c r="Q77" s="165">
        <f>-Q16+Q24</f>
        <v>97309398.795535132</v>
      </c>
      <c r="R77" s="26"/>
      <c r="S77" s="26"/>
      <c r="T77" s="26"/>
      <c r="U77" s="26"/>
      <c r="V77" s="26"/>
      <c r="W77" s="26"/>
      <c r="X77" s="26"/>
      <c r="Y77" s="26"/>
      <c r="Z77" s="26"/>
    </row>
    <row r="78" spans="1:26" ht="15.75" customHeight="1">
      <c r="A78" s="26"/>
      <c r="B78" s="26"/>
      <c r="C78" s="26"/>
      <c r="D78" s="180"/>
      <c r="E78" s="180"/>
      <c r="F78" s="180"/>
      <c r="G78" s="180"/>
      <c r="H78" s="180"/>
      <c r="I78" s="180"/>
      <c r="J78" s="180"/>
      <c r="K78" s="180"/>
      <c r="L78" s="180"/>
      <c r="M78" s="180"/>
      <c r="N78" s="180"/>
      <c r="O78" s="180"/>
      <c r="P78" s="180"/>
      <c r="Q78" s="180"/>
      <c r="R78" s="26"/>
      <c r="S78" s="26"/>
      <c r="T78" s="26"/>
      <c r="U78" s="26"/>
      <c r="V78" s="26"/>
      <c r="W78" s="26"/>
      <c r="X78" s="26"/>
      <c r="Y78" s="26"/>
      <c r="Z78" s="26"/>
    </row>
    <row r="79" spans="1:26" ht="15.75" customHeight="1">
      <c r="A79" s="26"/>
      <c r="B79" s="26"/>
      <c r="C79" s="26"/>
      <c r="D79" s="180"/>
      <c r="E79" s="180"/>
      <c r="F79" s="180"/>
      <c r="G79" s="180"/>
      <c r="H79" s="180"/>
      <c r="I79" s="180"/>
      <c r="J79" s="180"/>
      <c r="K79" s="180"/>
      <c r="L79" s="180"/>
      <c r="M79" s="180"/>
      <c r="N79" s="180"/>
      <c r="O79" s="180"/>
      <c r="P79" s="180"/>
      <c r="Q79" s="180"/>
      <c r="R79" s="26"/>
      <c r="S79" s="26"/>
      <c r="T79" s="26"/>
      <c r="U79" s="26"/>
      <c r="V79" s="26"/>
      <c r="W79" s="26"/>
      <c r="X79" s="26"/>
      <c r="Y79" s="26"/>
      <c r="Z79" s="26"/>
    </row>
    <row r="80" spans="1:26" ht="15.75" customHeight="1">
      <c r="A80" s="26" t="s">
        <v>392</v>
      </c>
      <c r="B80" s="26"/>
      <c r="C80" s="26"/>
      <c r="D80" s="180"/>
      <c r="E80" s="180"/>
      <c r="F80" s="180"/>
      <c r="G80" s="180"/>
      <c r="H80" s="180"/>
      <c r="I80" s="180"/>
      <c r="J80" s="180"/>
      <c r="K80" s="180"/>
      <c r="L80" s="180"/>
      <c r="M80" s="180"/>
      <c r="N80" s="180"/>
      <c r="O80" s="180"/>
      <c r="P80" s="180"/>
      <c r="Q80" s="180"/>
      <c r="R80" s="26"/>
      <c r="S80" s="26"/>
      <c r="T80" s="26"/>
      <c r="U80" s="26"/>
      <c r="V80" s="26"/>
      <c r="W80" s="26"/>
      <c r="X80" s="26"/>
      <c r="Y80" s="26"/>
      <c r="Z80" s="26"/>
    </row>
    <row r="81" spans="1:26" ht="15.75" customHeight="1">
      <c r="A81" s="26" t="s">
        <v>339</v>
      </c>
      <c r="B81" s="26"/>
      <c r="C81" s="26"/>
      <c r="D81" s="180" t="str">
        <f>D7</f>
        <v>FY25</v>
      </c>
      <c r="E81" s="180" t="str">
        <f>E7</f>
        <v>FY26</v>
      </c>
      <c r="F81" s="180" t="str">
        <f>F7</f>
        <v>FY27</v>
      </c>
      <c r="G81" s="180" t="str">
        <f>G7</f>
        <v>FY28</v>
      </c>
      <c r="H81" s="180" t="str">
        <f>H7</f>
        <v>FY29</v>
      </c>
      <c r="I81" s="180" t="str">
        <f>I7</f>
        <v>FY30</v>
      </c>
      <c r="J81" s="180" t="str">
        <f>J7</f>
        <v>FY31</v>
      </c>
      <c r="K81" s="180" t="str">
        <f>K7</f>
        <v>FY32</v>
      </c>
      <c r="L81" s="180" t="str">
        <f>L7</f>
        <v>FY33</v>
      </c>
      <c r="M81" s="180" t="str">
        <f>M7</f>
        <v>FY34</v>
      </c>
      <c r="N81" s="180" t="str">
        <f>N7</f>
        <v>FY35</v>
      </c>
      <c r="O81" s="180" t="str">
        <f>O7</f>
        <v>FY36</v>
      </c>
      <c r="P81" s="180" t="str">
        <f>P7</f>
        <v>FY37</v>
      </c>
      <c r="Q81" s="180" t="str">
        <f>Q7</f>
        <v>FY38</v>
      </c>
      <c r="R81" s="26"/>
      <c r="S81" s="26"/>
      <c r="T81" s="26"/>
      <c r="U81" s="26"/>
      <c r="V81" s="26"/>
      <c r="W81" s="26"/>
      <c r="X81" s="26"/>
      <c r="Y81" s="26"/>
      <c r="Z81" s="26"/>
    </row>
    <row r="82" spans="1:26" ht="15.75" customHeight="1">
      <c r="A82" s="26"/>
      <c r="B82" s="26"/>
      <c r="C82" s="26"/>
      <c r="D82" s="180"/>
      <c r="E82" s="180"/>
      <c r="F82" s="180"/>
      <c r="G82" s="180"/>
      <c r="H82" s="180"/>
      <c r="I82" s="180"/>
      <c r="J82" s="180"/>
      <c r="K82" s="180"/>
      <c r="L82" s="180"/>
      <c r="M82" s="180"/>
      <c r="N82" s="180"/>
      <c r="O82" s="180"/>
      <c r="P82" s="180"/>
      <c r="Q82" s="180"/>
      <c r="R82" s="26"/>
      <c r="S82" s="26"/>
      <c r="T82" s="26"/>
      <c r="U82" s="26"/>
      <c r="V82" s="26"/>
      <c r="W82" s="26"/>
      <c r="X82" s="26"/>
      <c r="Y82" s="26"/>
      <c r="Z82" s="26"/>
    </row>
    <row r="83" spans="1:26" ht="15.75" customHeight="1">
      <c r="C83" s="26"/>
      <c r="D83" s="180">
        <v>0</v>
      </c>
      <c r="E83" s="180">
        <f t="shared" ref="E83:Q83" si="25">D89</f>
        <v>0</v>
      </c>
      <c r="F83" s="180">
        <f t="shared" si="25"/>
        <v>0</v>
      </c>
      <c r="G83" s="180">
        <f t="shared" si="25"/>
        <v>8970383.0899999999</v>
      </c>
      <c r="H83" s="180">
        <f t="shared" si="25"/>
        <v>8970383.0899999999</v>
      </c>
      <c r="I83" s="180">
        <f t="shared" si="25"/>
        <v>8970383.0899999999</v>
      </c>
      <c r="J83" s="180">
        <f t="shared" si="25"/>
        <v>8970383.0899999999</v>
      </c>
      <c r="K83" s="180">
        <f t="shared" si="25"/>
        <v>8970383.0899999999</v>
      </c>
      <c r="L83" s="180">
        <f t="shared" si="25"/>
        <v>8970383.0899999999</v>
      </c>
      <c r="M83" s="180">
        <f t="shared" si="25"/>
        <v>8970383.0899999999</v>
      </c>
      <c r="N83" s="180">
        <f t="shared" si="25"/>
        <v>8970383.0899999999</v>
      </c>
      <c r="O83" s="180">
        <f t="shared" si="25"/>
        <v>8970383.0899999999</v>
      </c>
      <c r="P83" s="180">
        <f t="shared" si="25"/>
        <v>8970383.0899999999</v>
      </c>
      <c r="Q83" s="180">
        <f t="shared" si="25"/>
        <v>8970383.0899999999</v>
      </c>
      <c r="R83" s="26"/>
      <c r="S83" s="26"/>
      <c r="T83" s="26"/>
      <c r="U83" s="26"/>
      <c r="V83" s="26"/>
      <c r="W83" s="26"/>
      <c r="X83" s="26"/>
      <c r="Y83" s="26"/>
      <c r="Z83" s="26"/>
    </row>
    <row r="84" spans="1:26" ht="15.75" customHeight="1">
      <c r="C84" s="26"/>
      <c r="D84" s="180">
        <f>D13</f>
        <v>0</v>
      </c>
      <c r="E84" s="180">
        <f>E13</f>
        <v>0</v>
      </c>
      <c r="F84" s="180">
        <f>F13</f>
        <v>1500000</v>
      </c>
      <c r="G84" s="180">
        <f>G13</f>
        <v>0</v>
      </c>
      <c r="H84" s="180">
        <f>H13</f>
        <v>0</v>
      </c>
      <c r="I84" s="180">
        <f>I13</f>
        <v>0</v>
      </c>
      <c r="J84" s="180">
        <f>J13</f>
        <v>0</v>
      </c>
      <c r="K84" s="180">
        <f>K13</f>
        <v>0</v>
      </c>
      <c r="L84" s="180">
        <f>L13</f>
        <v>0</v>
      </c>
      <c r="M84" s="180">
        <f>M13</f>
        <v>0</v>
      </c>
      <c r="N84" s="180">
        <f>N13</f>
        <v>0</v>
      </c>
      <c r="O84" s="180">
        <f>O13</f>
        <v>0</v>
      </c>
      <c r="P84" s="180">
        <f>P13</f>
        <v>0</v>
      </c>
      <c r="Q84" s="180">
        <f>Q13</f>
        <v>0</v>
      </c>
      <c r="R84" s="26"/>
      <c r="S84" s="26"/>
      <c r="T84" s="26"/>
      <c r="U84" s="26"/>
      <c r="V84" s="26"/>
      <c r="W84" s="26"/>
      <c r="X84" s="26"/>
      <c r="Y84" s="26"/>
      <c r="Z84" s="26"/>
    </row>
    <row r="85" spans="1:26" ht="15.75" customHeight="1">
      <c r="C85" s="26"/>
      <c r="D85" s="180">
        <f>D14</f>
        <v>0</v>
      </c>
      <c r="E85" s="180">
        <f>E14</f>
        <v>0</v>
      </c>
      <c r="F85" s="180">
        <f>F14</f>
        <v>7470383.0899999999</v>
      </c>
      <c r="G85" s="180">
        <f>G14</f>
        <v>0</v>
      </c>
      <c r="H85" s="180">
        <f>H14</f>
        <v>0</v>
      </c>
      <c r="I85" s="180">
        <f>I14</f>
        <v>0</v>
      </c>
      <c r="J85" s="180">
        <f>J14</f>
        <v>0</v>
      </c>
      <c r="K85" s="180">
        <f>K14</f>
        <v>0</v>
      </c>
      <c r="L85" s="180">
        <f>L14</f>
        <v>0</v>
      </c>
      <c r="M85" s="180">
        <f>M14</f>
        <v>0</v>
      </c>
      <c r="N85" s="180">
        <f>N14</f>
        <v>0</v>
      </c>
      <c r="O85" s="180">
        <f>O14</f>
        <v>0</v>
      </c>
      <c r="P85" s="180">
        <f>P14</f>
        <v>0</v>
      </c>
      <c r="Q85" s="180">
        <f>Q14</f>
        <v>0</v>
      </c>
      <c r="R85" s="26"/>
      <c r="S85" s="26"/>
      <c r="T85" s="26"/>
      <c r="U85" s="26"/>
      <c r="V85" s="26"/>
      <c r="W85" s="26"/>
      <c r="X85" s="26"/>
      <c r="Y85" s="26"/>
      <c r="Z85" s="26"/>
    </row>
    <row r="86" spans="1:26" ht="15.75" customHeight="1">
      <c r="C86" s="26"/>
      <c r="D86" s="180">
        <f>D15</f>
        <v>0</v>
      </c>
      <c r="E86" s="180">
        <f>E15</f>
        <v>0</v>
      </c>
      <c r="F86" s="180">
        <f>F15</f>
        <v>0</v>
      </c>
      <c r="G86" s="180">
        <f>G15</f>
        <v>0</v>
      </c>
      <c r="H86" s="180">
        <f>H15</f>
        <v>0</v>
      </c>
      <c r="I86" s="180">
        <f>I15</f>
        <v>0</v>
      </c>
      <c r="J86" s="180">
        <f>J15</f>
        <v>0</v>
      </c>
      <c r="K86" s="180">
        <f>K15</f>
        <v>0</v>
      </c>
      <c r="L86" s="180">
        <f>L15</f>
        <v>0</v>
      </c>
      <c r="M86" s="180">
        <f>M15</f>
        <v>0</v>
      </c>
      <c r="N86" s="180">
        <f>N15</f>
        <v>0</v>
      </c>
      <c r="O86" s="180">
        <f>O15</f>
        <v>0</v>
      </c>
      <c r="P86" s="180">
        <f>P15</f>
        <v>0</v>
      </c>
      <c r="Q86" s="180">
        <f>Q15</f>
        <v>0</v>
      </c>
      <c r="R86" s="26"/>
      <c r="S86" s="26"/>
      <c r="T86" s="26"/>
      <c r="U86" s="26"/>
      <c r="V86" s="26"/>
      <c r="W86" s="26"/>
      <c r="X86" s="26"/>
      <c r="Y86" s="26"/>
      <c r="Z86" s="26"/>
    </row>
    <row r="87" spans="1:26" ht="15.75" customHeight="1">
      <c r="A87" s="26" t="s">
        <v>393</v>
      </c>
      <c r="B87" s="26"/>
      <c r="C87" s="26"/>
      <c r="D87" s="180">
        <f t="shared" ref="D87:Q87" si="26">D84+D85+D86</f>
        <v>0</v>
      </c>
      <c r="E87" s="180">
        <f t="shared" si="26"/>
        <v>0</v>
      </c>
      <c r="F87" s="180">
        <f t="shared" si="26"/>
        <v>8970383.0899999999</v>
      </c>
      <c r="G87" s="180">
        <f t="shared" si="26"/>
        <v>0</v>
      </c>
      <c r="H87" s="180">
        <f t="shared" si="26"/>
        <v>0</v>
      </c>
      <c r="I87" s="180">
        <f t="shared" si="26"/>
        <v>0</v>
      </c>
      <c r="J87" s="180">
        <f t="shared" si="26"/>
        <v>0</v>
      </c>
      <c r="K87" s="180">
        <f t="shared" si="26"/>
        <v>0</v>
      </c>
      <c r="L87" s="180">
        <f t="shared" si="26"/>
        <v>0</v>
      </c>
      <c r="M87" s="180">
        <f t="shared" si="26"/>
        <v>0</v>
      </c>
      <c r="N87" s="180">
        <f t="shared" si="26"/>
        <v>0</v>
      </c>
      <c r="O87" s="180">
        <f t="shared" si="26"/>
        <v>0</v>
      </c>
      <c r="P87" s="180">
        <f t="shared" si="26"/>
        <v>0</v>
      </c>
      <c r="Q87" s="180">
        <f t="shared" si="26"/>
        <v>0</v>
      </c>
      <c r="R87" s="26"/>
      <c r="S87" s="26"/>
      <c r="T87" s="26"/>
      <c r="U87" s="26"/>
      <c r="V87" s="26"/>
      <c r="W87" s="26"/>
      <c r="X87" s="26"/>
      <c r="Y87" s="26"/>
      <c r="Z87" s="26"/>
    </row>
    <row r="88" spans="1:26" ht="15.75" customHeight="1">
      <c r="A88" s="26" t="s">
        <v>394</v>
      </c>
      <c r="B88" s="26"/>
      <c r="C88" s="26"/>
      <c r="D88" s="180">
        <v>0</v>
      </c>
      <c r="E88" s="180">
        <v>0</v>
      </c>
      <c r="F88" s="180">
        <v>0</v>
      </c>
      <c r="G88" s="180">
        <v>0</v>
      </c>
      <c r="H88" s="180">
        <v>0</v>
      </c>
      <c r="I88" s="180">
        <v>0</v>
      </c>
      <c r="J88" s="180">
        <v>0</v>
      </c>
      <c r="K88" s="180">
        <v>0</v>
      </c>
      <c r="L88" s="180">
        <v>0</v>
      </c>
      <c r="M88" s="180">
        <v>0</v>
      </c>
      <c r="N88" s="180">
        <v>0</v>
      </c>
      <c r="O88" s="180">
        <v>0</v>
      </c>
      <c r="P88" s="180">
        <v>0</v>
      </c>
      <c r="Q88" s="180">
        <v>0</v>
      </c>
      <c r="R88" s="26"/>
      <c r="S88" s="26"/>
      <c r="T88" s="26"/>
      <c r="U88" s="26"/>
      <c r="V88" s="26"/>
      <c r="W88" s="26"/>
      <c r="X88" s="26"/>
      <c r="Y88" s="26"/>
      <c r="Z88" s="26"/>
    </row>
    <row r="89" spans="1:26" ht="15.75" customHeight="1">
      <c r="A89" s="26" t="s">
        <v>395</v>
      </c>
      <c r="B89" s="26"/>
      <c r="C89" s="26"/>
      <c r="D89" s="180">
        <f t="shared" ref="D89:Q89" si="27">D83+D87+D88</f>
        <v>0</v>
      </c>
      <c r="E89" s="180">
        <f t="shared" si="27"/>
        <v>0</v>
      </c>
      <c r="F89" s="180">
        <f t="shared" si="27"/>
        <v>8970383.0899999999</v>
      </c>
      <c r="G89" s="180">
        <f t="shared" si="27"/>
        <v>8970383.0899999999</v>
      </c>
      <c r="H89" s="180">
        <f t="shared" si="27"/>
        <v>8970383.0899999999</v>
      </c>
      <c r="I89" s="180">
        <f t="shared" si="27"/>
        <v>8970383.0899999999</v>
      </c>
      <c r="J89" s="180">
        <f t="shared" si="27"/>
        <v>8970383.0899999999</v>
      </c>
      <c r="K89" s="180">
        <f t="shared" si="27"/>
        <v>8970383.0899999999</v>
      </c>
      <c r="L89" s="180">
        <f t="shared" si="27"/>
        <v>8970383.0899999999</v>
      </c>
      <c r="M89" s="180">
        <f t="shared" si="27"/>
        <v>8970383.0899999999</v>
      </c>
      <c r="N89" s="180">
        <f t="shared" si="27"/>
        <v>8970383.0899999999</v>
      </c>
      <c r="O89" s="180">
        <f t="shared" si="27"/>
        <v>8970383.0899999999</v>
      </c>
      <c r="P89" s="180">
        <f t="shared" si="27"/>
        <v>8970383.0899999999</v>
      </c>
      <c r="Q89" s="180">
        <f t="shared" si="27"/>
        <v>8970383.0899999999</v>
      </c>
      <c r="R89" s="26"/>
      <c r="S89" s="26"/>
      <c r="T89" s="26"/>
      <c r="U89" s="26"/>
      <c r="V89" s="26"/>
      <c r="W89" s="26"/>
      <c r="X89" s="26"/>
      <c r="Y89" s="26"/>
      <c r="Z89" s="26"/>
    </row>
    <row r="90" spans="1:26" ht="15.75" customHeight="1">
      <c r="A90" s="26"/>
      <c r="B90" s="26"/>
      <c r="C90" s="26"/>
      <c r="D90" s="180"/>
      <c r="E90" s="180"/>
      <c r="F90" s="180"/>
      <c r="G90" s="180"/>
      <c r="H90" s="180"/>
      <c r="I90" s="180"/>
      <c r="J90" s="180"/>
      <c r="K90" s="180"/>
      <c r="L90" s="180"/>
      <c r="M90" s="180"/>
      <c r="N90" s="180"/>
      <c r="O90" s="180"/>
      <c r="P90" s="180"/>
      <c r="Q90" s="180"/>
      <c r="R90" s="26"/>
      <c r="S90" s="26"/>
      <c r="T90" s="26"/>
      <c r="U90" s="26"/>
      <c r="V90" s="26"/>
      <c r="W90" s="26"/>
      <c r="X90" s="26"/>
      <c r="Y90" s="26"/>
      <c r="Z90" s="26"/>
    </row>
    <row r="91" spans="1:26" ht="15.75" customHeight="1">
      <c r="A91" s="26" t="s">
        <v>396</v>
      </c>
      <c r="B91" s="26"/>
      <c r="C91" s="26"/>
      <c r="D91" s="180">
        <f t="shared" ref="D91:Q91" si="28">D89</f>
        <v>0</v>
      </c>
      <c r="E91" s="180">
        <f t="shared" si="28"/>
        <v>0</v>
      </c>
      <c r="F91" s="180">
        <f t="shared" si="28"/>
        <v>8970383.0899999999</v>
      </c>
      <c r="G91" s="180">
        <f t="shared" si="28"/>
        <v>8970383.0899999999</v>
      </c>
      <c r="H91" s="180">
        <f t="shared" si="28"/>
        <v>8970383.0899999999</v>
      </c>
      <c r="I91" s="180">
        <f t="shared" si="28"/>
        <v>8970383.0899999999</v>
      </c>
      <c r="J91" s="180">
        <f t="shared" si="28"/>
        <v>8970383.0899999999</v>
      </c>
      <c r="K91" s="180">
        <f t="shared" si="28"/>
        <v>8970383.0899999999</v>
      </c>
      <c r="L91" s="180">
        <f t="shared" si="28"/>
        <v>8970383.0899999999</v>
      </c>
      <c r="M91" s="180">
        <f t="shared" si="28"/>
        <v>8970383.0899999999</v>
      </c>
      <c r="N91" s="180">
        <f t="shared" si="28"/>
        <v>8970383.0899999999</v>
      </c>
      <c r="O91" s="180">
        <f t="shared" si="28"/>
        <v>8970383.0899999999</v>
      </c>
      <c r="P91" s="180">
        <f t="shared" si="28"/>
        <v>8970383.0899999999</v>
      </c>
      <c r="Q91" s="180">
        <f t="shared" si="28"/>
        <v>8970383.0899999999</v>
      </c>
      <c r="R91" s="26"/>
      <c r="S91" s="26"/>
      <c r="T91" s="26"/>
      <c r="U91" s="26"/>
      <c r="V91" s="26"/>
      <c r="W91" s="26"/>
      <c r="X91" s="26"/>
      <c r="Y91" s="26"/>
      <c r="Z91" s="26"/>
    </row>
    <row r="92" spans="1:26" ht="15.75" customHeight="1"/>
    <row r="93" spans="1:26" ht="15.75" customHeight="1"/>
    <row r="94" spans="1:26" ht="15.75" customHeight="1"/>
    <row r="95" spans="1:26" ht="15.75" customHeight="1"/>
    <row r="96" spans="1:2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conditionalFormatting sqref="D39:Q40">
    <cfRule type="notContainsBlanks" dxfId="7" priority="1">
      <formula>LEN(TRIM(D39))&gt;0</formula>
    </cfRule>
    <cfRule type="cellIs" dxfId="6" priority="2" operator="greaterThan">
      <formula>0</formula>
    </cfRule>
    <cfRule type="cellIs" dxfId="5" priority="3" operator="lessThan">
      <formula>0</formula>
    </cfRule>
  </conditionalFormatting>
  <pageMargins left="0.25" right="0.25" top="0.35" bottom="0.35" header="0" footer="0"/>
  <pageSetup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6E0B4"/>
    <pageSetUpPr fitToPage="1"/>
  </sheetPr>
  <dimension ref="A1:Z1005"/>
  <sheetViews>
    <sheetView showGridLines="0" workbookViewId="0">
      <pane xSplit="3" ySplit="6" topLeftCell="D7" activePane="bottomRight" state="frozen"/>
      <selection pane="topRight" activeCell="D1" sqref="D1"/>
      <selection pane="bottomLeft" activeCell="A7" sqref="A7"/>
      <selection pane="bottomRight" activeCell="D7" sqref="D7"/>
    </sheetView>
  </sheetViews>
  <sheetFormatPr defaultColWidth="12.6328125" defaultRowHeight="15" customHeight="1"/>
  <cols>
    <col min="1" max="1" width="17.90625" customWidth="1"/>
    <col min="2" max="2" width="7.90625" customWidth="1"/>
    <col min="3" max="3" width="33.36328125" customWidth="1"/>
    <col min="4" max="4" width="14" customWidth="1"/>
    <col min="5" max="5" width="1.7265625" customWidth="1"/>
    <col min="6" max="6" width="13" customWidth="1"/>
    <col min="7" max="7" width="10.08984375" hidden="1" customWidth="1"/>
    <col min="8" max="8" width="20.453125" customWidth="1"/>
    <col min="10" max="19" width="13.90625" customWidth="1"/>
    <col min="20" max="20" width="11.7265625" customWidth="1"/>
    <col min="21" max="26" width="8.90625" customWidth="1"/>
  </cols>
  <sheetData>
    <row r="1" spans="1:20" ht="24" customHeight="1">
      <c r="A1" s="220" t="s">
        <v>397</v>
      </c>
      <c r="B1" s="137"/>
      <c r="C1" s="137"/>
      <c r="D1" s="137"/>
      <c r="E1" s="137"/>
      <c r="F1" s="137"/>
      <c r="G1" s="137"/>
      <c r="H1" s="137"/>
      <c r="I1" s="137"/>
      <c r="J1" s="137"/>
      <c r="K1" s="137"/>
      <c r="L1" s="137"/>
      <c r="M1" s="137"/>
      <c r="N1" s="137"/>
      <c r="O1" s="137"/>
      <c r="P1" s="137"/>
      <c r="Q1" s="137"/>
      <c r="R1" s="137"/>
      <c r="S1" s="137"/>
      <c r="T1" s="137"/>
    </row>
    <row r="2" spans="1:20" ht="16.5" customHeight="1">
      <c r="A2" s="139" t="s">
        <v>334</v>
      </c>
      <c r="B2" s="139"/>
      <c r="C2" s="139"/>
      <c r="D2" s="139"/>
      <c r="E2" s="139"/>
      <c r="F2" s="139"/>
      <c r="G2" s="139"/>
      <c r="H2" s="139"/>
      <c r="I2" s="139"/>
      <c r="J2" s="139"/>
      <c r="K2" s="139"/>
      <c r="L2" s="139"/>
      <c r="M2" s="139"/>
      <c r="N2" s="139"/>
      <c r="O2" s="139"/>
      <c r="P2" s="139"/>
      <c r="Q2" s="139"/>
      <c r="R2" s="139"/>
      <c r="S2" s="139"/>
      <c r="T2" s="139"/>
    </row>
    <row r="3" spans="1:20" ht="24" hidden="1" customHeight="1">
      <c r="A3" s="147"/>
      <c r="B3" s="246"/>
      <c r="C3" s="246"/>
      <c r="D3" s="246"/>
      <c r="E3" s="246"/>
      <c r="F3" s="246"/>
      <c r="G3" s="246"/>
      <c r="H3" s="246"/>
      <c r="I3" s="246"/>
      <c r="J3" s="246"/>
      <c r="K3" s="246"/>
      <c r="L3" s="246"/>
      <c r="M3" s="246"/>
      <c r="N3" s="246"/>
      <c r="O3" s="246"/>
      <c r="P3" s="246"/>
      <c r="Q3" s="246"/>
      <c r="R3" s="246"/>
      <c r="S3" s="246"/>
    </row>
    <row r="4" spans="1:20" ht="15" customHeight="1">
      <c r="A4" s="247"/>
      <c r="B4" s="247"/>
      <c r="C4" s="26"/>
      <c r="D4" s="247"/>
      <c r="E4" s="247"/>
      <c r="F4" s="248" t="s">
        <v>398</v>
      </c>
      <c r="G4" s="249">
        <v>45689</v>
      </c>
      <c r="H4" s="249">
        <f t="shared" ref="H4:T4" si="0">G5+1</f>
        <v>45839</v>
      </c>
      <c r="I4" s="249">
        <f t="shared" si="0"/>
        <v>46204</v>
      </c>
      <c r="J4" s="249">
        <f t="shared" si="0"/>
        <v>46569</v>
      </c>
      <c r="K4" s="249">
        <f t="shared" si="0"/>
        <v>46935</v>
      </c>
      <c r="L4" s="249">
        <f t="shared" si="0"/>
        <v>47300</v>
      </c>
      <c r="M4" s="249">
        <f t="shared" si="0"/>
        <v>47665</v>
      </c>
      <c r="N4" s="249">
        <f t="shared" si="0"/>
        <v>48030</v>
      </c>
      <c r="O4" s="249">
        <f t="shared" si="0"/>
        <v>48396</v>
      </c>
      <c r="P4" s="249">
        <f t="shared" si="0"/>
        <v>48761</v>
      </c>
      <c r="Q4" s="249">
        <f t="shared" si="0"/>
        <v>49126</v>
      </c>
      <c r="R4" s="249">
        <f t="shared" si="0"/>
        <v>49491</v>
      </c>
      <c r="S4" s="249">
        <f t="shared" si="0"/>
        <v>49857</v>
      </c>
      <c r="T4" s="249">
        <f t="shared" si="0"/>
        <v>50222</v>
      </c>
    </row>
    <row r="5" spans="1:20" ht="18" customHeight="1">
      <c r="A5" s="247"/>
      <c r="B5" s="247"/>
      <c r="C5" s="26"/>
      <c r="D5" s="247"/>
      <c r="E5" s="247"/>
      <c r="F5" s="248" t="s">
        <v>399</v>
      </c>
      <c r="G5" s="249">
        <f t="shared" ref="G5:T5" si="1">DATE(YEAR(G4) + (MONTH(G4)&gt;=7), 6, 30)</f>
        <v>45838</v>
      </c>
      <c r="H5" s="249">
        <f t="shared" si="1"/>
        <v>46203</v>
      </c>
      <c r="I5" s="249">
        <f t="shared" si="1"/>
        <v>46568</v>
      </c>
      <c r="J5" s="249">
        <f t="shared" si="1"/>
        <v>46934</v>
      </c>
      <c r="K5" s="249">
        <f t="shared" si="1"/>
        <v>47299</v>
      </c>
      <c r="L5" s="249">
        <f t="shared" si="1"/>
        <v>47664</v>
      </c>
      <c r="M5" s="249">
        <f t="shared" si="1"/>
        <v>48029</v>
      </c>
      <c r="N5" s="249">
        <f t="shared" si="1"/>
        <v>48395</v>
      </c>
      <c r="O5" s="249">
        <f t="shared" si="1"/>
        <v>48760</v>
      </c>
      <c r="P5" s="249">
        <f t="shared" si="1"/>
        <v>49125</v>
      </c>
      <c r="Q5" s="249">
        <f t="shared" si="1"/>
        <v>49490</v>
      </c>
      <c r="R5" s="249">
        <f t="shared" si="1"/>
        <v>49856</v>
      </c>
      <c r="S5" s="249">
        <f t="shared" si="1"/>
        <v>50221</v>
      </c>
      <c r="T5" s="249">
        <f t="shared" si="1"/>
        <v>50586</v>
      </c>
    </row>
    <row r="6" spans="1:20" ht="18" customHeight="1">
      <c r="A6" s="247"/>
      <c r="B6" s="247"/>
      <c r="C6" s="26"/>
      <c r="D6" s="247"/>
      <c r="E6" s="247"/>
      <c r="F6" s="248" t="s">
        <v>339</v>
      </c>
      <c r="G6" s="249" t="str">
        <f t="shared" ref="G6:T6" si="2">"FY"&amp;RIGHT(YEAR(G5)+(MONTH(G5)&gt;6),2)</f>
        <v>FY25</v>
      </c>
      <c r="H6" s="249" t="str">
        <f t="shared" si="2"/>
        <v>FY26</v>
      </c>
      <c r="I6" s="249" t="str">
        <f t="shared" si="2"/>
        <v>FY27</v>
      </c>
      <c r="J6" s="249" t="str">
        <f t="shared" si="2"/>
        <v>FY28</v>
      </c>
      <c r="K6" s="249" t="str">
        <f t="shared" si="2"/>
        <v>FY29</v>
      </c>
      <c r="L6" s="249" t="str">
        <f t="shared" si="2"/>
        <v>FY30</v>
      </c>
      <c r="M6" s="249" t="str">
        <f t="shared" si="2"/>
        <v>FY31</v>
      </c>
      <c r="N6" s="249" t="str">
        <f t="shared" si="2"/>
        <v>FY32</v>
      </c>
      <c r="O6" s="249" t="str">
        <f t="shared" si="2"/>
        <v>FY33</v>
      </c>
      <c r="P6" s="249" t="str">
        <f t="shared" si="2"/>
        <v>FY34</v>
      </c>
      <c r="Q6" s="249" t="str">
        <f t="shared" si="2"/>
        <v>FY35</v>
      </c>
      <c r="R6" s="249" t="str">
        <f t="shared" si="2"/>
        <v>FY36</v>
      </c>
      <c r="S6" s="249" t="str">
        <f t="shared" si="2"/>
        <v>FY37</v>
      </c>
      <c r="T6" s="249" t="str">
        <f t="shared" si="2"/>
        <v>FY38</v>
      </c>
    </row>
    <row r="7" spans="1:20" ht="15" customHeight="1">
      <c r="A7" s="26"/>
      <c r="B7" s="26"/>
      <c r="C7" s="26"/>
      <c r="D7" s="26"/>
      <c r="E7" s="26"/>
      <c r="F7" s="26"/>
      <c r="G7" s="165"/>
      <c r="H7" s="165"/>
      <c r="I7" s="165"/>
      <c r="J7" s="165"/>
      <c r="K7" s="165"/>
      <c r="L7" s="165"/>
      <c r="M7" s="165"/>
      <c r="N7" s="165"/>
      <c r="O7" s="165"/>
      <c r="P7" s="165"/>
      <c r="Q7" s="165"/>
      <c r="R7" s="165"/>
      <c r="S7" s="165"/>
      <c r="T7" s="165"/>
    </row>
    <row r="8" spans="1:20" ht="15" customHeight="1">
      <c r="A8" s="26"/>
      <c r="B8" s="26"/>
      <c r="C8" s="140" t="s">
        <v>400</v>
      </c>
      <c r="D8" s="249">
        <f>Inputs!E22</f>
        <v>46569</v>
      </c>
      <c r="E8" s="26"/>
      <c r="F8" s="26"/>
      <c r="G8" s="165">
        <f t="shared" ref="G8:T8" si="3">IF(G$5&gt;$D$8,1,0)</f>
        <v>0</v>
      </c>
      <c r="H8" s="250">
        <f t="shared" si="3"/>
        <v>0</v>
      </c>
      <c r="I8" s="250">
        <f t="shared" si="3"/>
        <v>0</v>
      </c>
      <c r="J8" s="250">
        <f t="shared" si="3"/>
        <v>1</v>
      </c>
      <c r="K8" s="250">
        <f t="shared" si="3"/>
        <v>1</v>
      </c>
      <c r="L8" s="250">
        <f t="shared" si="3"/>
        <v>1</v>
      </c>
      <c r="M8" s="250">
        <f t="shared" si="3"/>
        <v>1</v>
      </c>
      <c r="N8" s="250">
        <f t="shared" si="3"/>
        <v>1</v>
      </c>
      <c r="O8" s="250">
        <f t="shared" si="3"/>
        <v>1</v>
      </c>
      <c r="P8" s="250">
        <f t="shared" si="3"/>
        <v>1</v>
      </c>
      <c r="Q8" s="250">
        <f t="shared" si="3"/>
        <v>1</v>
      </c>
      <c r="R8" s="250">
        <f t="shared" si="3"/>
        <v>1</v>
      </c>
      <c r="S8" s="250">
        <f t="shared" si="3"/>
        <v>1</v>
      </c>
      <c r="T8" s="250">
        <f t="shared" si="3"/>
        <v>1</v>
      </c>
    </row>
    <row r="9" spans="1:20" ht="15" customHeight="1">
      <c r="A9" s="26"/>
      <c r="B9" s="26"/>
      <c r="C9" s="140" t="s">
        <v>401</v>
      </c>
      <c r="D9" s="249">
        <f>Inputs!E18</f>
        <v>46420</v>
      </c>
      <c r="E9" s="26"/>
      <c r="F9" s="26"/>
      <c r="G9" s="165">
        <f t="shared" ref="G9:T9" si="4">IF(G8=1,0,IF(AND(G$5&gt;=$D$9,G$5&lt;=$D$10),1,0))</f>
        <v>0</v>
      </c>
      <c r="H9" s="250">
        <f t="shared" si="4"/>
        <v>0</v>
      </c>
      <c r="I9" s="250">
        <f t="shared" si="4"/>
        <v>1</v>
      </c>
      <c r="J9" s="250">
        <f t="shared" si="4"/>
        <v>0</v>
      </c>
      <c r="K9" s="250">
        <f t="shared" si="4"/>
        <v>0</v>
      </c>
      <c r="L9" s="250">
        <f t="shared" si="4"/>
        <v>0</v>
      </c>
      <c r="M9" s="250">
        <f t="shared" si="4"/>
        <v>0</v>
      </c>
      <c r="N9" s="250">
        <f t="shared" si="4"/>
        <v>0</v>
      </c>
      <c r="O9" s="250">
        <f t="shared" si="4"/>
        <v>0</v>
      </c>
      <c r="P9" s="250">
        <f t="shared" si="4"/>
        <v>0</v>
      </c>
      <c r="Q9" s="250">
        <f t="shared" si="4"/>
        <v>0</v>
      </c>
      <c r="R9" s="250">
        <f t="shared" si="4"/>
        <v>0</v>
      </c>
      <c r="S9" s="250">
        <f t="shared" si="4"/>
        <v>0</v>
      </c>
      <c r="T9" s="250">
        <f t="shared" si="4"/>
        <v>0</v>
      </c>
    </row>
    <row r="10" spans="1:20" ht="15" customHeight="1">
      <c r="A10" s="26"/>
      <c r="B10" s="26"/>
      <c r="C10" s="140" t="str">
        <f>Inputs!D17</f>
        <v>Date</v>
      </c>
      <c r="D10" s="249">
        <f>Inputs!E19</f>
        <v>46568</v>
      </c>
      <c r="E10" s="26"/>
      <c r="F10" s="26"/>
      <c r="G10" s="165"/>
      <c r="H10" s="250"/>
      <c r="I10" s="250"/>
      <c r="J10" s="250"/>
      <c r="K10" s="250"/>
      <c r="L10" s="250"/>
      <c r="M10" s="250"/>
      <c r="N10" s="250"/>
      <c r="O10" s="250"/>
      <c r="P10" s="250"/>
      <c r="Q10" s="250"/>
      <c r="R10" s="250"/>
      <c r="S10" s="250"/>
      <c r="T10" s="250"/>
    </row>
    <row r="11" spans="1:20" ht="15" customHeight="1">
      <c r="A11" s="26"/>
      <c r="B11" s="26"/>
      <c r="C11" s="26"/>
      <c r="D11" s="26"/>
      <c r="E11" s="26"/>
      <c r="F11" s="26"/>
      <c r="G11" s="165"/>
      <c r="H11" s="165"/>
      <c r="I11" s="165"/>
      <c r="J11" s="165"/>
      <c r="K11" s="165"/>
      <c r="L11" s="165"/>
      <c r="M11" s="165"/>
      <c r="N11" s="165"/>
      <c r="O11" s="165"/>
      <c r="P11" s="165"/>
      <c r="Q11" s="165"/>
      <c r="R11" s="165"/>
      <c r="S11" s="165"/>
      <c r="T11" s="165"/>
    </row>
    <row r="12" spans="1:20" ht="15" customHeight="1">
      <c r="A12" s="26"/>
      <c r="B12" s="251" t="s">
        <v>402</v>
      </c>
      <c r="C12" s="26"/>
      <c r="D12" s="26"/>
      <c r="E12" s="26"/>
      <c r="F12" s="26"/>
      <c r="G12" s="165"/>
      <c r="H12" s="165"/>
      <c r="I12" s="165"/>
      <c r="J12" s="165"/>
      <c r="K12" s="165"/>
      <c r="L12" s="165"/>
      <c r="M12" s="165"/>
      <c r="N12" s="165"/>
      <c r="O12" s="165"/>
      <c r="P12" s="252"/>
      <c r="Q12" s="252"/>
      <c r="R12" s="252"/>
      <c r="S12" s="165"/>
      <c r="T12" s="165"/>
    </row>
    <row r="13" spans="1:20" ht="15" customHeight="1">
      <c r="A13" s="26"/>
      <c r="B13" s="26"/>
      <c r="C13" s="140" t="s">
        <v>403</v>
      </c>
      <c r="D13" s="26"/>
      <c r="E13" s="26"/>
      <c r="F13" s="26"/>
      <c r="G13" s="165"/>
      <c r="H13" s="165"/>
      <c r="I13" s="165"/>
      <c r="J13" s="165"/>
      <c r="K13" s="165"/>
      <c r="L13" s="165"/>
      <c r="M13" s="165"/>
      <c r="N13" s="165"/>
      <c r="O13" s="165"/>
      <c r="P13" s="165"/>
      <c r="Q13" s="165"/>
      <c r="R13" s="165"/>
      <c r="S13" s="165"/>
      <c r="T13" s="165"/>
    </row>
    <row r="14" spans="1:20" ht="15" customHeight="1">
      <c r="A14" s="26"/>
      <c r="B14" s="26"/>
      <c r="C14" s="140" t="s">
        <v>281</v>
      </c>
      <c r="D14" s="253"/>
      <c r="E14" s="26"/>
      <c r="F14" s="26"/>
      <c r="G14" s="180"/>
      <c r="H14" s="180">
        <f t="array" ref="H14">(IF(H8=1,INDEX('Revenue Assumptions'!$F$93:$P$93,MATCH((2000+VALUE(RIGHT(H$6,2))),'Revenue Assumptions'!$F$34:$P$34,0))*Scenarios!$B$6,0))</f>
        <v>0</v>
      </c>
      <c r="I14" s="180">
        <f t="array" ref="I14">(IF(I8=1,INDEX('Revenue Assumptions'!$F$93:$P$93,MATCH((2000+VALUE(RIGHT(I$6,2))),'Revenue Assumptions'!$F$34:$P$34,0))*Scenarios!$B$6,0))</f>
        <v>0</v>
      </c>
      <c r="J14" s="180">
        <f>'Revenue Assumptions'!F108*Scenarios!$B$6</f>
        <v>5143660.7649999997</v>
      </c>
      <c r="K14" s="180">
        <f>'Revenue Assumptions'!G108*Scenarios!$B$6</f>
        <v>5410441.4719400005</v>
      </c>
      <c r="L14" s="180">
        <f>'Revenue Assumptions'!H108*Scenarios!$B$6</f>
        <v>5688599.726607901</v>
      </c>
      <c r="M14" s="180">
        <f>'Revenue Assumptions'!I108*Scenarios!$B$6</f>
        <v>6280018.9907890018</v>
      </c>
      <c r="N14" s="180">
        <f>'Revenue Assumptions'!J108*Scenarios!$B$6</f>
        <v>6468419.5605126703</v>
      </c>
      <c r="O14" s="180">
        <f>'Revenue Assumptions'!K108*Scenarios!$B$6</f>
        <v>6662472.1473280489</v>
      </c>
      <c r="P14" s="180">
        <f>'Revenue Assumptions'!L108*Scenarios!$B$6</f>
        <v>6862346.3117478909</v>
      </c>
      <c r="Q14" s="180">
        <f>'Revenue Assumptions'!M108*Scenarios!$B$6</f>
        <v>7068216.7011003289</v>
      </c>
      <c r="R14" s="180">
        <f>'Revenue Assumptions'!N108*Scenarios!$B$6</f>
        <v>7280263.2021333389</v>
      </c>
      <c r="S14" s="180">
        <f>'Revenue Assumptions'!O108*Scenarios!$B$6</f>
        <v>7498671.0981973391</v>
      </c>
      <c r="T14" s="180">
        <f>'Revenue Assumptions'!P108*Scenarios!$B$6</f>
        <v>7723631.2311432613</v>
      </c>
    </row>
    <row r="15" spans="1:20" ht="15" customHeight="1">
      <c r="A15" s="26"/>
      <c r="B15" s="26"/>
      <c r="C15" s="140" t="s">
        <v>283</v>
      </c>
      <c r="D15" s="253"/>
      <c r="E15" s="26"/>
      <c r="F15" s="26"/>
      <c r="G15" s="180"/>
      <c r="H15" s="180">
        <f t="array" ref="H15">(IF(H8=1,INDEX('Revenue Assumptions'!$F$124:$P$124,MATCH((2000+VALUE(RIGHT(H$6,2))),'Revenue Assumptions'!$F$34:$P$34,0))*Scenarios!$B$6,0))</f>
        <v>0</v>
      </c>
      <c r="I15" s="180">
        <f t="array" ref="I15">(IF(I8=1,INDEX('Revenue Assumptions'!$F$124:$P$124,MATCH((2000+VALUE(RIGHT(I$6,2))),'Revenue Assumptions'!$F$34:$P$34,0))*Scenarios!$B$6,0))</f>
        <v>0</v>
      </c>
      <c r="J15" s="180">
        <f>'Revenue Assumptions'!F124*Scenarios!$B$6</f>
        <v>722399.25</v>
      </c>
      <c r="K15" s="180">
        <f>'Revenue Assumptions'!G124*Scenarios!$B$6</f>
        <v>759867.15300000005</v>
      </c>
      <c r="L15" s="180">
        <f>'Revenue Assumptions'!H124*Scenarios!$B$6</f>
        <v>798932.97085499985</v>
      </c>
      <c r="M15" s="180">
        <f>'Revenue Assumptions'!I124*Scenarios!$B$6</f>
        <v>881994.59804999991</v>
      </c>
      <c r="N15" s="180">
        <f>'Revenue Assumptions'!J124*Scenarios!$B$6</f>
        <v>908454.43599150004</v>
      </c>
      <c r="O15" s="180">
        <f>'Revenue Assumptions'!K124*Scenarios!$B$6</f>
        <v>935708.06907124503</v>
      </c>
      <c r="P15" s="180">
        <f>'Revenue Assumptions'!L124*Scenarios!$B$6</f>
        <v>963779.31114338245</v>
      </c>
      <c r="Q15" s="180">
        <f>'Revenue Assumptions'!M124*Scenarios!$B$6</f>
        <v>992692.69047768391</v>
      </c>
      <c r="R15" s="180">
        <f>'Revenue Assumptions'!N124*Scenarios!$B$6</f>
        <v>1022473.4711920144</v>
      </c>
      <c r="S15" s="180">
        <f>'Revenue Assumptions'!O124*Scenarios!$B$6</f>
        <v>1053147.6753277748</v>
      </c>
      <c r="T15" s="180">
        <f>'Revenue Assumptions'!P124*Scenarios!$B$6</f>
        <v>1084742.1055876082</v>
      </c>
    </row>
    <row r="16" spans="1:20" ht="15" customHeight="1">
      <c r="A16" s="26"/>
      <c r="B16" s="26"/>
      <c r="C16" s="140" t="s">
        <v>285</v>
      </c>
      <c r="D16" s="253"/>
      <c r="E16" s="26"/>
      <c r="F16" s="26"/>
      <c r="G16" s="180"/>
      <c r="H16" s="180">
        <f t="array" ref="H16">(IF(H8=1,INDEX('Revenue Assumptions'!$F$159:$P$159,MATCH((2000+VALUE(RIGHT(H$6,2))),'Revenue Assumptions'!$F$34:$P$34,0))*Scenarios!$B$6,0))</f>
        <v>0</v>
      </c>
      <c r="I16" s="180">
        <f t="array" ref="I16">(IF(I8=1,INDEX('Revenue Assumptions'!$F$159:$P$159,MATCH((2000+VALUE(RIGHT(I$6,2))),'Revenue Assumptions'!$F$34:$P$34,0))*Scenarios!$B$6,0))</f>
        <v>0</v>
      </c>
      <c r="J16" s="180">
        <f>'Revenue Assumptions'!F159*Scenarios!$B$6</f>
        <v>163355.4</v>
      </c>
      <c r="K16" s="180">
        <f>'Revenue Assumptions'!G159*Scenarios!$B$6</f>
        <v>166823.28</v>
      </c>
      <c r="L16" s="180">
        <f>'Revenue Assumptions'!H159*Scenarios!$B$6</f>
        <v>170291.16000000003</v>
      </c>
      <c r="M16" s="180">
        <f>'Revenue Assumptions'!I159*Scenarios!$B$6</f>
        <v>182520</v>
      </c>
      <c r="N16" s="180">
        <f>'Revenue Assumptions'!J159*Scenarios!$B$6</f>
        <v>182520</v>
      </c>
      <c r="O16" s="180">
        <f>'Revenue Assumptions'!K159*Scenarios!$B$6</f>
        <v>182520</v>
      </c>
      <c r="P16" s="180">
        <f>'Revenue Assumptions'!L159*Scenarios!$B$6</f>
        <v>182520</v>
      </c>
      <c r="Q16" s="180">
        <f>'Revenue Assumptions'!M159*Scenarios!$B$6</f>
        <v>182520</v>
      </c>
      <c r="R16" s="180">
        <f>'Revenue Assumptions'!N159*Scenarios!$B$6</f>
        <v>182520</v>
      </c>
      <c r="S16" s="180">
        <f>'Revenue Assumptions'!O159*Scenarios!$B$6</f>
        <v>182520</v>
      </c>
      <c r="T16" s="180">
        <f>'Revenue Assumptions'!P159*Scenarios!$B$6</f>
        <v>182520</v>
      </c>
    </row>
    <row r="17" spans="1:26" ht="15.75" customHeight="1">
      <c r="A17" s="26"/>
      <c r="B17" s="26"/>
      <c r="C17" s="140" t="s">
        <v>287</v>
      </c>
      <c r="D17" s="253"/>
      <c r="E17" s="26"/>
      <c r="F17" s="26"/>
      <c r="G17" s="180"/>
      <c r="H17" s="180">
        <f t="array" ref="H17">(IF(H8=1,INDEX('Revenue Assumptions'!$F$141:$P$141,MATCH((2000+VALUE(RIGHT(H$6,2))),'Revenue Assumptions'!$F$34:$P$34,0))*Scenarios!$B$6,0))</f>
        <v>0</v>
      </c>
      <c r="I17" s="180">
        <f t="array" ref="I17">(IF(I8=1,INDEX('Revenue Assumptions'!$F$141:$P$141,MATCH((2000+VALUE(RIGHT(I$6,2))),'Revenue Assumptions'!$F$34:$P$34,0))*Scenarios!$B$6,0))</f>
        <v>0</v>
      </c>
      <c r="J17" s="180">
        <f>'Revenue Assumptions'!F141*Scenarios!$B$6</f>
        <v>6033732</v>
      </c>
      <c r="K17" s="180">
        <f>'Revenue Assumptions'!G141*Scenarios!$B$6</f>
        <v>6478610.1839999985</v>
      </c>
      <c r="L17" s="180">
        <f>'Revenue Assumptions'!H141*Scenarios!$B$6</f>
        <v>6943848</v>
      </c>
      <c r="M17" s="180">
        <f>'Revenue Assumptions'!I141*Scenarios!$B$6</f>
        <v>7065841.1999999993</v>
      </c>
      <c r="N17" s="180">
        <f>'Revenue Assumptions'!J141*Scenarios!$B$6</f>
        <v>7277816.4360000016</v>
      </c>
      <c r="O17" s="180">
        <f>'Revenue Assumptions'!K141*Scenarios!$B$6</f>
        <v>7496150.929080002</v>
      </c>
      <c r="P17" s="180">
        <f>'Revenue Assumptions'!L141*Scenarios!$B$6</f>
        <v>7721035.4569524014</v>
      </c>
      <c r="Q17" s="180">
        <f>'Revenue Assumptions'!M141*Scenarios!$B$6</f>
        <v>7952666.5206609741</v>
      </c>
      <c r="R17" s="180">
        <f>'Revenue Assumptions'!N141*Scenarios!$B$6</f>
        <v>8191246.5162808029</v>
      </c>
      <c r="S17" s="180">
        <f>'Revenue Assumptions'!O141*Scenarios!$B$6</f>
        <v>8436983.9117692299</v>
      </c>
      <c r="T17" s="180">
        <f>'Revenue Assumptions'!P141*Scenarios!$B$6</f>
        <v>8690093.4291223064</v>
      </c>
    </row>
    <row r="18" spans="1:26" ht="15" customHeight="1">
      <c r="A18" s="26"/>
      <c r="B18" s="26"/>
      <c r="C18" s="140" t="s">
        <v>289</v>
      </c>
      <c r="D18" s="253"/>
      <c r="E18" s="26"/>
      <c r="F18" s="26"/>
      <c r="G18" s="180"/>
      <c r="H18" s="180">
        <f t="array" ref="H18">IF(H$8=1,INDEX('Calendar Assumptions'!$F$52:$Q$52,MATCH((2000+VALUE(RIGHT(H$6,2))),'Calendar Assumptions'!$F$2:$Q$2,0))*Inputs!$E$360*Scenarios!$B$6,0)</f>
        <v>0</v>
      </c>
      <c r="I18" s="180">
        <f t="array" ref="I18">IF(I$8=1,INDEX('Calendar Assumptions'!$F$52:$Q$52,MATCH((2000+VALUE(RIGHT(I$6,2))),'Calendar Assumptions'!$F$2:$Q$2,0))*Inputs!$E$360*Scenarios!$B$6,0)</f>
        <v>0</v>
      </c>
      <c r="J18" s="180">
        <f>'Calendar Assumptions'!F54*Scenarios!$B$6*Inputs!$E$360</f>
        <v>745356</v>
      </c>
      <c r="K18" s="180">
        <f>'Calendar Assumptions'!G54*Scenarios!$B$6*Inputs!$E$360</f>
        <v>761179.2</v>
      </c>
      <c r="L18" s="180">
        <f>'Calendar Assumptions'!H54*Scenarios!$B$6*Inputs!$E$360</f>
        <v>777002.4</v>
      </c>
      <c r="M18" s="180">
        <f>'Calendar Assumptions'!I54*Scenarios!$B$6*Inputs!$E$360</f>
        <v>832800</v>
      </c>
      <c r="N18" s="180">
        <f>'Calendar Assumptions'!J54*Scenarios!$B$6*Inputs!$E$360</f>
        <v>832800</v>
      </c>
      <c r="O18" s="180">
        <f>'Calendar Assumptions'!K54*Scenarios!$B$6*Inputs!$E$360</f>
        <v>832800</v>
      </c>
      <c r="P18" s="180">
        <f>'Calendar Assumptions'!L54*Scenarios!$B$6*Inputs!$E$360</f>
        <v>832800</v>
      </c>
      <c r="Q18" s="180">
        <f>'Calendar Assumptions'!M54*Scenarios!$B$6*Inputs!$E$360</f>
        <v>832800</v>
      </c>
      <c r="R18" s="180">
        <f>'Calendar Assumptions'!N54*Scenarios!$B$6*Inputs!$E$360</f>
        <v>832800</v>
      </c>
      <c r="S18" s="180">
        <f>'Calendar Assumptions'!O54*Scenarios!$B$6*Inputs!$E$360</f>
        <v>832800</v>
      </c>
      <c r="T18" s="180">
        <f>'Calendar Assumptions'!P54*Scenarios!$B$6*Inputs!$E$360</f>
        <v>832800</v>
      </c>
    </row>
    <row r="19" spans="1:26" ht="15" customHeight="1">
      <c r="A19" s="26"/>
      <c r="B19" s="26"/>
      <c r="C19" s="140" t="s">
        <v>404</v>
      </c>
      <c r="D19" s="253"/>
      <c r="E19" s="26"/>
      <c r="F19" s="26"/>
      <c r="G19" s="180"/>
      <c r="H19" s="180">
        <f t="array" ref="H19">IF(H$8=1,INDEX('Calendar Assumptions'!$F$16:$Q$16,MATCH((2000+VALUE(RIGHT(H$6,2))),'Calendar Assumptions'!$F$2:$Q$2,0))*Inputs!$E$362*Scenarios!$B$6,0)</f>
        <v>0</v>
      </c>
      <c r="I19" s="180">
        <f t="array" ref="I19">IF(I$8=1,INDEX('Calendar Assumptions'!$F$16:$Q$16,MATCH((2000+VALUE(RIGHT(I$6,2))),'Calendar Assumptions'!$F$2:$Q$2,0))*Inputs!$E$362*Scenarios!$B$6,0)</f>
        <v>0</v>
      </c>
      <c r="J19" s="180">
        <f>'Calendar Assumptions'!F52*Scenarios!$B$6*Inputs!$E$362</f>
        <v>1202880</v>
      </c>
      <c r="K19" s="180">
        <f>'Calendar Assumptions'!G52*Scenarios!$B$6*Inputs!$E$362</f>
        <v>1228416</v>
      </c>
      <c r="L19" s="180">
        <f>'Calendar Assumptions'!H52*Scenarios!$B$6*Inputs!$E$362</f>
        <v>1253952.0000000002</v>
      </c>
      <c r="M19" s="180">
        <f>'Calendar Assumptions'!I52*Scenarios!$B$6*Inputs!$E$362</f>
        <v>1344000</v>
      </c>
      <c r="N19" s="180">
        <f>'Calendar Assumptions'!J52*Scenarios!$B$6*Inputs!$E$362</f>
        <v>1344000</v>
      </c>
      <c r="O19" s="180">
        <f>'Calendar Assumptions'!K52*Scenarios!$B$6*Inputs!$E$362</f>
        <v>1344000</v>
      </c>
      <c r="P19" s="180">
        <f>'Calendar Assumptions'!L52*Scenarios!$B$6*Inputs!$E$362</f>
        <v>1344000</v>
      </c>
      <c r="Q19" s="180">
        <f>'Calendar Assumptions'!M52*Scenarios!$B$6*Inputs!$E$362</f>
        <v>1344000</v>
      </c>
      <c r="R19" s="180">
        <f>'Calendar Assumptions'!N52*Scenarios!$B$6*Inputs!$E$362</f>
        <v>1344000</v>
      </c>
      <c r="S19" s="180">
        <f>'Calendar Assumptions'!O52*Scenarios!$B$6*Inputs!$E$362</f>
        <v>1344000</v>
      </c>
      <c r="T19" s="180">
        <f>'Calendar Assumptions'!P52*Scenarios!$B$6*Inputs!$E$362</f>
        <v>1344000</v>
      </c>
    </row>
    <row r="20" spans="1:26" ht="15" customHeight="1">
      <c r="A20" s="26"/>
      <c r="B20" s="26"/>
      <c r="C20" s="140" t="s">
        <v>291</v>
      </c>
      <c r="D20" s="253"/>
      <c r="E20" s="26"/>
      <c r="F20" s="26"/>
      <c r="G20" s="180"/>
      <c r="H20" s="180">
        <f t="array" ref="H20">IF(H$8=1,INDEX('Revenue Assumptions'!$F$199:$P$199,MATCH((2000+VALUE(RIGHT(H$6,2))),'Revenue Assumptions'!$F$34:$P$34,0))*Scenarios!$B$6,0)</f>
        <v>0</v>
      </c>
      <c r="I20" s="180">
        <f t="array" ref="I20">IF(I$8=1,INDEX('Revenue Assumptions'!$F$199:$P$199,MATCH((2000+VALUE(RIGHT(I$6,2))),'Revenue Assumptions'!$F$34:$P$34,0))*Scenarios!$B$6,0)</f>
        <v>0</v>
      </c>
      <c r="J20" s="180">
        <f>'Revenue Assumptions'!F199*Scenarios!$B$6</f>
        <v>2335950</v>
      </c>
      <c r="K20" s="180">
        <f>'Revenue Assumptions'!G199*Scenarios!$B$6</f>
        <v>2385540</v>
      </c>
      <c r="L20" s="180">
        <f>'Revenue Assumptions'!H199*Scenarios!$B$6</f>
        <v>2435130</v>
      </c>
      <c r="M20" s="180">
        <f>'Revenue Assumptions'!I199*Scenarios!$B$6</f>
        <v>2610000</v>
      </c>
      <c r="N20" s="180">
        <f>'Revenue Assumptions'!J199*Scenarios!$B$6</f>
        <v>2610000</v>
      </c>
      <c r="O20" s="180">
        <f>'Revenue Assumptions'!K199*Scenarios!$B$6</f>
        <v>2610000</v>
      </c>
      <c r="P20" s="180">
        <f>'Revenue Assumptions'!L199*Scenarios!$B$6</f>
        <v>2610000</v>
      </c>
      <c r="Q20" s="180">
        <f>'Revenue Assumptions'!M199*Scenarios!$B$6</f>
        <v>2610000</v>
      </c>
      <c r="R20" s="180">
        <f>'Revenue Assumptions'!N199*Scenarios!$B$6</f>
        <v>2610000</v>
      </c>
      <c r="S20" s="180">
        <f>'Revenue Assumptions'!O199*Scenarios!$B$6</f>
        <v>2610000</v>
      </c>
      <c r="T20" s="180">
        <f>'Revenue Assumptions'!P199*Scenarios!$B$6</f>
        <v>2610000</v>
      </c>
    </row>
    <row r="21" spans="1:26" ht="15.75" customHeight="1">
      <c r="A21" s="254"/>
      <c r="B21" s="254"/>
      <c r="C21" s="255" t="str">
        <f>"Total "&amp; C13</f>
        <v>Total Event day revenue</v>
      </c>
      <c r="D21" s="256"/>
      <c r="E21" s="254"/>
      <c r="F21" s="254"/>
      <c r="G21" s="257"/>
      <c r="H21" s="257">
        <f t="shared" ref="H21:T21" si="5">SUM(H14:H20)</f>
        <v>0</v>
      </c>
      <c r="I21" s="257">
        <f t="shared" si="5"/>
        <v>0</v>
      </c>
      <c r="J21" s="258">
        <f t="shared" si="5"/>
        <v>16347333.414999999</v>
      </c>
      <c r="K21" s="258">
        <f t="shared" si="5"/>
        <v>17190877.288939998</v>
      </c>
      <c r="L21" s="258">
        <f t="shared" si="5"/>
        <v>18067756.257462904</v>
      </c>
      <c r="M21" s="258">
        <f t="shared" si="5"/>
        <v>19197174.788839001</v>
      </c>
      <c r="N21" s="258">
        <f t="shared" si="5"/>
        <v>19624010.432504173</v>
      </c>
      <c r="O21" s="258">
        <f t="shared" si="5"/>
        <v>20063651.145479295</v>
      </c>
      <c r="P21" s="258">
        <f t="shared" si="5"/>
        <v>20516481.079843674</v>
      </c>
      <c r="Q21" s="258">
        <f t="shared" si="5"/>
        <v>20982895.912238985</v>
      </c>
      <c r="R21" s="258">
        <f t="shared" si="5"/>
        <v>21463303.189606156</v>
      </c>
      <c r="S21" s="258">
        <f t="shared" si="5"/>
        <v>21958122.685294345</v>
      </c>
      <c r="T21" s="258">
        <f t="shared" si="5"/>
        <v>22467786.765853174</v>
      </c>
      <c r="U21" s="259"/>
      <c r="V21" s="259"/>
      <c r="W21" s="259"/>
      <c r="X21" s="259"/>
      <c r="Y21" s="259"/>
      <c r="Z21" s="259"/>
    </row>
    <row r="22" spans="1:26" ht="15.75" customHeight="1">
      <c r="A22" s="26"/>
      <c r="B22" s="26"/>
      <c r="C22" s="26"/>
      <c r="D22" s="26"/>
      <c r="E22" s="26"/>
      <c r="F22" s="26"/>
      <c r="G22" s="180"/>
      <c r="H22" s="180"/>
      <c r="I22" s="180"/>
      <c r="J22" s="180"/>
      <c r="K22" s="180"/>
      <c r="L22" s="180"/>
      <c r="M22" s="180"/>
      <c r="N22" s="180"/>
      <c r="O22" s="180"/>
      <c r="P22" s="180"/>
      <c r="Q22" s="180"/>
      <c r="R22" s="180"/>
      <c r="S22" s="180"/>
      <c r="T22" s="180"/>
    </row>
    <row r="23" spans="1:26" ht="15.75" customHeight="1">
      <c r="A23" s="26"/>
      <c r="B23" s="26"/>
      <c r="C23" s="140" t="s">
        <v>405</v>
      </c>
      <c r="D23" s="26"/>
      <c r="E23" s="26"/>
      <c r="F23" s="26"/>
      <c r="G23" s="180"/>
      <c r="H23" s="180"/>
      <c r="I23" s="180"/>
      <c r="J23" s="180"/>
      <c r="K23" s="180"/>
      <c r="L23" s="180"/>
      <c r="M23" s="180"/>
      <c r="N23" s="180"/>
      <c r="O23" s="180"/>
      <c r="P23" s="180"/>
      <c r="Q23" s="180"/>
      <c r="R23" s="180"/>
      <c r="S23" s="180"/>
      <c r="T23" s="180"/>
    </row>
    <row r="24" spans="1:26" ht="15.75" customHeight="1">
      <c r="A24" s="26"/>
      <c r="B24" s="26"/>
      <c r="C24" s="140" t="s">
        <v>292</v>
      </c>
      <c r="D24" s="253"/>
      <c r="E24" s="26"/>
      <c r="F24" s="26"/>
      <c r="G24" s="180"/>
      <c r="H24" s="180">
        <f t="array" ref="H24">IF(H8=1,INDEX('Revenue Assumptions'!$F$175:$P$175,MATCH((2000+VALUE(RIGHT(H$6,2))),'Revenue Assumptions'!$F$34:$P$34,0))*Scenarios!$B$6,0)</f>
        <v>0</v>
      </c>
      <c r="I24" s="180">
        <f t="array" ref="I24">IF(I8=1,INDEX('Revenue Assumptions'!$F$175:$P$175,MATCH((2000+VALUE(RIGHT(I$6,2))),'Revenue Assumptions'!$F$34:$P$34,0))*Scenarios!$B$6,0)</f>
        <v>0</v>
      </c>
      <c r="J24" s="180">
        <f>'Revenue Assumptions'!F175*Scenarios!$B$6</f>
        <v>1850000</v>
      </c>
      <c r="K24" s="180">
        <f>'Revenue Assumptions'!G175*Scenarios!$B$6</f>
        <v>1896250</v>
      </c>
      <c r="L24" s="180">
        <f>'Revenue Assumptions'!H175*Scenarios!$B$6</f>
        <v>1943656.25</v>
      </c>
      <c r="M24" s="180">
        <f>'Revenue Assumptions'!I175*Scenarios!$B$6</f>
        <v>1992247.6562499998</v>
      </c>
      <c r="N24" s="180">
        <f>'Revenue Assumptions'!J175*Scenarios!$B$6</f>
        <v>2042053.8476562495</v>
      </c>
      <c r="O24" s="180">
        <f>'Revenue Assumptions'!K175*Scenarios!$B$6</f>
        <v>2093105.1938476556</v>
      </c>
      <c r="P24" s="180">
        <f>'Revenue Assumptions'!L175*Scenarios!$B$6</f>
        <v>2145432.8236938468</v>
      </c>
      <c r="Q24" s="180">
        <f>'Revenue Assumptions'!M175*Scenarios!$B$6</f>
        <v>2199068.644286193</v>
      </c>
      <c r="R24" s="180">
        <f>'Revenue Assumptions'!N175*Scenarios!$B$6</f>
        <v>2254045.3603933472</v>
      </c>
      <c r="S24" s="180">
        <f>'Revenue Assumptions'!O175*Scenarios!$B$6</f>
        <v>2310396.4944031811</v>
      </c>
      <c r="T24" s="180">
        <f>'Revenue Assumptions'!P175*Scenarios!$B$6</f>
        <v>2368156.4067632607</v>
      </c>
    </row>
    <row r="25" spans="1:26" ht="15.75" customHeight="1">
      <c r="A25" s="26"/>
      <c r="B25" s="26"/>
      <c r="C25" s="140" t="s">
        <v>294</v>
      </c>
      <c r="D25" s="253"/>
      <c r="E25" s="26"/>
      <c r="F25" s="26"/>
      <c r="G25" s="180"/>
      <c r="H25" s="180">
        <f t="array" ref="H25">(IF(H8=1,INDEX('Revenue Assumptions'!$F$183:$P$183,MATCH((2000+VALUE(RIGHT(H$6,2))),'Revenue Assumptions'!$F$34:$P$34,0))*Scenarios!$B$6,0))</f>
        <v>0</v>
      </c>
      <c r="I25" s="180">
        <f t="array" ref="I25">(IF(I8=1,INDEX('Revenue Assumptions'!$F$183:$P$183,MATCH((2000+VALUE(RIGHT(I$6,2))),'Revenue Assumptions'!$F$34:$P$34,0))*Scenarios!$B$6,0))</f>
        <v>0</v>
      </c>
      <c r="J25" s="180">
        <f>Scenarios!$B$6*'Revenue Assumptions'!F183</f>
        <v>575000</v>
      </c>
      <c r="K25" s="180">
        <f>Scenarios!$B$6*'Revenue Assumptions'!G183</f>
        <v>589374.99999999988</v>
      </c>
      <c r="L25" s="180">
        <f>Scenarios!$B$6*'Revenue Assumptions'!H183</f>
        <v>604109.37499999977</v>
      </c>
      <c r="M25" s="180">
        <f>Scenarios!$B$6*'Revenue Assumptions'!I183</f>
        <v>619212.10937499977</v>
      </c>
      <c r="N25" s="180">
        <f>Scenarios!$B$6*'Revenue Assumptions'!J183</f>
        <v>634692.41210937465</v>
      </c>
      <c r="O25" s="180">
        <f>Scenarios!$B$6*'Revenue Assumptions'!K183</f>
        <v>650559.72241210891</v>
      </c>
      <c r="P25" s="180">
        <f>Scenarios!$B$6*'Revenue Assumptions'!L183</f>
        <v>666823.7154724116</v>
      </c>
      <c r="Q25" s="180">
        <f>Scenarios!$B$6*'Revenue Assumptions'!M183</f>
        <v>683494.30835922179</v>
      </c>
      <c r="R25" s="180">
        <f>Scenarios!$B$6*'Revenue Assumptions'!N183</f>
        <v>700581.66606820235</v>
      </c>
      <c r="S25" s="180">
        <f>Scenarios!$B$6*'Revenue Assumptions'!O183</f>
        <v>718096.2077199074</v>
      </c>
      <c r="T25" s="180">
        <f>Scenarios!$B$6*'Revenue Assumptions'!P183</f>
        <v>736048.61291290494</v>
      </c>
    </row>
    <row r="26" spans="1:26" ht="15.75" customHeight="1">
      <c r="A26" s="254"/>
      <c r="B26" s="254"/>
      <c r="C26" s="255" t="str">
        <f>"Total "&amp; C23</f>
        <v>Total Non-event day revenue</v>
      </c>
      <c r="D26" s="256"/>
      <c r="E26" s="254"/>
      <c r="F26" s="254"/>
      <c r="G26" s="257"/>
      <c r="H26" s="257">
        <f t="shared" ref="H26:T26" si="6">H24+H25</f>
        <v>0</v>
      </c>
      <c r="I26" s="257">
        <f t="shared" si="6"/>
        <v>0</v>
      </c>
      <c r="J26" s="257">
        <f t="shared" si="6"/>
        <v>2425000</v>
      </c>
      <c r="K26" s="257">
        <f t="shared" si="6"/>
        <v>2485625</v>
      </c>
      <c r="L26" s="257">
        <f t="shared" si="6"/>
        <v>2547765.625</v>
      </c>
      <c r="M26" s="257">
        <f t="shared" si="6"/>
        <v>2611459.7656249995</v>
      </c>
      <c r="N26" s="257">
        <f t="shared" si="6"/>
        <v>2676746.2597656241</v>
      </c>
      <c r="O26" s="257">
        <f t="shared" si="6"/>
        <v>2743664.9162597647</v>
      </c>
      <c r="P26" s="257">
        <f t="shared" si="6"/>
        <v>2812256.5391662586</v>
      </c>
      <c r="Q26" s="257">
        <f t="shared" si="6"/>
        <v>2882562.9526454145</v>
      </c>
      <c r="R26" s="257">
        <f t="shared" si="6"/>
        <v>2954627.0264615496</v>
      </c>
      <c r="S26" s="257">
        <f t="shared" si="6"/>
        <v>3028492.7021230888</v>
      </c>
      <c r="T26" s="257">
        <f t="shared" si="6"/>
        <v>3104205.0196761657</v>
      </c>
      <c r="U26" s="259"/>
      <c r="V26" s="259"/>
      <c r="W26" s="259"/>
      <c r="X26" s="259"/>
      <c r="Y26" s="259"/>
      <c r="Z26" s="259"/>
    </row>
    <row r="27" spans="1:26" ht="15.75" customHeight="1">
      <c r="A27" s="26"/>
      <c r="B27" s="26"/>
      <c r="C27" s="26"/>
      <c r="D27" s="26"/>
      <c r="E27" s="26"/>
      <c r="F27" s="26"/>
      <c r="G27" s="180"/>
      <c r="H27" s="180"/>
      <c r="I27" s="180"/>
      <c r="J27" s="180"/>
      <c r="K27" s="180"/>
      <c r="L27" s="180"/>
      <c r="M27" s="180"/>
      <c r="N27" s="180"/>
      <c r="O27" s="180"/>
      <c r="P27" s="180"/>
      <c r="Q27" s="180"/>
      <c r="R27" s="180"/>
      <c r="S27" s="180"/>
      <c r="T27" s="180"/>
    </row>
    <row r="28" spans="1:26" ht="15" customHeight="1">
      <c r="A28" s="260"/>
      <c r="B28" s="260"/>
      <c r="C28" s="261" t="s">
        <v>262</v>
      </c>
      <c r="D28" s="262"/>
      <c r="E28" s="260"/>
      <c r="F28" s="260"/>
      <c r="G28" s="263"/>
      <c r="H28" s="263">
        <f t="shared" ref="H28:T28" si="7">H21+H26</f>
        <v>0</v>
      </c>
      <c r="I28" s="263">
        <f t="shared" si="7"/>
        <v>0</v>
      </c>
      <c r="J28" s="264">
        <f t="shared" si="7"/>
        <v>18772333.414999999</v>
      </c>
      <c r="K28" s="264">
        <f t="shared" si="7"/>
        <v>19676502.288939998</v>
      </c>
      <c r="L28" s="264">
        <f t="shared" si="7"/>
        <v>20615521.882462904</v>
      </c>
      <c r="M28" s="264">
        <f t="shared" si="7"/>
        <v>21808634.554464001</v>
      </c>
      <c r="N28" s="264">
        <f t="shared" si="7"/>
        <v>22300756.692269798</v>
      </c>
      <c r="O28" s="264">
        <f t="shared" si="7"/>
        <v>22807316.061739061</v>
      </c>
      <c r="P28" s="264">
        <f t="shared" si="7"/>
        <v>23328737.619009934</v>
      </c>
      <c r="Q28" s="264">
        <f t="shared" si="7"/>
        <v>23865458.864884399</v>
      </c>
      <c r="R28" s="264">
        <f t="shared" si="7"/>
        <v>24417930.216067705</v>
      </c>
      <c r="S28" s="264">
        <f t="shared" si="7"/>
        <v>24986615.387417436</v>
      </c>
      <c r="T28" s="264">
        <f t="shared" si="7"/>
        <v>25571991.785529338</v>
      </c>
      <c r="U28" s="265"/>
      <c r="V28" s="265"/>
      <c r="W28" s="265"/>
      <c r="X28" s="265"/>
      <c r="Y28" s="265"/>
      <c r="Z28" s="265"/>
    </row>
    <row r="29" spans="1:26" ht="15.75" customHeight="1">
      <c r="A29" s="266"/>
      <c r="B29" s="266"/>
      <c r="C29" s="266" t="s">
        <v>406</v>
      </c>
      <c r="D29" s="266"/>
      <c r="E29" s="266"/>
      <c r="F29" s="266"/>
      <c r="G29" s="267"/>
      <c r="H29" s="267"/>
      <c r="I29" s="267"/>
      <c r="J29" s="267"/>
      <c r="K29" s="268">
        <f t="shared" ref="K29:T29" si="8">(K28-J28)/J28</f>
        <v>4.8164969902863751E-2</v>
      </c>
      <c r="L29" s="268">
        <f t="shared" si="8"/>
        <v>4.7722891992380251E-2</v>
      </c>
      <c r="M29" s="268">
        <f t="shared" si="8"/>
        <v>5.7874483062010075E-2</v>
      </c>
      <c r="N29" s="268">
        <f t="shared" si="8"/>
        <v>2.2565472248012194E-2</v>
      </c>
      <c r="O29" s="268">
        <f t="shared" si="8"/>
        <v>2.271489602166071E-2</v>
      </c>
      <c r="P29" s="268">
        <f t="shared" si="8"/>
        <v>2.2862030580862433E-2</v>
      </c>
      <c r="Q29" s="268">
        <f t="shared" si="8"/>
        <v>2.3006870523379946E-2</v>
      </c>
      <c r="R29" s="268">
        <f t="shared" si="8"/>
        <v>2.3149412475626518E-2</v>
      </c>
      <c r="S29" s="268">
        <f t="shared" si="8"/>
        <v>2.328965503290361E-2</v>
      </c>
      <c r="T29" s="268">
        <f t="shared" si="8"/>
        <v>2.3427598697768465E-2</v>
      </c>
      <c r="U29" s="269"/>
      <c r="V29" s="269"/>
      <c r="W29" s="269"/>
      <c r="X29" s="269"/>
      <c r="Y29" s="269"/>
      <c r="Z29" s="269"/>
    </row>
    <row r="30" spans="1:26" ht="15.75" customHeight="1">
      <c r="A30" s="26"/>
      <c r="B30" s="251" t="s">
        <v>369</v>
      </c>
      <c r="C30" s="26"/>
      <c r="D30" s="26"/>
      <c r="E30" s="26"/>
      <c r="F30" s="26"/>
      <c r="G30" s="180"/>
      <c r="H30" s="180"/>
      <c r="I30" s="180"/>
      <c r="J30" s="180"/>
      <c r="K30" s="180"/>
      <c r="L30" s="180"/>
      <c r="M30" s="180"/>
      <c r="N30" s="180"/>
      <c r="O30" s="180"/>
      <c r="P30" s="180"/>
      <c r="Q30" s="180"/>
      <c r="R30" s="180"/>
      <c r="S30" s="180"/>
      <c r="T30" s="180"/>
    </row>
    <row r="31" spans="1:26" ht="15.75" customHeight="1">
      <c r="A31" s="26"/>
      <c r="B31" s="26"/>
      <c r="C31" s="140" t="s">
        <v>407</v>
      </c>
      <c r="D31" s="26"/>
      <c r="E31" s="26"/>
      <c r="F31" s="26"/>
      <c r="G31" s="180"/>
      <c r="H31" s="180"/>
      <c r="I31" s="180"/>
      <c r="J31" s="180"/>
      <c r="K31" s="180"/>
      <c r="L31" s="180"/>
      <c r="M31" s="180"/>
      <c r="N31" s="180"/>
      <c r="O31" s="180"/>
      <c r="P31" s="180"/>
      <c r="Q31" s="180"/>
      <c r="R31" s="180"/>
      <c r="S31" s="180"/>
      <c r="T31" s="180"/>
    </row>
    <row r="32" spans="1:26" ht="15.75" customHeight="1">
      <c r="A32" s="26"/>
      <c r="B32" s="26"/>
      <c r="C32" s="140" t="s">
        <v>408</v>
      </c>
      <c r="D32" s="253"/>
      <c r="E32" s="26"/>
      <c r="F32" s="26"/>
      <c r="G32" s="180"/>
      <c r="H32" s="180">
        <f>H17*Inputs!$E$466*Scenarios!$B$7</f>
        <v>0</v>
      </c>
      <c r="I32" s="180">
        <f>I17*Inputs!$E$466*Scenarios!$B$7</f>
        <v>0</v>
      </c>
      <c r="J32" s="180">
        <f>'Expense Assumptions'!G71</f>
        <v>1810119.5999999999</v>
      </c>
      <c r="K32" s="180">
        <f>'Expense Assumptions'!H71</f>
        <v>1943583.0551999994</v>
      </c>
      <c r="L32" s="180">
        <f>'Expense Assumptions'!I71</f>
        <v>2083154.4</v>
      </c>
      <c r="M32" s="180">
        <f>'Expense Assumptions'!J71</f>
        <v>2119752.36</v>
      </c>
      <c r="N32" s="180">
        <f>'Expense Assumptions'!K71</f>
        <v>2183344.9308000002</v>
      </c>
      <c r="O32" s="180">
        <f>'Expense Assumptions'!L71</f>
        <v>2248845.2787240003</v>
      </c>
      <c r="P32" s="180">
        <f>'Expense Assumptions'!M71</f>
        <v>2316310.6370857204</v>
      </c>
      <c r="Q32" s="180">
        <f>'Expense Assumptions'!N71</f>
        <v>2385799.9561982923</v>
      </c>
      <c r="R32" s="180">
        <f>'Expense Assumptions'!O71</f>
        <v>2457373.9548842409</v>
      </c>
      <c r="S32" s="180">
        <f>'Expense Assumptions'!P71</f>
        <v>2531095.1735307691</v>
      </c>
      <c r="T32" s="180">
        <f>'Expense Assumptions'!Q71</f>
        <v>2607028.0287366919</v>
      </c>
    </row>
    <row r="33" spans="1:26" ht="15.75" customHeight="1">
      <c r="A33" s="26"/>
      <c r="B33" s="26"/>
      <c r="C33" s="140" t="s">
        <v>409</v>
      </c>
      <c r="D33" s="253"/>
      <c r="E33" s="26"/>
      <c r="F33" s="26"/>
      <c r="G33" s="180"/>
      <c r="H33" s="180">
        <f>H16*Inputs!$E$466*Scenarios!$B$7</f>
        <v>0</v>
      </c>
      <c r="I33" s="180">
        <f>I16*Inputs!$E$466*Scenarios!$B$7</f>
        <v>0</v>
      </c>
      <c r="J33" s="180">
        <f>'Expense Assumptions'!G72</f>
        <v>49006.619999999995</v>
      </c>
      <c r="K33" s="180">
        <f>'Expense Assumptions'!H72</f>
        <v>50046.983999999997</v>
      </c>
      <c r="L33" s="180">
        <f>'Expense Assumptions'!I72</f>
        <v>51087.348000000005</v>
      </c>
      <c r="M33" s="180">
        <f>'Expense Assumptions'!J72</f>
        <v>54756</v>
      </c>
      <c r="N33" s="180">
        <f>'Expense Assumptions'!K72</f>
        <v>54756</v>
      </c>
      <c r="O33" s="180">
        <f>'Expense Assumptions'!L72</f>
        <v>54756</v>
      </c>
      <c r="P33" s="180">
        <f>'Expense Assumptions'!M72</f>
        <v>54756</v>
      </c>
      <c r="Q33" s="180">
        <f>'Expense Assumptions'!N72</f>
        <v>54756</v>
      </c>
      <c r="R33" s="180">
        <f>'Expense Assumptions'!O72</f>
        <v>54756</v>
      </c>
      <c r="S33" s="180">
        <f>'Expense Assumptions'!P72</f>
        <v>54756</v>
      </c>
      <c r="T33" s="180">
        <f>'Expense Assumptions'!Q72</f>
        <v>54756</v>
      </c>
    </row>
    <row r="34" spans="1:26" ht="15.75" customHeight="1">
      <c r="A34" s="26"/>
      <c r="B34" s="26"/>
      <c r="C34" s="140" t="s">
        <v>410</v>
      </c>
      <c r="D34" s="253"/>
      <c r="E34" s="26"/>
      <c r="F34" s="26"/>
      <c r="G34" s="180"/>
      <c r="H34" s="180">
        <f>(H16+H17)*Inputs!$E$467*Scenarios!$B$7</f>
        <v>0</v>
      </c>
      <c r="I34" s="180">
        <f>(I16+I17)*Inputs!$E$467*Scenarios!$B$7</f>
        <v>0</v>
      </c>
      <c r="J34" s="180">
        <f>'Expense Assumptions'!G73</f>
        <v>309854.37000000005</v>
      </c>
      <c r="K34" s="180">
        <f>'Expense Assumptions'!H73</f>
        <v>332271.67319999996</v>
      </c>
      <c r="L34" s="180">
        <f>'Expense Assumptions'!I73</f>
        <v>355706.95800000004</v>
      </c>
      <c r="M34" s="180">
        <f>'Expense Assumptions'!J73</f>
        <v>362418.06</v>
      </c>
      <c r="N34" s="180">
        <f>'Expense Assumptions'!K73</f>
        <v>373016.82180000009</v>
      </c>
      <c r="O34" s="180">
        <f>'Expense Assumptions'!L73</f>
        <v>383933.54645400011</v>
      </c>
      <c r="P34" s="180">
        <f>'Expense Assumptions'!M73</f>
        <v>395177.77284762007</v>
      </c>
      <c r="Q34" s="180">
        <f>'Expense Assumptions'!N73</f>
        <v>406759.32603304874</v>
      </c>
      <c r="R34" s="180">
        <f>'Expense Assumptions'!O73</f>
        <v>418688.32581404014</v>
      </c>
      <c r="S34" s="180">
        <f>'Expense Assumptions'!P73</f>
        <v>430975.19558846153</v>
      </c>
      <c r="T34" s="180">
        <f>'Expense Assumptions'!Q73</f>
        <v>443630.67145611532</v>
      </c>
    </row>
    <row r="35" spans="1:26" ht="15.75" customHeight="1">
      <c r="A35" s="239"/>
      <c r="B35" s="239"/>
      <c r="C35" s="261" t="s">
        <v>411</v>
      </c>
      <c r="D35" s="270"/>
      <c r="E35" s="239"/>
      <c r="F35" s="239"/>
      <c r="G35" s="264"/>
      <c r="H35" s="264">
        <f t="shared" ref="H35:T35" si="9">SUM(H32:H34)</f>
        <v>0</v>
      </c>
      <c r="I35" s="264">
        <f t="shared" si="9"/>
        <v>0</v>
      </c>
      <c r="J35" s="264">
        <f t="shared" si="9"/>
        <v>2168980.59</v>
      </c>
      <c r="K35" s="264">
        <f t="shared" si="9"/>
        <v>2325901.7123999991</v>
      </c>
      <c r="L35" s="264">
        <f t="shared" si="9"/>
        <v>2489948.7060000002</v>
      </c>
      <c r="M35" s="264">
        <f t="shared" si="9"/>
        <v>2536926.42</v>
      </c>
      <c r="N35" s="264">
        <f t="shared" si="9"/>
        <v>2611117.7526000002</v>
      </c>
      <c r="O35" s="264">
        <f t="shared" si="9"/>
        <v>2687534.8251780006</v>
      </c>
      <c r="P35" s="264">
        <f t="shared" si="9"/>
        <v>2766244.4099333407</v>
      </c>
      <c r="Q35" s="264">
        <f t="shared" si="9"/>
        <v>2847315.2822313411</v>
      </c>
      <c r="R35" s="264">
        <f t="shared" si="9"/>
        <v>2930818.2806982808</v>
      </c>
      <c r="S35" s="264">
        <f t="shared" si="9"/>
        <v>3016826.3691192307</v>
      </c>
      <c r="T35" s="264">
        <f t="shared" si="9"/>
        <v>3105414.7001928072</v>
      </c>
      <c r="U35" s="271"/>
      <c r="V35" s="271"/>
      <c r="W35" s="271"/>
      <c r="X35" s="271"/>
      <c r="Y35" s="271"/>
      <c r="Z35" s="271"/>
    </row>
    <row r="36" spans="1:26" ht="15.75" customHeight="1">
      <c r="A36" s="26"/>
      <c r="B36" s="26"/>
      <c r="C36" s="26"/>
      <c r="D36" s="26"/>
      <c r="E36" s="26"/>
      <c r="F36" s="26"/>
      <c r="G36" s="180"/>
      <c r="H36" s="180"/>
      <c r="I36" s="180"/>
      <c r="J36" s="180"/>
      <c r="K36" s="180"/>
      <c r="L36" s="180"/>
      <c r="M36" s="180"/>
      <c r="N36" s="180"/>
      <c r="O36" s="180"/>
      <c r="P36" s="180"/>
      <c r="Q36" s="180"/>
      <c r="R36" s="180"/>
      <c r="S36" s="180"/>
      <c r="T36" s="180"/>
    </row>
    <row r="37" spans="1:26" ht="15.75" customHeight="1">
      <c r="A37" s="272"/>
      <c r="B37" s="272"/>
      <c r="C37" s="272" t="s">
        <v>412</v>
      </c>
      <c r="D37" s="272"/>
      <c r="E37" s="272"/>
      <c r="F37" s="272"/>
      <c r="G37" s="273"/>
      <c r="H37" s="273" t="str">
        <f t="shared" ref="H37:T37" si="10">IF(H28=0,"",H35/H28)</f>
        <v/>
      </c>
      <c r="I37" s="273" t="str">
        <f t="shared" si="10"/>
        <v/>
      </c>
      <c r="J37" s="274">
        <f t="shared" si="10"/>
        <v>0.1155413417208369</v>
      </c>
      <c r="K37" s="274">
        <f t="shared" si="10"/>
        <v>0.11820707147262498</v>
      </c>
      <c r="L37" s="274">
        <f t="shared" si="10"/>
        <v>0.12078028973489804</v>
      </c>
      <c r="M37" s="274">
        <f t="shared" si="10"/>
        <v>0.11632669682571747</v>
      </c>
      <c r="N37" s="274">
        <f t="shared" si="10"/>
        <v>0.11708650915442266</v>
      </c>
      <c r="O37" s="274">
        <f t="shared" si="10"/>
        <v>0.1178365230657954</v>
      </c>
      <c r="P37" s="274">
        <f t="shared" si="10"/>
        <v>0.11857668662187729</v>
      </c>
      <c r="Q37" s="274">
        <f t="shared" si="10"/>
        <v>0.11930695732068561</v>
      </c>
      <c r="R37" s="274">
        <f t="shared" si="10"/>
        <v>0.1200273018541808</v>
      </c>
      <c r="S37" s="274">
        <f t="shared" si="10"/>
        <v>0.12073769585609503</v>
      </c>
      <c r="T37" s="274">
        <f t="shared" si="10"/>
        <v>0.12143812364080679</v>
      </c>
      <c r="U37" s="275"/>
      <c r="V37" s="275"/>
      <c r="W37" s="275"/>
      <c r="X37" s="275"/>
      <c r="Y37" s="275"/>
      <c r="Z37" s="275"/>
    </row>
    <row r="38" spans="1:26" ht="15.75" customHeight="1">
      <c r="A38" s="26"/>
      <c r="B38" s="26"/>
      <c r="C38" s="26"/>
      <c r="D38" s="26"/>
      <c r="E38" s="26"/>
      <c r="F38" s="26"/>
      <c r="G38" s="180"/>
      <c r="H38" s="180"/>
      <c r="I38" s="180"/>
      <c r="J38" s="180"/>
      <c r="K38" s="180"/>
      <c r="L38" s="180"/>
      <c r="M38" s="180"/>
      <c r="N38" s="180"/>
      <c r="O38" s="180"/>
      <c r="P38" s="180"/>
      <c r="Q38" s="180"/>
      <c r="R38" s="180"/>
      <c r="S38" s="180"/>
      <c r="T38" s="180"/>
    </row>
    <row r="39" spans="1:26" ht="15.75" customHeight="1">
      <c r="A39" s="26"/>
      <c r="B39" s="251" t="s">
        <v>413</v>
      </c>
      <c r="C39" s="26"/>
      <c r="D39" s="26"/>
      <c r="E39" s="26"/>
      <c r="F39" s="26"/>
      <c r="G39" s="180"/>
      <c r="H39" s="180"/>
      <c r="I39" s="180"/>
      <c r="J39" s="180"/>
      <c r="K39" s="180"/>
      <c r="L39" s="180"/>
      <c r="M39" s="180"/>
      <c r="N39" s="180"/>
      <c r="O39" s="180"/>
      <c r="P39" s="180"/>
      <c r="Q39" s="180"/>
      <c r="R39" s="180"/>
      <c r="S39" s="180"/>
      <c r="T39" s="180"/>
    </row>
    <row r="40" spans="1:26" ht="15" customHeight="1">
      <c r="A40" s="239"/>
      <c r="B40" s="239"/>
      <c r="C40" s="261" t="s">
        <v>264</v>
      </c>
      <c r="D40" s="239"/>
      <c r="E40" s="239"/>
      <c r="F40" s="239"/>
      <c r="G40" s="264"/>
      <c r="H40" s="264">
        <f t="shared" ref="H40:T40" si="11">H28-H35</f>
        <v>0</v>
      </c>
      <c r="I40" s="264">
        <f t="shared" si="11"/>
        <v>0</v>
      </c>
      <c r="J40" s="264">
        <f t="shared" si="11"/>
        <v>16603352.824999999</v>
      </c>
      <c r="K40" s="264">
        <f t="shared" si="11"/>
        <v>17350600.576539997</v>
      </c>
      <c r="L40" s="264">
        <f t="shared" si="11"/>
        <v>18125573.176462904</v>
      </c>
      <c r="M40" s="264">
        <f t="shared" si="11"/>
        <v>19271708.134464003</v>
      </c>
      <c r="N40" s="264">
        <f t="shared" si="11"/>
        <v>19689638.939669799</v>
      </c>
      <c r="O40" s="264">
        <f t="shared" si="11"/>
        <v>20119781.23656106</v>
      </c>
      <c r="P40" s="264">
        <f t="shared" si="11"/>
        <v>20562493.209076595</v>
      </c>
      <c r="Q40" s="264">
        <f t="shared" si="11"/>
        <v>21018143.582653057</v>
      </c>
      <c r="R40" s="264">
        <f t="shared" si="11"/>
        <v>21487111.935369425</v>
      </c>
      <c r="S40" s="264">
        <f t="shared" si="11"/>
        <v>21969789.018298205</v>
      </c>
      <c r="T40" s="264">
        <f t="shared" si="11"/>
        <v>22466577.085336529</v>
      </c>
      <c r="U40" s="276"/>
      <c r="V40" s="276"/>
      <c r="W40" s="276"/>
      <c r="X40" s="276"/>
      <c r="Y40" s="276"/>
      <c r="Z40" s="276"/>
    </row>
    <row r="41" spans="1:26" ht="15.75" customHeight="1">
      <c r="A41" s="272"/>
      <c r="B41" s="272"/>
      <c r="C41" s="272" t="s">
        <v>414</v>
      </c>
      <c r="D41" s="272"/>
      <c r="E41" s="272"/>
      <c r="F41" s="272"/>
      <c r="G41" s="273"/>
      <c r="H41" s="273" t="str">
        <f t="shared" ref="H41:T41" si="12">IF(H28=0,"",H40/H28)</f>
        <v/>
      </c>
      <c r="I41" s="273" t="str">
        <f t="shared" si="12"/>
        <v/>
      </c>
      <c r="J41" s="274">
        <f t="shared" si="12"/>
        <v>0.88445865827916315</v>
      </c>
      <c r="K41" s="274">
        <f t="shared" si="12"/>
        <v>0.88179292852737501</v>
      </c>
      <c r="L41" s="274">
        <f t="shared" si="12"/>
        <v>0.87921971026510193</v>
      </c>
      <c r="M41" s="274">
        <f t="shared" si="12"/>
        <v>0.88367330317428261</v>
      </c>
      <c r="N41" s="274">
        <f t="shared" si="12"/>
        <v>0.88291349084557735</v>
      </c>
      <c r="O41" s="274">
        <f t="shared" si="12"/>
        <v>0.8821634769342046</v>
      </c>
      <c r="P41" s="274">
        <f t="shared" si="12"/>
        <v>0.88142331337812274</v>
      </c>
      <c r="Q41" s="274">
        <f t="shared" si="12"/>
        <v>0.88069304267931436</v>
      </c>
      <c r="R41" s="274">
        <f t="shared" si="12"/>
        <v>0.87997269814581924</v>
      </c>
      <c r="S41" s="274">
        <f t="shared" si="12"/>
        <v>0.87926230414390494</v>
      </c>
      <c r="T41" s="274">
        <f t="shared" si="12"/>
        <v>0.87856187635919314</v>
      </c>
      <c r="U41" s="275"/>
      <c r="V41" s="275"/>
      <c r="W41" s="275"/>
      <c r="X41" s="275"/>
      <c r="Y41" s="275"/>
      <c r="Z41" s="275"/>
    </row>
    <row r="42" spans="1:26" ht="15.75" customHeight="1">
      <c r="A42" s="272"/>
      <c r="B42" s="272"/>
      <c r="C42" s="272" t="s">
        <v>415</v>
      </c>
      <c r="D42" s="272"/>
      <c r="E42" s="272"/>
      <c r="F42" s="272"/>
      <c r="G42" s="273"/>
      <c r="H42" s="273"/>
      <c r="I42" s="273"/>
      <c r="J42" s="274">
        <f t="shared" ref="J42:T42" si="13">((J16+J17)-(J32+J33+J34))/(J16+J17)</f>
        <v>0.65</v>
      </c>
      <c r="K42" s="274">
        <f t="shared" si="13"/>
        <v>0.65</v>
      </c>
      <c r="L42" s="274">
        <f t="shared" si="13"/>
        <v>0.65</v>
      </c>
      <c r="M42" s="274">
        <f t="shared" si="13"/>
        <v>0.65</v>
      </c>
      <c r="N42" s="274">
        <f t="shared" si="13"/>
        <v>0.65</v>
      </c>
      <c r="O42" s="274">
        <f t="shared" si="13"/>
        <v>0.64999999999999991</v>
      </c>
      <c r="P42" s="274">
        <f t="shared" si="13"/>
        <v>0.65</v>
      </c>
      <c r="Q42" s="274">
        <f t="shared" si="13"/>
        <v>0.65</v>
      </c>
      <c r="R42" s="274">
        <f t="shared" si="13"/>
        <v>0.65</v>
      </c>
      <c r="S42" s="274">
        <f t="shared" si="13"/>
        <v>0.65</v>
      </c>
      <c r="T42" s="274">
        <f t="shared" si="13"/>
        <v>0.65</v>
      </c>
      <c r="U42" s="275"/>
      <c r="V42" s="275"/>
      <c r="W42" s="275"/>
      <c r="X42" s="275"/>
      <c r="Y42" s="275"/>
      <c r="Z42" s="275"/>
    </row>
    <row r="43" spans="1:26" ht="15.75" customHeight="1">
      <c r="A43" s="272"/>
      <c r="B43" s="272"/>
      <c r="C43" s="272" t="s">
        <v>416</v>
      </c>
      <c r="D43" s="272"/>
      <c r="E43" s="272"/>
      <c r="F43" s="272"/>
      <c r="G43" s="273"/>
      <c r="H43" s="273"/>
      <c r="I43" s="273"/>
      <c r="J43" s="274">
        <f t="shared" ref="J43:T43" si="14">(J20-J45)/J45</f>
        <v>2.2806996354075961</v>
      </c>
      <c r="K43" s="274">
        <f t="shared" si="14"/>
        <v>2.2530283133491245</v>
      </c>
      <c r="L43" s="274">
        <f t="shared" si="14"/>
        <v>2.2241889975624578</v>
      </c>
      <c r="M43" s="274">
        <f t="shared" si="14"/>
        <v>2.3553286482060942</v>
      </c>
      <c r="N43" s="274">
        <f t="shared" si="14"/>
        <v>2.2578443160882822</v>
      </c>
      <c r="O43" s="274">
        <f t="shared" si="14"/>
        <v>2.1631854937085393</v>
      </c>
      <c r="P43" s="274">
        <f t="shared" si="14"/>
        <v>2.0712706697016996</v>
      </c>
      <c r="Q43" s="274">
        <f t="shared" si="14"/>
        <v>1.9820206623699341</v>
      </c>
      <c r="R43" s="274">
        <f t="shared" si="14"/>
        <v>1.8953585543386231</v>
      </c>
      <c r="S43" s="274">
        <f t="shared" si="14"/>
        <v>1.8112096289742332</v>
      </c>
      <c r="T43" s="274">
        <f t="shared" si="14"/>
        <v>1.7295013085207889</v>
      </c>
      <c r="U43" s="275"/>
      <c r="V43" s="275"/>
      <c r="W43" s="275"/>
      <c r="X43" s="275"/>
      <c r="Y43" s="275"/>
      <c r="Z43" s="275"/>
    </row>
    <row r="44" spans="1:26" ht="28.5" customHeight="1">
      <c r="A44" s="26"/>
      <c r="B44" s="251" t="s">
        <v>417</v>
      </c>
      <c r="C44" s="26"/>
      <c r="D44" s="26"/>
      <c r="E44" s="26"/>
      <c r="F44" s="26"/>
      <c r="G44" s="180"/>
      <c r="H44" s="180"/>
      <c r="I44" s="180"/>
      <c r="J44" s="180"/>
      <c r="K44" s="180"/>
      <c r="L44" s="180"/>
      <c r="M44" s="180"/>
      <c r="N44" s="180"/>
      <c r="O44" s="180"/>
      <c r="P44" s="180"/>
      <c r="Q44" s="180"/>
      <c r="R44" s="180"/>
      <c r="S44" s="180"/>
      <c r="T44" s="180"/>
    </row>
    <row r="45" spans="1:26" ht="15.75" customHeight="1">
      <c r="A45" s="26"/>
      <c r="B45" s="26"/>
      <c r="C45" s="140" t="s">
        <v>418</v>
      </c>
      <c r="D45" s="140"/>
      <c r="E45" s="26"/>
      <c r="F45" s="26"/>
      <c r="G45" s="180"/>
      <c r="H45" s="180">
        <f>IF(H$8=1,Inputs!$E$401*Scenarios!$B$7,0)</f>
        <v>0</v>
      </c>
      <c r="I45" s="180">
        <f>IF(I$8=1,Inputs!$E$401*Scenarios!$B$7,0)</f>
        <v>0</v>
      </c>
      <c r="J45" s="180">
        <f>'Expense Assumptions'!G82*Scenarios!$B$7</f>
        <v>712028</v>
      </c>
      <c r="K45" s="180">
        <f>'Expense Assumptions'!H82*Scenarios!$B$7</f>
        <v>733329</v>
      </c>
      <c r="L45" s="180">
        <f>'Expense Assumptions'!I82*Scenarios!$B$7</f>
        <v>755269</v>
      </c>
      <c r="M45" s="180">
        <f>'Expense Assumptions'!J82*Scenarios!$B$7</f>
        <v>777867.16999999993</v>
      </c>
      <c r="N45" s="180">
        <f>'Expense Assumptions'!K82*Scenarios!$B$7</f>
        <v>801143.25510000007</v>
      </c>
      <c r="O45" s="180">
        <f>'Expense Assumptions'!L82*Scenarios!$B$7</f>
        <v>825117.59275300009</v>
      </c>
      <c r="P45" s="180">
        <f>'Expense Assumptions'!M82*Scenarios!$B$7</f>
        <v>849811.13053559011</v>
      </c>
      <c r="Q45" s="180">
        <f>'Expense Assumptions'!N82*Scenarios!$B$7</f>
        <v>875245.44445165782</v>
      </c>
      <c r="R45" s="180">
        <f>'Expense Assumptions'!O82*Scenarios!$B$7</f>
        <v>901442.75778520748</v>
      </c>
      <c r="S45" s="180">
        <f>'Expense Assumptions'!P82*Scenarios!$B$7</f>
        <v>928425.96051876375</v>
      </c>
      <c r="T45" s="180">
        <f>'Expense Assumptions'!Q82*Scenarios!$B$7</f>
        <v>956218.62933432672</v>
      </c>
    </row>
    <row r="46" spans="1:26" ht="15.75" customHeight="1">
      <c r="A46" s="26"/>
      <c r="B46" s="26"/>
      <c r="C46" s="140" t="s">
        <v>305</v>
      </c>
      <c r="D46" s="140"/>
      <c r="E46" s="26"/>
      <c r="F46" s="26"/>
      <c r="G46" s="180"/>
      <c r="H46" s="180">
        <f>IF(H8=1,Inputs!$E$403*(1+Inputs!$E$537)^((2000+VALUE(RIGHT(H$6,2)))-2027)*Scenarios!$B$7,0)</f>
        <v>0</v>
      </c>
      <c r="I46" s="180">
        <f>IF(I8=1,Inputs!$E$403*(1+Inputs!$E$537)^((2000+VALUE(RIGHT(I$6,2)))-2027)*Scenarios!$B$7,0)</f>
        <v>0</v>
      </c>
      <c r="J46" s="180">
        <f>'Expense Assumptions'!G101*Scenarios!$B$7</f>
        <v>235000</v>
      </c>
      <c r="K46" s="180">
        <f>'Expense Assumptions'!H101*Scenarios!$B$7</f>
        <v>242050</v>
      </c>
      <c r="L46" s="180">
        <f>'Expense Assumptions'!I101*Scenarios!$B$7</f>
        <v>249311.5</v>
      </c>
      <c r="M46" s="180">
        <f>'Expense Assumptions'!J101*Scenarios!$B$7</f>
        <v>256790.845</v>
      </c>
      <c r="N46" s="180">
        <f>'Expense Assumptions'!K101*Scenarios!$B$7</f>
        <v>264494.57034999999</v>
      </c>
      <c r="O46" s="180">
        <f>'Expense Assumptions'!L101*Scenarios!$B$7</f>
        <v>272429.40746050002</v>
      </c>
      <c r="P46" s="180">
        <f>'Expense Assumptions'!M101*Scenarios!$B$7</f>
        <v>280602.28968431498</v>
      </c>
      <c r="Q46" s="180">
        <f>'Expense Assumptions'!N101*Scenarios!$B$7</f>
        <v>289020.35837484442</v>
      </c>
      <c r="R46" s="180">
        <f>'Expense Assumptions'!O101*Scenarios!$B$7</f>
        <v>297690.96912608977</v>
      </c>
      <c r="S46" s="180">
        <f>'Expense Assumptions'!P101*Scenarios!$B$7</f>
        <v>306621.69819987251</v>
      </c>
      <c r="T46" s="180">
        <f>'Expense Assumptions'!Q101*Scenarios!$B$7</f>
        <v>315820.34914586868</v>
      </c>
    </row>
    <row r="47" spans="1:26" ht="15.75" customHeight="1">
      <c r="A47" s="26"/>
      <c r="B47" s="26"/>
      <c r="C47" s="140" t="s">
        <v>419</v>
      </c>
      <c r="D47" s="140"/>
      <c r="E47" s="26"/>
      <c r="F47" s="26"/>
      <c r="G47" s="180"/>
      <c r="H47" s="180">
        <f t="array" ref="H47">IF(H8=1,INDEX('Expense Assumptions'!$F$86:$Q$86,MATCH((2000+VALUE(RIGHT(H$6,2))),'Expense Assumptions'!$F$21:$Q$21,0))*Scenarios!$B$7,0)</f>
        <v>0</v>
      </c>
      <c r="I47" s="180">
        <f t="array" ref="I47">IF(I8=1,INDEX('Expense Assumptions'!$F$86:$Q$86,MATCH((2000+VALUE(RIGHT(I$6,2))),'Expense Assumptions'!$F$21:$Q$21,0))*Scenarios!$B$7,0)</f>
        <v>0</v>
      </c>
      <c r="J47" s="180">
        <f>'Expense Assumptions'!G128*Scenarios!$B$7</f>
        <v>838000</v>
      </c>
      <c r="K47" s="180">
        <f>'Expense Assumptions'!H128*Scenarios!$B$7</f>
        <v>863140</v>
      </c>
      <c r="L47" s="180">
        <f>'Expense Assumptions'!I128*Scenarios!$B$7</f>
        <v>889034.2</v>
      </c>
      <c r="M47" s="180">
        <f>'Expense Assumptions'!J128*Scenarios!$B$7</f>
        <v>915705.22600000002</v>
      </c>
      <c r="N47" s="180">
        <f>'Expense Assumptions'!K128*Scenarios!$B$7</f>
        <v>943176.3827800001</v>
      </c>
      <c r="O47" s="180">
        <f>'Expense Assumptions'!L128*Scenarios!$B$7</f>
        <v>971471.67426340003</v>
      </c>
      <c r="P47" s="180">
        <f>'Expense Assumptions'!M128*Scenarios!$B$7</f>
        <v>1000615.824491302</v>
      </c>
      <c r="Q47" s="180">
        <f>'Expense Assumptions'!N128*Scenarios!$B$7</f>
        <v>1030634.299226041</v>
      </c>
      <c r="R47" s="180">
        <f>'Expense Assumptions'!O128*Scenarios!$B$7</f>
        <v>1061553.3282028222</v>
      </c>
      <c r="S47" s="180">
        <f>'Expense Assumptions'!P128*Scenarios!$B$7</f>
        <v>1093399.9280489068</v>
      </c>
      <c r="T47" s="180">
        <f>'Expense Assumptions'!Q128*Scenarios!$B$7</f>
        <v>1126201.9258903742</v>
      </c>
    </row>
    <row r="48" spans="1:26" ht="15.75" customHeight="1">
      <c r="A48" s="26"/>
      <c r="B48" s="26"/>
      <c r="C48" s="140" t="s">
        <v>309</v>
      </c>
      <c r="D48" s="140"/>
      <c r="E48" s="26"/>
      <c r="F48" s="26"/>
      <c r="G48" s="180"/>
      <c r="H48" s="180">
        <f>IF(H8=1,Inputs!$E$404*(1+Inputs!$E$535)^((2000+VALUE(RIGHT(H$6,2)))-2027)*Scenarios!$B$7,0)</f>
        <v>0</v>
      </c>
      <c r="I48" s="180">
        <f>Inputs!E392</f>
        <v>100000</v>
      </c>
      <c r="J48" s="180">
        <f>'Expense Assumptions'!G105*Scenarios!$B$7</f>
        <v>120000</v>
      </c>
      <c r="K48" s="180">
        <f>'Expense Assumptions'!H105*Scenarios!$B$7</f>
        <v>123600</v>
      </c>
      <c r="L48" s="180">
        <f>'Expense Assumptions'!I105*Scenarios!$B$7</f>
        <v>127308</v>
      </c>
      <c r="M48" s="180">
        <f>'Expense Assumptions'!J105*Scenarios!$B$7</f>
        <v>131127.24</v>
      </c>
      <c r="N48" s="180">
        <f>'Expense Assumptions'!K105*Scenarios!$B$7</f>
        <v>135061.05719999998</v>
      </c>
      <c r="O48" s="180">
        <f>'Expense Assumptions'!L105*Scenarios!$B$7</f>
        <v>139112.888916</v>
      </c>
      <c r="P48" s="180">
        <f>'Expense Assumptions'!M105*Scenarios!$B$7</f>
        <v>143286.27558347999</v>
      </c>
      <c r="Q48" s="180">
        <f>'Expense Assumptions'!N105*Scenarios!$B$7</f>
        <v>147584.8638509844</v>
      </c>
      <c r="R48" s="180">
        <f>'Expense Assumptions'!O105*Scenarios!$B$7</f>
        <v>152012.40976651394</v>
      </c>
      <c r="S48" s="180">
        <f>'Expense Assumptions'!P105*Scenarios!$B$7</f>
        <v>156572.78205950937</v>
      </c>
      <c r="T48" s="180">
        <f>'Expense Assumptions'!Q105*Scenarios!$B$7</f>
        <v>161269.96552129465</v>
      </c>
    </row>
    <row r="49" spans="1:20" ht="15.75" customHeight="1">
      <c r="A49" s="26"/>
      <c r="B49" s="26"/>
      <c r="C49" s="140" t="s">
        <v>420</v>
      </c>
      <c r="D49" s="140"/>
      <c r="E49" s="26"/>
      <c r="F49" s="26"/>
      <c r="G49" s="180"/>
      <c r="H49" s="180">
        <f>IF(H$8=1,Inputs!$E$407*(1+Inputs!$E$535)^((2000+VALUE(RIGHT(H$6,2)))-2027)*Scenarios!$B$7,0)</f>
        <v>0</v>
      </c>
      <c r="I49" s="180">
        <f>IF(I$8=1,Inputs!$E$407*(1+Inputs!$E$535)^((2000+VALUE(RIGHT(I$6,2)))-2027)*Scenarios!$B$7,0)</f>
        <v>0</v>
      </c>
      <c r="J49" s="180">
        <f>'Expense Assumptions'!G114*Scenarios!$B$7</f>
        <v>150000</v>
      </c>
      <c r="K49" s="180">
        <f>'Expense Assumptions'!H114*Scenarios!$B$7</f>
        <v>154500</v>
      </c>
      <c r="L49" s="180">
        <f>'Expense Assumptions'!I114*Scenarios!$B$7</f>
        <v>159135</v>
      </c>
      <c r="M49" s="180">
        <f>'Expense Assumptions'!J114*Scenarios!$B$7</f>
        <v>163909.05000000002</v>
      </c>
      <c r="N49" s="180">
        <f>'Expense Assumptions'!K114*Scenarios!$B$7</f>
        <v>168826.32150000002</v>
      </c>
      <c r="O49" s="180">
        <f>'Expense Assumptions'!L114*Scenarios!$B$7</f>
        <v>173891.11114500003</v>
      </c>
      <c r="P49" s="180">
        <f>'Expense Assumptions'!M114*Scenarios!$B$7</f>
        <v>179107.84447935002</v>
      </c>
      <c r="Q49" s="180">
        <f>'Expense Assumptions'!N114*Scenarios!$B$7</f>
        <v>184481.07981373052</v>
      </c>
      <c r="R49" s="180">
        <f>'Expense Assumptions'!O114*Scenarios!$B$7</f>
        <v>190015.51220814243</v>
      </c>
      <c r="S49" s="180">
        <f>'Expense Assumptions'!P114*Scenarios!$B$7</f>
        <v>195715.97757438672</v>
      </c>
      <c r="T49" s="180">
        <f>'Expense Assumptions'!Q114*Scenarios!$B$7</f>
        <v>201587.45690161834</v>
      </c>
    </row>
    <row r="50" spans="1:20" ht="15.75" customHeight="1">
      <c r="A50" s="26"/>
      <c r="B50" s="26"/>
      <c r="C50" s="140" t="s">
        <v>421</v>
      </c>
      <c r="D50" s="140"/>
      <c r="E50" s="26"/>
      <c r="F50" s="26"/>
      <c r="G50" s="180"/>
      <c r="H50" s="180">
        <f>IF(H$8=1,Inputs!$E$415*(1+Inputs!$E$535)^((2000+VALUE(RIGHT(H$6,2)))-2027)*Scenarios!$B$7,0)</f>
        <v>0</v>
      </c>
      <c r="I50" s="180">
        <f>IF(I$8=1,Inputs!$E$415*(1+Inputs!$E$535)^((2000+VALUE(RIGHT(I$6,2)))-2027)*Scenarios!$B$7,0)</f>
        <v>0</v>
      </c>
      <c r="J50" s="180">
        <f>'Expense Assumptions'!G111*Scenarios!$B$7</f>
        <v>6500</v>
      </c>
      <c r="K50" s="180">
        <f>'Expense Assumptions'!H111*Scenarios!$B$7</f>
        <v>6695</v>
      </c>
      <c r="L50" s="180">
        <f>'Expense Assumptions'!I111*Scenarios!$B$7</f>
        <v>6895.85</v>
      </c>
      <c r="M50" s="180">
        <f>'Expense Assumptions'!J111*Scenarios!$B$7</f>
        <v>7102.7255000000005</v>
      </c>
      <c r="N50" s="180">
        <f>'Expense Assumptions'!K111*Scenarios!$B$7</f>
        <v>7315.8072650000004</v>
      </c>
      <c r="O50" s="180">
        <f>'Expense Assumptions'!L111*Scenarios!$B$7</f>
        <v>7535.2814829500003</v>
      </c>
      <c r="P50" s="180">
        <f>'Expense Assumptions'!M111*Scenarios!$B$7</f>
        <v>7761.3399274385001</v>
      </c>
      <c r="Q50" s="180">
        <f>'Expense Assumptions'!N111*Scenarios!$B$7</f>
        <v>7994.1801252616551</v>
      </c>
      <c r="R50" s="180">
        <f>'Expense Assumptions'!O111*Scenarios!$B$7</f>
        <v>8234.005529019505</v>
      </c>
      <c r="S50" s="180">
        <f>'Expense Assumptions'!P111*Scenarios!$B$7</f>
        <v>8481.0256948900897</v>
      </c>
      <c r="T50" s="180">
        <f>'Expense Assumptions'!Q111*Scenarios!$B$7</f>
        <v>8735.4564657367919</v>
      </c>
    </row>
    <row r="51" spans="1:20" ht="15.75" customHeight="1">
      <c r="A51" s="26"/>
      <c r="B51" s="26"/>
      <c r="C51" s="140" t="s">
        <v>422</v>
      </c>
      <c r="D51" s="140"/>
      <c r="E51" s="26"/>
      <c r="F51" s="26"/>
      <c r="G51" s="180"/>
      <c r="H51" s="180">
        <f>IF(H$8=1,Inputs!$E$416*(1+Inputs!$E$535)^((2000+VALUE(RIGHT(H$6,2)))-2027)*Scenarios!$B$7,0)</f>
        <v>0</v>
      </c>
      <c r="I51" s="180">
        <f>IF(I$8=1,Inputs!$E$416*(1+Inputs!$E$535)^((2000+VALUE(RIGHT(I$6,2)))-2027)*Scenarios!$B$7,0)</f>
        <v>0</v>
      </c>
      <c r="J51" s="180">
        <f>'Expense Assumptions'!G112*Scenarios!$B$7</f>
        <v>20000</v>
      </c>
      <c r="K51" s="180">
        <f>'Expense Assumptions'!H112*Scenarios!$B$7</f>
        <v>20600</v>
      </c>
      <c r="L51" s="180">
        <f>'Expense Assumptions'!I112*Scenarios!$B$7</f>
        <v>21218</v>
      </c>
      <c r="M51" s="180">
        <f>'Expense Assumptions'!J112*Scenarios!$B$7</f>
        <v>21854.54</v>
      </c>
      <c r="N51" s="180">
        <f>'Expense Assumptions'!K112*Scenarios!$B$7</f>
        <v>22510.176200000002</v>
      </c>
      <c r="O51" s="180">
        <f>'Expense Assumptions'!L112*Scenarios!$B$7</f>
        <v>23185.481486000001</v>
      </c>
      <c r="P51" s="180">
        <f>'Expense Assumptions'!M112*Scenarios!$B$7</f>
        <v>23881.04593058</v>
      </c>
      <c r="Q51" s="180">
        <f>'Expense Assumptions'!N112*Scenarios!$B$7</f>
        <v>24597.4773084974</v>
      </c>
      <c r="R51" s="180">
        <f>'Expense Assumptions'!O112*Scenarios!$B$7</f>
        <v>25335.401627752322</v>
      </c>
      <c r="S51" s="180">
        <f>'Expense Assumptions'!P112*Scenarios!$B$7</f>
        <v>26095.463676584892</v>
      </c>
      <c r="T51" s="180">
        <f>'Expense Assumptions'!Q112*Scenarios!$B$7</f>
        <v>26878.327586882438</v>
      </c>
    </row>
    <row r="52" spans="1:20" ht="15.75" customHeight="1">
      <c r="A52" s="26"/>
      <c r="B52" s="26"/>
      <c r="C52" s="140" t="s">
        <v>423</v>
      </c>
      <c r="D52" s="140"/>
      <c r="E52" s="26"/>
      <c r="F52" s="26"/>
      <c r="G52" s="180"/>
      <c r="H52" s="180">
        <f>IF(H$8=1,Inputs!$E$408*(1+Inputs!$E$535)^((2000+VALUE(RIGHT(H$6,2)))-2027)*Scenarios!$B$7,0)</f>
        <v>0</v>
      </c>
      <c r="I52" s="180">
        <f>IF(I$8=1,Inputs!$E$408*(1+Inputs!$E$535)^((2000+VALUE(RIGHT(I$6,2)))-2027)*Scenarios!$B$7,0)</f>
        <v>0</v>
      </c>
      <c r="J52" s="180">
        <f>'Expense Assumptions'!G110*Scenarios!$B$7</f>
        <v>50000</v>
      </c>
      <c r="K52" s="180">
        <f>'Expense Assumptions'!H110*Scenarios!$B$7</f>
        <v>51500</v>
      </c>
      <c r="L52" s="180">
        <f>'Expense Assumptions'!I110*Scenarios!$B$7</f>
        <v>53045</v>
      </c>
      <c r="M52" s="180">
        <f>'Expense Assumptions'!J110*Scenarios!$B$7</f>
        <v>54636.35</v>
      </c>
      <c r="N52" s="180">
        <f>'Expense Assumptions'!K110*Scenarios!$B$7</f>
        <v>56275.440499999997</v>
      </c>
      <c r="O52" s="180">
        <f>'Expense Assumptions'!L110*Scenarios!$B$7</f>
        <v>57963.703714999996</v>
      </c>
      <c r="P52" s="180">
        <f>'Expense Assumptions'!M110*Scenarios!$B$7</f>
        <v>59702.614826450001</v>
      </c>
      <c r="Q52" s="180">
        <f>'Expense Assumptions'!N110*Scenarios!$B$7</f>
        <v>61493.693271243501</v>
      </c>
      <c r="R52" s="180">
        <f>'Expense Assumptions'!O110*Scenarios!$B$7</f>
        <v>63338.504069380804</v>
      </c>
      <c r="S52" s="180">
        <f>'Expense Assumptions'!P110*Scenarios!$B$7</f>
        <v>65238.659191462233</v>
      </c>
      <c r="T52" s="180">
        <f>'Expense Assumptions'!Q110*Scenarios!$B$7</f>
        <v>67195.818967206098</v>
      </c>
    </row>
    <row r="53" spans="1:20" ht="15.75" customHeight="1">
      <c r="A53" s="26"/>
      <c r="B53" s="26"/>
      <c r="C53" s="140" t="s">
        <v>424</v>
      </c>
      <c r="D53" s="140"/>
      <c r="E53" s="26"/>
      <c r="F53" s="26"/>
      <c r="G53" s="180"/>
      <c r="H53" s="180">
        <f>IF(H$8=1,Inputs!$E$413*(1+Inputs!$E$535)^((2000+VALUE(RIGHT(H$6,2)))-2027)*Scenarios!$B$7,0)</f>
        <v>0</v>
      </c>
      <c r="I53" s="180">
        <f>IF(I$8=1,Inputs!$E$413*(1+Inputs!$E$535)^((2000+VALUE(RIGHT(I$6,2)))-2027)*Scenarios!$B$7,0)</f>
        <v>0</v>
      </c>
      <c r="J53" s="277">
        <f>'Expense Assumptions'!G95*Scenarios!$B$7</f>
        <v>410000</v>
      </c>
      <c r="K53" s="180">
        <f>'Expense Assumptions'!H95*Scenarios!$B$7</f>
        <v>422300</v>
      </c>
      <c r="L53" s="180">
        <f>'Expense Assumptions'!I95*Scenarios!$B$7</f>
        <v>434969</v>
      </c>
      <c r="M53" s="180">
        <f>'Expense Assumptions'!J95*Scenarios!$B$7</f>
        <v>448018.07</v>
      </c>
      <c r="N53" s="180">
        <f>'Expense Assumptions'!K95*Scenarios!$B$7</f>
        <v>461458.61210000003</v>
      </c>
      <c r="O53" s="180">
        <f>'Expense Assumptions'!L95*Scenarios!$B$7</f>
        <v>475302.37046300003</v>
      </c>
      <c r="P53" s="180">
        <f>'Expense Assumptions'!M95*Scenarios!$B$7</f>
        <v>489561.44157688995</v>
      </c>
      <c r="Q53" s="180">
        <f>'Expense Assumptions'!N95*Scenarios!$B$7</f>
        <v>504248.28482419671</v>
      </c>
      <c r="R53" s="180">
        <f>'Expense Assumptions'!O95*Scenarios!$B$7</f>
        <v>519375.73336892261</v>
      </c>
      <c r="S53" s="180">
        <f>'Expense Assumptions'!P95*Scenarios!$B$7</f>
        <v>534957.00536999037</v>
      </c>
      <c r="T53" s="180">
        <f>'Expense Assumptions'!Q95*Scenarios!$B$7</f>
        <v>551005.71553109004</v>
      </c>
    </row>
    <row r="54" spans="1:20" ht="15.75" customHeight="1">
      <c r="A54" s="26"/>
      <c r="B54" s="26"/>
      <c r="C54" s="140" t="s">
        <v>425</v>
      </c>
      <c r="D54" s="140"/>
      <c r="E54" s="26"/>
      <c r="F54" s="26"/>
      <c r="G54" s="180"/>
      <c r="H54" s="180">
        <f>IF(H$8=1,Inputs!$E$411*(1+Inputs!$E$535)^((2000+VALUE(RIGHT(H$6,2)))-2027)*Scenarios!$B$7,0)</f>
        <v>0</v>
      </c>
      <c r="I54" s="180">
        <f>IF(I$8=1,Inputs!$E$411*(1+Inputs!$E$535)^((2000+VALUE(RIGHT(I$6,2)))-2027)*Scenarios!$B$7,0)</f>
        <v>0</v>
      </c>
      <c r="J54" s="180">
        <f>'Expense Assumptions'!G107*Scenarios!$B$7</f>
        <v>80000</v>
      </c>
      <c r="K54" s="180">
        <f>'Expense Assumptions'!H107*Scenarios!$B$7</f>
        <v>82400</v>
      </c>
      <c r="L54" s="180">
        <f>'Expense Assumptions'!I107*Scenarios!$B$7</f>
        <v>84872</v>
      </c>
      <c r="M54" s="180">
        <f>'Expense Assumptions'!J107*Scenarios!$B$7</f>
        <v>87418.16</v>
      </c>
      <c r="N54" s="180">
        <f>'Expense Assumptions'!K107*Scenarios!$B$7</f>
        <v>90040.704800000007</v>
      </c>
      <c r="O54" s="180">
        <f>'Expense Assumptions'!L107*Scenarios!$B$7</f>
        <v>92741.925944000002</v>
      </c>
      <c r="P54" s="180">
        <f>'Expense Assumptions'!M107*Scenarios!$B$7</f>
        <v>95524.183722319998</v>
      </c>
      <c r="Q54" s="180">
        <f>'Expense Assumptions'!N107*Scenarios!$B$7</f>
        <v>98389.909233989601</v>
      </c>
      <c r="R54" s="180">
        <f>'Expense Assumptions'!O107*Scenarios!$B$7</f>
        <v>101341.60651100929</v>
      </c>
      <c r="S54" s="180">
        <f>'Expense Assumptions'!P107*Scenarios!$B$7</f>
        <v>104381.85470633957</v>
      </c>
      <c r="T54" s="180">
        <f>'Expense Assumptions'!Q107*Scenarios!$B$7</f>
        <v>107513.31034752975</v>
      </c>
    </row>
    <row r="55" spans="1:20" ht="15.75" customHeight="1">
      <c r="A55" s="26"/>
      <c r="B55" s="26"/>
      <c r="C55" s="140" t="s">
        <v>426</v>
      </c>
      <c r="D55" s="140"/>
      <c r="E55" s="26"/>
      <c r="F55" s="26"/>
      <c r="G55" s="180"/>
      <c r="H55" s="180">
        <f>IF(H8=1,Inputs!$E$352*H24,0)</f>
        <v>0</v>
      </c>
      <c r="I55" s="180">
        <f>IF(I8=1,Inputs!$E$352*I24,0)</f>
        <v>0</v>
      </c>
      <c r="J55" s="180">
        <f>Inputs!$E$352*J24*Scenarios!$B$7</f>
        <v>277500</v>
      </c>
      <c r="K55" s="180">
        <f>Inputs!$E$352*K24*Scenarios!$B$7</f>
        <v>284437.5</v>
      </c>
      <c r="L55" s="180">
        <f>Inputs!$E$352*L24*Scenarios!$B$7</f>
        <v>291548.4375</v>
      </c>
      <c r="M55" s="180">
        <f>Inputs!$E$352*M24*Scenarios!$B$7</f>
        <v>298837.14843749994</v>
      </c>
      <c r="N55" s="180">
        <f>Inputs!$E$352*N24*Scenarios!$B$7</f>
        <v>306308.07714843744</v>
      </c>
      <c r="O55" s="180">
        <f>Inputs!$E$352*O24*Scenarios!$B$7</f>
        <v>313965.7790771483</v>
      </c>
      <c r="P55" s="180">
        <f>Inputs!$E$352*P24*Scenarios!$B$7</f>
        <v>321814.92355407699</v>
      </c>
      <c r="Q55" s="180">
        <f>Inputs!$E$352*Q24*Scenarios!$B$7</f>
        <v>329860.29664292891</v>
      </c>
      <c r="R55" s="180">
        <f>Inputs!$E$352*R24*Scenarios!$B$7</f>
        <v>338106.80405900208</v>
      </c>
      <c r="S55" s="180">
        <f>Inputs!$E$352*S24*Scenarios!$B$7</f>
        <v>346559.47416047717</v>
      </c>
      <c r="T55" s="180">
        <f>Inputs!$E$352*T24*Scenarios!$B$7</f>
        <v>355223.46101448912</v>
      </c>
    </row>
    <row r="56" spans="1:20" ht="15.75" customHeight="1">
      <c r="A56" s="26"/>
      <c r="B56" s="26"/>
      <c r="C56" s="140" t="s">
        <v>427</v>
      </c>
      <c r="D56" s="140"/>
      <c r="E56" s="26"/>
      <c r="F56" s="26"/>
      <c r="G56" s="180"/>
      <c r="H56" s="180">
        <f>IF(H8=1,Inputs!$E$353*H24,0)</f>
        <v>0</v>
      </c>
      <c r="I56" s="180">
        <f>IF(I8=1,Inputs!$E$353*I24,0)</f>
        <v>0</v>
      </c>
      <c r="J56" s="180">
        <f>Inputs!$E$353*J24*Scenarios!$B$7</f>
        <v>92500</v>
      </c>
      <c r="K56" s="180">
        <f>Inputs!$E$353*K24*Scenarios!$B$7</f>
        <v>94812.5</v>
      </c>
      <c r="L56" s="180">
        <f>Inputs!$E$353*L24*Scenarios!$B$7</f>
        <v>97182.8125</v>
      </c>
      <c r="M56" s="180">
        <f>Inputs!$E$353*M24*Scenarios!$B$7</f>
        <v>99612.3828125</v>
      </c>
      <c r="N56" s="180">
        <f>Inputs!$E$353*N24*Scenarios!$B$7</f>
        <v>102102.69238281249</v>
      </c>
      <c r="O56" s="180">
        <f>Inputs!$E$353*O24*Scenarios!$B$7</f>
        <v>104655.25969238278</v>
      </c>
      <c r="P56" s="180">
        <f>Inputs!$E$353*P24*Scenarios!$B$7</f>
        <v>107271.64118469234</v>
      </c>
      <c r="Q56" s="180">
        <f>Inputs!$E$353*Q24*Scenarios!$B$7</f>
        <v>109953.43221430965</v>
      </c>
      <c r="R56" s="180">
        <f>Inputs!$E$353*R24*Scenarios!$B$7</f>
        <v>112702.26801966736</v>
      </c>
      <c r="S56" s="180">
        <f>Inputs!$E$353*S24*Scenarios!$B$7</f>
        <v>115519.82472015906</v>
      </c>
      <c r="T56" s="180">
        <f>Inputs!$E$353*T24*Scenarios!$B$7</f>
        <v>118407.82033816304</v>
      </c>
    </row>
    <row r="57" spans="1:20" ht="15.75" customHeight="1">
      <c r="A57" s="26"/>
      <c r="B57" s="26"/>
      <c r="C57" s="140" t="s">
        <v>428</v>
      </c>
      <c r="D57" s="140"/>
      <c r="E57" s="26"/>
      <c r="F57" s="26"/>
      <c r="G57" s="180"/>
      <c r="H57" s="180">
        <f t="shared" ref="H57:T57" si="15">0</f>
        <v>0</v>
      </c>
      <c r="I57" s="180">
        <f t="shared" si="15"/>
        <v>0</v>
      </c>
      <c r="J57" s="180">
        <f t="shared" si="15"/>
        <v>0</v>
      </c>
      <c r="K57" s="180">
        <f t="shared" si="15"/>
        <v>0</v>
      </c>
      <c r="L57" s="180">
        <f t="shared" si="15"/>
        <v>0</v>
      </c>
      <c r="M57" s="180">
        <f t="shared" si="15"/>
        <v>0</v>
      </c>
      <c r="N57" s="180">
        <f t="shared" si="15"/>
        <v>0</v>
      </c>
      <c r="O57" s="180">
        <f t="shared" si="15"/>
        <v>0</v>
      </c>
      <c r="P57" s="180">
        <f t="shared" si="15"/>
        <v>0</v>
      </c>
      <c r="Q57" s="180">
        <f t="shared" si="15"/>
        <v>0</v>
      </c>
      <c r="R57" s="180">
        <f t="shared" si="15"/>
        <v>0</v>
      </c>
      <c r="S57" s="180">
        <f t="shared" si="15"/>
        <v>0</v>
      </c>
      <c r="T57" s="180">
        <f t="shared" si="15"/>
        <v>0</v>
      </c>
    </row>
    <row r="58" spans="1:20" ht="15.75" customHeight="1">
      <c r="A58" s="26"/>
      <c r="B58" s="26"/>
      <c r="C58" s="140" t="str">
        <f>'Expense Assumptions'!C62</f>
        <v>Annual Venue Lease</v>
      </c>
      <c r="D58" s="140"/>
      <c r="E58" s="26"/>
      <c r="F58" s="26"/>
      <c r="G58" s="180"/>
      <c r="H58" s="180">
        <f t="array" ref="H58">IF(H8=1,INDEX('Expense Assumptions'!$F$62:$Q$62,MATCH((2000+VALUE(RIGHT(H$6,2))),'Expense Assumptions'!$F$21:$Q$21,0))*Scenarios!$B$7,0)</f>
        <v>0</v>
      </c>
      <c r="I58" s="180">
        <f t="array" ref="I58">IF(I8=1,INDEX('Expense Assumptions'!$F$62:$Q$62,MATCH((2000+VALUE(RIGHT(I$6,2))),'Expense Assumptions'!$F$21:$Q$21,0))*Scenarios!$B$7,0)</f>
        <v>0</v>
      </c>
      <c r="J58" s="180">
        <f t="array" ref="J58">IF(J8=1,INDEX('Expense Assumptions'!$F$62:$Q$62,MATCH((2000+VALUE(RIGHT(J$6,2))),'Expense Assumptions'!$F$21:$Q$21,0))*Scenarios!$B$7,0)</f>
        <v>0</v>
      </c>
      <c r="K58" s="180">
        <f>'Expense Assumptions'!H62</f>
        <v>375375</v>
      </c>
      <c r="L58" s="180">
        <f>'Expense Assumptions'!I62</f>
        <v>422638.125</v>
      </c>
      <c r="M58" s="180">
        <f>'Expense Assumptions'!J62</f>
        <v>437430.45937499992</v>
      </c>
      <c r="N58" s="180">
        <f>'Expense Assumptions'!K62</f>
        <v>452740.52545312478</v>
      </c>
      <c r="O58" s="180">
        <f>'Expense Assumptions'!L62</f>
        <v>899337.89020359353</v>
      </c>
      <c r="P58" s="180">
        <f>'Expense Assumptions'!M62</f>
        <v>969973.93875704729</v>
      </c>
      <c r="Q58" s="180">
        <f>'Expense Assumptions'!N62</f>
        <v>1003923.0266135442</v>
      </c>
      <c r="R58" s="180">
        <f>'Expense Assumptions'!O62</f>
        <v>1039060.3325450178</v>
      </c>
      <c r="S58" s="180">
        <f>'Expense Assumptions'!P62</f>
        <v>1075427.4441840933</v>
      </c>
      <c r="T58" s="180">
        <f>'Expense Assumptions'!Q62</f>
        <v>461943.19421194645</v>
      </c>
    </row>
    <row r="59" spans="1:20" ht="15.75" customHeight="1">
      <c r="A59" s="26"/>
      <c r="B59" s="26"/>
      <c r="C59" s="140" t="s">
        <v>429</v>
      </c>
      <c r="D59" s="140"/>
      <c r="E59" s="26"/>
      <c r="F59" s="26"/>
      <c r="G59" s="180"/>
      <c r="H59" s="180">
        <f>IF(H$8=1,H$58*RM_OutgoingsPct,0)</f>
        <v>0</v>
      </c>
      <c r="I59" s="180">
        <f>IF(I$8=1,I$58*RM_OutgoingsPct,0)</f>
        <v>0</v>
      </c>
      <c r="J59" s="180">
        <f>IF(I$8=1,J$58*RM_OutgoingsPct,0)</f>
        <v>0</v>
      </c>
      <c r="K59" s="180">
        <f>'Expense Assumptions'!H63</f>
        <v>56306.25</v>
      </c>
      <c r="L59" s="180">
        <f>'Expense Assumptions'!I63</f>
        <v>63395.71875</v>
      </c>
      <c r="M59" s="180">
        <f>'Expense Assumptions'!J63</f>
        <v>65614.568906249988</v>
      </c>
      <c r="N59" s="180">
        <f>'Expense Assumptions'!K63</f>
        <v>67911.078817968708</v>
      </c>
      <c r="O59" s="180">
        <f>'Expense Assumptions'!L63</f>
        <v>134900.68353053901</v>
      </c>
      <c r="P59" s="180">
        <f>'Expense Assumptions'!M63</f>
        <v>145496.09081355709</v>
      </c>
      <c r="Q59" s="180">
        <f>'Expense Assumptions'!N63</f>
        <v>150588.45399203163</v>
      </c>
      <c r="R59" s="180">
        <f>'Expense Assumptions'!O63</f>
        <v>155859.04988175267</v>
      </c>
      <c r="S59" s="180">
        <f>'Expense Assumptions'!P63</f>
        <v>161314.11662761398</v>
      </c>
      <c r="T59" s="180">
        <f>'Expense Assumptions'!Q63</f>
        <v>69291.479131791959</v>
      </c>
    </row>
    <row r="60" spans="1:20" ht="15.75" customHeight="1">
      <c r="A60" s="26"/>
      <c r="B60" s="26"/>
      <c r="C60" s="140" t="s">
        <v>430</v>
      </c>
      <c r="D60" s="140"/>
      <c r="E60" s="26"/>
      <c r="F60" s="26"/>
      <c r="G60" s="180"/>
      <c r="H60" s="180">
        <f>IF(H8=1,Inputs!$E$406*(1+Inputs!$E$535)^((2000+VALUE(RIGHT(H$6,2)))-2027)*Scenarios!$B$7,0)</f>
        <v>0</v>
      </c>
      <c r="I60" s="180">
        <f>Inputs!E391</f>
        <v>200000</v>
      </c>
      <c r="J60" s="180">
        <f>'Expense Assumptions'!G103*Scenarios!$B$7</f>
        <v>100000</v>
      </c>
      <c r="K60" s="180">
        <f>'Expense Assumptions'!H103*Scenarios!$B$7</f>
        <v>103000</v>
      </c>
      <c r="L60" s="180">
        <f>'Expense Assumptions'!I103*Scenarios!$B$7</f>
        <v>106090</v>
      </c>
      <c r="M60" s="180">
        <f>'Expense Assumptions'!J103*Scenarios!$B$7</f>
        <v>109272.7</v>
      </c>
      <c r="N60" s="180">
        <f>'Expense Assumptions'!K103*Scenarios!$B$7</f>
        <v>112550.88099999999</v>
      </c>
      <c r="O60" s="180">
        <f>'Expense Assumptions'!L103*Scenarios!$B$7</f>
        <v>115927.40742999999</v>
      </c>
      <c r="P60" s="180">
        <f>'Expense Assumptions'!M103*Scenarios!$B$7</f>
        <v>119405.2296529</v>
      </c>
      <c r="Q60" s="180">
        <f>'Expense Assumptions'!N103*Scenarios!$B$7</f>
        <v>122987.386542487</v>
      </c>
      <c r="R60" s="180">
        <f>'Expense Assumptions'!O103*Scenarios!$B$7</f>
        <v>126677.00813876161</v>
      </c>
      <c r="S60" s="180">
        <f>'Expense Assumptions'!P103*Scenarios!$B$7</f>
        <v>130477.31838292447</v>
      </c>
      <c r="T60" s="180">
        <f>'Expense Assumptions'!Q103*Scenarios!$B$7</f>
        <v>134391.6379344122</v>
      </c>
    </row>
    <row r="61" spans="1:20" ht="15.75" customHeight="1">
      <c r="A61" s="26"/>
      <c r="B61" s="26"/>
      <c r="C61" s="140" t="s">
        <v>431</v>
      </c>
      <c r="D61" s="140"/>
      <c r="E61" s="26"/>
      <c r="F61" s="26"/>
      <c r="G61" s="180"/>
      <c r="H61" s="180">
        <f>IF(H9=1,Inputs!$E$406*(1+Inputs!$E$535)^((2000+VALUE(RIGHT(H$6,2)))-2027)*Scenarios!$B$7,0)</f>
        <v>0</v>
      </c>
      <c r="I61" s="180">
        <v>0</v>
      </c>
      <c r="J61" s="180">
        <f>'Expense Assumptions'!G104*Scenarios!$B$7</f>
        <v>80000</v>
      </c>
      <c r="K61" s="180">
        <f>'Expense Assumptions'!H104*Scenarios!$B$7</f>
        <v>82400</v>
      </c>
      <c r="L61" s="180">
        <f>'Expense Assumptions'!I104*Scenarios!$B$7</f>
        <v>84872</v>
      </c>
      <c r="M61" s="180">
        <f>'Expense Assumptions'!J104*Scenarios!$B$7</f>
        <v>87418.16</v>
      </c>
      <c r="N61" s="180">
        <f>'Expense Assumptions'!K104*Scenarios!$B$7</f>
        <v>90040.704800000007</v>
      </c>
      <c r="O61" s="180">
        <f>'Expense Assumptions'!L104*Scenarios!$B$7</f>
        <v>92741.925944000002</v>
      </c>
      <c r="P61" s="180">
        <f>'Expense Assumptions'!M104*Scenarios!$B$7</f>
        <v>95524.183722319998</v>
      </c>
      <c r="Q61" s="180">
        <f>'Expense Assumptions'!N104*Scenarios!$B$7</f>
        <v>98389.909233989601</v>
      </c>
      <c r="R61" s="180">
        <f>'Expense Assumptions'!O104*Scenarios!$B$7</f>
        <v>101341.60651100929</v>
      </c>
      <c r="S61" s="180">
        <f>'Expense Assumptions'!P104*Scenarios!$B$7</f>
        <v>104381.85470633957</v>
      </c>
      <c r="T61" s="180">
        <f>'Expense Assumptions'!Q104*Scenarios!$B$7</f>
        <v>107513.31034752975</v>
      </c>
    </row>
    <row r="62" spans="1:20" ht="15.75" customHeight="1">
      <c r="A62" s="26"/>
      <c r="B62" s="26"/>
      <c r="C62" s="140" t="s">
        <v>432</v>
      </c>
      <c r="D62" s="140"/>
      <c r="E62" s="26"/>
      <c r="F62" s="26"/>
      <c r="G62" s="180"/>
      <c r="H62" s="180">
        <f>IF(H8=1,Inputs!$E$405*(1+Inputs!$E$538)^((2000+VALUE(RIGHT(H$6,2)))-2027)*Scenarios!$B$7,0)</f>
        <v>0</v>
      </c>
      <c r="I62" s="180">
        <f>Inputs!E393</f>
        <v>30000</v>
      </c>
      <c r="J62" s="180">
        <f>'Expense Assumptions'!G113*Scenarios!$B$7</f>
        <v>80000</v>
      </c>
      <c r="K62" s="180">
        <f>'Expense Assumptions'!H113*Scenarios!$B$7</f>
        <v>82400</v>
      </c>
      <c r="L62" s="180">
        <f>'Expense Assumptions'!I113*Scenarios!$B$7</f>
        <v>84872</v>
      </c>
      <c r="M62" s="180">
        <f>'Expense Assumptions'!J113*Scenarios!$B$7</f>
        <v>87418.16</v>
      </c>
      <c r="N62" s="180">
        <f>'Expense Assumptions'!K113*Scenarios!$B$7</f>
        <v>90040.704800000007</v>
      </c>
      <c r="O62" s="180">
        <f>'Expense Assumptions'!L113*Scenarios!$B$7</f>
        <v>92741.925944000002</v>
      </c>
      <c r="P62" s="180">
        <f>'Expense Assumptions'!M113*Scenarios!$B$7</f>
        <v>95524.183722319998</v>
      </c>
      <c r="Q62" s="180">
        <f>'Expense Assumptions'!N113*Scenarios!$B$7</f>
        <v>98389.909233989601</v>
      </c>
      <c r="R62" s="180">
        <f>'Expense Assumptions'!O113*Scenarios!$B$7</f>
        <v>101341.60651100929</v>
      </c>
      <c r="S62" s="180">
        <f>'Expense Assumptions'!P113*Scenarios!$B$7</f>
        <v>104381.85470633957</v>
      </c>
      <c r="T62" s="180">
        <f>'Expense Assumptions'!Q113*Scenarios!$B$7</f>
        <v>107513.31034752975</v>
      </c>
    </row>
    <row r="63" spans="1:20" ht="15.75" customHeight="1">
      <c r="A63" s="26"/>
      <c r="B63" s="26"/>
      <c r="C63" s="140" t="s">
        <v>433</v>
      </c>
      <c r="D63" s="140"/>
      <c r="E63" s="26"/>
      <c r="F63" s="26"/>
      <c r="G63" s="180"/>
      <c r="H63" s="180">
        <f>IF(H8=1,H28*Inputs!$E$460*Scenarios!$B$7,0)</f>
        <v>0</v>
      </c>
      <c r="I63" s="180">
        <f>IF(I8=1,I28*Inputs!$E$460*Scenarios!$B$7,0)</f>
        <v>0</v>
      </c>
      <c r="J63" s="180">
        <f>J28*Inputs!$E$460*Scenarios!$B$7</f>
        <v>93861.66707499999</v>
      </c>
      <c r="K63" s="180">
        <f>K28*Inputs!$E$460*Scenarios!$B$7</f>
        <v>98382.511444699994</v>
      </c>
      <c r="L63" s="180">
        <f>L28*Inputs!$E$460*Scenarios!$B$7</f>
        <v>103077.60941231452</v>
      </c>
      <c r="M63" s="180">
        <f>M28*Inputs!$E$460*Scenarios!$B$7</f>
        <v>109043.17277232</v>
      </c>
      <c r="N63" s="180">
        <f>N28*Inputs!$E$460*Scenarios!$B$7</f>
        <v>111503.783461349</v>
      </c>
      <c r="O63" s="180">
        <f>O28*Inputs!$E$460*Scenarios!$B$7</f>
        <v>114036.58030869531</v>
      </c>
      <c r="P63" s="180">
        <f>P28*Inputs!$E$460*Scenarios!$B$7</f>
        <v>116643.68809504967</v>
      </c>
      <c r="Q63" s="180">
        <f>Q28*Inputs!$E$460*Scenarios!$B$7</f>
        <v>119327.29432442199</v>
      </c>
      <c r="R63" s="180">
        <f>R28*Inputs!$E$460*Scenarios!$B$7</f>
        <v>122089.65108033853</v>
      </c>
      <c r="S63" s="180">
        <f>S28*Inputs!$E$460*Scenarios!$B$7</f>
        <v>124933.07693708719</v>
      </c>
      <c r="T63" s="180">
        <f>T28*Inputs!$E$460*Scenarios!$B$7</f>
        <v>127859.95892764669</v>
      </c>
    </row>
    <row r="64" spans="1:20" ht="15.75" customHeight="1">
      <c r="A64" s="26"/>
      <c r="B64" s="26"/>
      <c r="C64" s="140" t="s">
        <v>434</v>
      </c>
      <c r="D64" s="140"/>
      <c r="E64" s="26"/>
      <c r="F64" s="26"/>
      <c r="G64" s="180"/>
      <c r="H64" s="180">
        <f>IF(H$8=1,Inputs!$E$409*(1+Inputs!$E$535)^((2000+VALUE(RIGHT(H$6,2)))-2027)*Scenarios!$B$7,0)</f>
        <v>0</v>
      </c>
      <c r="I64" s="180">
        <f>IF(I$8=1,Inputs!$E$409*(1+Inputs!$E$535)^((2000+VALUE(RIGHT(I$6,2)))-2027)*Scenarios!$B$7,0)</f>
        <v>0</v>
      </c>
      <c r="J64" s="180">
        <f>'Expense Assumptions'!G109*Scenarios!$B$7</f>
        <v>25000</v>
      </c>
      <c r="K64" s="180">
        <f>'Expense Assumptions'!H109*Scenarios!$B$7</f>
        <v>25750</v>
      </c>
      <c r="L64" s="180">
        <f>'Expense Assumptions'!I109*Scenarios!$B$7</f>
        <v>26522.5</v>
      </c>
      <c r="M64" s="180">
        <f>'Expense Assumptions'!J109*Scenarios!$B$7</f>
        <v>27318.174999999999</v>
      </c>
      <c r="N64" s="180">
        <f>'Expense Assumptions'!K109*Scenarios!$B$7</f>
        <v>28137.720249999998</v>
      </c>
      <c r="O64" s="180">
        <f>'Expense Assumptions'!L109*Scenarios!$B$7</f>
        <v>28981.851857499998</v>
      </c>
      <c r="P64" s="180">
        <f>'Expense Assumptions'!M109*Scenarios!$B$7</f>
        <v>29851.307413225</v>
      </c>
      <c r="Q64" s="180">
        <f>'Expense Assumptions'!N109*Scenarios!$B$7</f>
        <v>30746.84663562175</v>
      </c>
      <c r="R64" s="180">
        <f>'Expense Assumptions'!O109*Scenarios!$B$7</f>
        <v>31669.252034690402</v>
      </c>
      <c r="S64" s="180">
        <f>'Expense Assumptions'!P109*Scenarios!$B$7</f>
        <v>32619.329595731117</v>
      </c>
      <c r="T64" s="180">
        <f>'Expense Assumptions'!Q109*Scenarios!$B$7</f>
        <v>33597.909483603049</v>
      </c>
    </row>
    <row r="65" spans="1:26" ht="15.75" customHeight="1">
      <c r="A65" s="26"/>
      <c r="B65" s="26"/>
      <c r="C65" s="140" t="s">
        <v>435</v>
      </c>
      <c r="D65" s="140"/>
      <c r="E65" s="26"/>
      <c r="F65" s="26"/>
      <c r="G65" s="180"/>
      <c r="H65" s="180">
        <f>IF(H$8=1,Inputs!$E$410*(1+Inputs!$E$535)^((2000+VALUE(RIGHT(H$6,2)))-2027)*Scenarios!$B$7,0)</f>
        <v>0</v>
      </c>
      <c r="I65" s="180">
        <f>IF(I$8=1,Inputs!$E$410*(1+Inputs!$E$535)^((2000+VALUE(RIGHT(I$6,2)))-2027)*Scenarios!$B$7,0)</f>
        <v>0</v>
      </c>
      <c r="J65" s="180">
        <f>'Expense Assumptions'!G108*Scenarios!$B$7</f>
        <v>10000</v>
      </c>
      <c r="K65" s="180">
        <f>'Expense Assumptions'!H108*Scenarios!$B$7</f>
        <v>10300</v>
      </c>
      <c r="L65" s="180">
        <f>'Expense Assumptions'!I108*Scenarios!$B$7</f>
        <v>10609</v>
      </c>
      <c r="M65" s="180">
        <f>'Expense Assumptions'!J108*Scenarios!$B$7</f>
        <v>10927.27</v>
      </c>
      <c r="N65" s="180">
        <f>'Expense Assumptions'!K108*Scenarios!$B$7</f>
        <v>11255.088100000001</v>
      </c>
      <c r="O65" s="180">
        <f>'Expense Assumptions'!L108*Scenarios!$B$7</f>
        <v>11592.740743</v>
      </c>
      <c r="P65" s="180">
        <f>'Expense Assumptions'!M108*Scenarios!$B$7</f>
        <v>11940.52296529</v>
      </c>
      <c r="Q65" s="180">
        <f>'Expense Assumptions'!N108*Scenarios!$B$7</f>
        <v>12298.7386542487</v>
      </c>
      <c r="R65" s="180">
        <f>'Expense Assumptions'!O108*Scenarios!$B$7</f>
        <v>12667.700813876161</v>
      </c>
      <c r="S65" s="180">
        <f>'Expense Assumptions'!P108*Scenarios!$B$7</f>
        <v>13047.731838292446</v>
      </c>
      <c r="T65" s="180">
        <f>'Expense Assumptions'!Q108*Scenarios!$B$7</f>
        <v>13439.163793441219</v>
      </c>
    </row>
    <row r="66" spans="1:26" ht="15.75" customHeight="1">
      <c r="A66" s="26"/>
      <c r="B66" s="26"/>
      <c r="C66" s="140"/>
      <c r="D66" s="140"/>
      <c r="E66" s="26"/>
      <c r="F66" s="26"/>
      <c r="G66" s="180"/>
      <c r="H66" s="180">
        <v>0</v>
      </c>
      <c r="I66" s="180">
        <v>0</v>
      </c>
      <c r="J66" s="180">
        <v>0</v>
      </c>
      <c r="K66" s="180">
        <v>0</v>
      </c>
      <c r="L66" s="180">
        <v>0</v>
      </c>
      <c r="M66" s="180">
        <v>0</v>
      </c>
      <c r="N66" s="180">
        <v>0</v>
      </c>
      <c r="O66" s="180">
        <v>0</v>
      </c>
      <c r="P66" s="180">
        <v>0</v>
      </c>
      <c r="Q66" s="180">
        <v>0</v>
      </c>
      <c r="R66" s="180">
        <v>0</v>
      </c>
      <c r="S66" s="180">
        <v>0</v>
      </c>
      <c r="T66" s="180">
        <v>0</v>
      </c>
    </row>
    <row r="67" spans="1:26" ht="15.75" customHeight="1">
      <c r="A67" s="26"/>
      <c r="B67" s="26"/>
      <c r="C67" s="140" t="s">
        <v>436</v>
      </c>
      <c r="D67" s="26"/>
      <c r="E67" s="26"/>
      <c r="F67" s="26"/>
      <c r="G67" s="180"/>
      <c r="H67" s="278">
        <f t="shared" ref="H67:T67" si="16">H68+H69+H70</f>
        <v>0</v>
      </c>
      <c r="I67" s="278">
        <f t="shared" si="16"/>
        <v>590383.09</v>
      </c>
      <c r="J67" s="278">
        <f t="shared" si="16"/>
        <v>1840437</v>
      </c>
      <c r="K67" s="278">
        <f t="shared" si="16"/>
        <v>1897490.547</v>
      </c>
      <c r="L67" s="278">
        <f t="shared" si="16"/>
        <v>1956312.7539569999</v>
      </c>
      <c r="M67" s="278">
        <f t="shared" si="16"/>
        <v>2016958.4493296666</v>
      </c>
      <c r="N67" s="278">
        <f t="shared" si="16"/>
        <v>2079484.1612588859</v>
      </c>
      <c r="O67" s="278">
        <f t="shared" si="16"/>
        <v>2143948.1702579111</v>
      </c>
      <c r="P67" s="278">
        <f t="shared" si="16"/>
        <v>2210410.5635359064</v>
      </c>
      <c r="Q67" s="278">
        <f t="shared" si="16"/>
        <v>2278933.2910055188</v>
      </c>
      <c r="R67" s="278">
        <f t="shared" si="16"/>
        <v>2349580.2230266901</v>
      </c>
      <c r="S67" s="278">
        <f t="shared" si="16"/>
        <v>2422417.2099405178</v>
      </c>
      <c r="T67" s="278">
        <f t="shared" si="16"/>
        <v>2497512.1434486741</v>
      </c>
    </row>
    <row r="68" spans="1:26" ht="15.75" customHeight="1">
      <c r="A68" s="26"/>
      <c r="B68" s="26"/>
      <c r="C68" s="140" t="s">
        <v>437</v>
      </c>
      <c r="D68" s="253"/>
      <c r="E68" s="26"/>
      <c r="F68" s="26"/>
      <c r="G68" s="180"/>
      <c r="H68" s="180">
        <f t="array" ref="H68">IF(H$8=1,INDEX('Expense Assumptions'!$F$35:$Q$35,MATCH((2000+VALUE(RIGHT(H$6,2))),'Expense Assumptions'!$F$21:$Q$21,0))*Scenarios!$B$7,0)</f>
        <v>0</v>
      </c>
      <c r="I68" s="180">
        <f>'Expense Assumptions'!F35</f>
        <v>496999</v>
      </c>
      <c r="J68" s="180">
        <f t="array" ref="J68">IF(J$8=1,INDEX('Expense Assumptions'!$F$35:$Q$35,MATCH(J$6,'Expense Assumptions'!$F$20:$Q$20,0))*Scenarios!$B$7,0)</f>
        <v>1530000</v>
      </c>
      <c r="K68" s="180">
        <f t="array" ref="K68">IF(K$8=1,INDEX('Expense Assumptions'!$F$35:$Q$35,MATCH((2000+VALUE(RIGHT(K$6,2))),'Expense Assumptions'!$F$21:$Q$21,0))*Scenarios!$B$7,0)</f>
        <v>1577430</v>
      </c>
      <c r="L68" s="180">
        <f t="array" ref="L68">IF(L$8=1,INDEX('Expense Assumptions'!$F$35:$Q$35,MATCH((2000+VALUE(RIGHT(L$6,2))),'Expense Assumptions'!$F$21:$Q$21,0))*Scenarios!$B$7,0)</f>
        <v>1626330.3299999998</v>
      </c>
      <c r="M68" s="180">
        <f t="array" ref="M68">IF(M$8=1,INDEX('Expense Assumptions'!$F$35:$Q$35,MATCH((2000+VALUE(RIGHT(M$6,2))),'Expense Assumptions'!$F$21:$Q$21,0))*Scenarios!$B$7,0)</f>
        <v>1676746.5702299997</v>
      </c>
      <c r="N68" s="180">
        <f t="array" ref="N68">IF(N$8=1,INDEX('Expense Assumptions'!$F$35:$Q$35,MATCH((2000+VALUE(RIGHT(N$6,2))),'Expense Assumptions'!$F$21:$Q$21,0))*Scenarios!$B$7,0)</f>
        <v>1728725.7139071294</v>
      </c>
      <c r="O68" s="180">
        <f t="array" ref="O68">IF(O$8=1,INDEX('Expense Assumptions'!$F$35:$Q$35,MATCH((2000+VALUE(RIGHT(O$6,2))),'Expense Assumptions'!$F$21:$Q$21,0))*Scenarios!$B$7,0)</f>
        <v>1782316.2110382502</v>
      </c>
      <c r="P68" s="180">
        <f t="array" ref="P68">IF(P$8=1,INDEX('Expense Assumptions'!$F$35:$Q$35,MATCH((2000+VALUE(RIGHT(P$6,2))),'Expense Assumptions'!$F$21:$Q$21,0))*Scenarios!$B$7,0)</f>
        <v>1837568.0135804359</v>
      </c>
      <c r="Q68" s="180">
        <f t="array" ref="Q68">IF(Q$8=1,INDEX('Expense Assumptions'!$F$35:$Q$35,MATCH((2000+VALUE(RIGHT(Q$6,2))),'Expense Assumptions'!$F$21:$Q$21,0))*Scenarios!$B$7,0)</f>
        <v>1894532.6220014289</v>
      </c>
      <c r="R68" s="180">
        <f t="array" ref="R68">IF(R$8=1,INDEX('Expense Assumptions'!$F$35:$Q$35,MATCH((2000+VALUE(RIGHT(R$6,2))),'Expense Assumptions'!$F$21:$Q$21,0))*Scenarios!$B$7,0)</f>
        <v>1953263.1332834736</v>
      </c>
      <c r="S68" s="180">
        <f t="array" ref="S68">IF(S$8=1,INDEX('Expense Assumptions'!$F$35:$Q$35,MATCH((2000+VALUE(RIGHT(S$6,2))),'Expense Assumptions'!$F$21:$Q$21,0))*Scenarios!$B$7,0)</f>
        <v>2013814.2904152612</v>
      </c>
      <c r="T68" s="180">
        <f t="array" ref="T68">IF(T$8=1,INDEX('Expense Assumptions'!$F$35:$R$35,MATCH((2000+VALUE(RIGHT(T$6,2))),'Expense Assumptions'!$F$21:$R$21,0))*Scenarios!$B$7,0)</f>
        <v>2076242.5334181343</v>
      </c>
    </row>
    <row r="69" spans="1:26" ht="15.75" customHeight="1">
      <c r="A69" s="26"/>
      <c r="B69" s="26"/>
      <c r="C69" s="140" t="s">
        <v>438</v>
      </c>
      <c r="D69" s="253"/>
      <c r="E69" s="26"/>
      <c r="F69" s="26"/>
      <c r="G69" s="180"/>
      <c r="H69" s="180">
        <f t="array" ref="H69">IF(H$8=1,INDEX('Expense Assumptions'!$F$51:$Q$51,MATCH((2000+VALUE(RIGHT(H$6,2))),'Expense Assumptions'!$F$21:$Q$21,0))*Scenarios!$B$7,0)</f>
        <v>0</v>
      </c>
      <c r="I69" s="180">
        <f>'Expense Assumptions'!F51</f>
        <v>93384.09</v>
      </c>
      <c r="J69" s="180">
        <f t="array" ref="J69">IF(J$8=1,INDEX('Expense Assumptions'!$F$51:$Q$51,MATCH((2000+VALUE(RIGHT(J$6,2))),'Expense Assumptions'!$F$21:$Q$21,0))*Scenarios!$B$7,0)</f>
        <v>274350</v>
      </c>
      <c r="K69" s="180">
        <f t="array" ref="K69">IF(K$8=1,INDEX('Expense Assumptions'!$F$51:$Q$51,MATCH((2000+VALUE(RIGHT(K$6,2))),'Expense Assumptions'!$F$21:$Q$21,0))*Scenarios!$B$7,0)</f>
        <v>282854.84999999998</v>
      </c>
      <c r="L69" s="180">
        <f t="array" ref="L69">IF(L$8=1,INDEX('Expense Assumptions'!$F$51:$Q$51,MATCH((2000+VALUE(RIGHT(L$6,2))),'Expense Assumptions'!$F$21:$Q$21,0))*Scenarios!$B$7,0)</f>
        <v>291623.35034999991</v>
      </c>
      <c r="M69" s="180">
        <f t="array" ref="M69">IF(M$8=1,INDEX('Expense Assumptions'!$F$51:$Q$51,MATCH((2000+VALUE(RIGHT(M$6,2))),'Expense Assumptions'!$F$21:$Q$21,0))*Scenarios!$B$7,0)</f>
        <v>300663.67421084997</v>
      </c>
      <c r="N69" s="180">
        <f t="array" ref="N69">IF(N$8=1,INDEX('Expense Assumptions'!$F$51:$Q$51,MATCH((2000+VALUE(RIGHT(N$6,2))),'Expense Assumptions'!$F$21:$Q$21,0))*Scenarios!$B$7,0)</f>
        <v>309984.2481113862</v>
      </c>
      <c r="O69" s="180">
        <f t="array" ref="O69">IF(O$8=1,INDEX('Expense Assumptions'!$F$51:$Q$51,MATCH((2000+VALUE(RIGHT(O$6,2))),'Expense Assumptions'!$F$21:$Q$21,0))*Scenarios!$B$7,0)</f>
        <v>319593.75980283914</v>
      </c>
      <c r="P69" s="180">
        <f t="array" ref="P69">IF(P$8=1,INDEX('Expense Assumptions'!$F$51:$Q$51,MATCH((2000+VALUE(RIGHT(P$6,2))),'Expense Assumptions'!$F$21:$Q$21,0))*Scenarios!$B$7,0)</f>
        <v>329501.16635672719</v>
      </c>
      <c r="Q69" s="180">
        <f t="array" ref="Q69">IF(Q$8=1,INDEX('Expense Assumptions'!$F$51:$Q$51,MATCH((2000+VALUE(RIGHT(Q$6,2))),'Expense Assumptions'!$F$21:$Q$21,0))*Scenarios!$B$7,0)</f>
        <v>339715.70251378568</v>
      </c>
      <c r="R69" s="180">
        <f t="array" ref="R69">IF(R$8=1,INDEX('Expense Assumptions'!$F$51:$Q$51,MATCH((2000+VALUE(RIGHT(R$6,2))),'Expense Assumptions'!$F$21:$Q$21,0))*Scenarios!$B$7,0)</f>
        <v>350246.88929171301</v>
      </c>
      <c r="S69" s="180">
        <f t="array" ref="S69">IF(S$8=1,INDEX('Expense Assumptions'!$F$51:$Q$51,MATCH((2000+VALUE(RIGHT(S$6,2))),'Expense Assumptions'!$F$21:$Q$21,0))*Scenarios!$B$7,0)</f>
        <v>361104.54285975615</v>
      </c>
      <c r="T69" s="180">
        <f t="array" ref="T69">IF(T$8=1,INDEX('Expense Assumptions'!$F$51:$R$51,MATCH((2000+VALUE(RIGHT(T$6,2))),'Expense Assumptions'!$F$21:$R$21,0))*Scenarios!$B$7,0)</f>
        <v>372298.78368840856</v>
      </c>
    </row>
    <row r="70" spans="1:26" ht="15.75" customHeight="1">
      <c r="A70" s="26"/>
      <c r="B70" s="26"/>
      <c r="C70" s="140" t="s">
        <v>439</v>
      </c>
      <c r="D70" s="253"/>
      <c r="E70" s="26"/>
      <c r="F70" s="26"/>
      <c r="G70" s="180"/>
      <c r="H70" s="180">
        <f>IF(H8=1,Inputs!$E$461*(H68+H69),0)</f>
        <v>0</v>
      </c>
      <c r="I70" s="180">
        <f>IF(I8=1,Inputs!$E$461*(I68+I69),0)</f>
        <v>0</v>
      </c>
      <c r="J70" s="180">
        <f>IF(J8=1,Inputs!$E$461*(J68+J69),0)</f>
        <v>36087</v>
      </c>
      <c r="K70" s="180">
        <f>IF(K8=1,Inputs!$E$461*(K68+K69),0)</f>
        <v>37205.697</v>
      </c>
      <c r="L70" s="180">
        <f>IF(L8=1,Inputs!$E$461*(L68+L69),0)</f>
        <v>38359.073606999998</v>
      </c>
      <c r="M70" s="180">
        <f>IF(M8=1,Inputs!$E$461*(M68+M69),0)</f>
        <v>39548.204888816996</v>
      </c>
      <c r="N70" s="180">
        <f>IF(N8=1,Inputs!$E$461*(N68+N69),0)</f>
        <v>40774.199240370312</v>
      </c>
      <c r="O70" s="180">
        <f>IF(O8=1,Inputs!$E$461*(O68+O69),0)</f>
        <v>42038.199416821786</v>
      </c>
      <c r="P70" s="180">
        <f>IF(P8=1,Inputs!$E$461*(P68+P69),0)</f>
        <v>43341.383598743261</v>
      </c>
      <c r="Q70" s="180">
        <f>IF(Q8=1,Inputs!$E$461*(Q68+Q69),0)</f>
        <v>44684.966490304294</v>
      </c>
      <c r="R70" s="180">
        <f>IF(R8=1,Inputs!$E$461*(R68+R69),0)</f>
        <v>46070.200451503733</v>
      </c>
      <c r="S70" s="180">
        <f>IF(S8=1,Inputs!$E$461*(S68+S69),0)</f>
        <v>47498.376665500349</v>
      </c>
      <c r="T70" s="180">
        <f>IF(T8=1,Inputs!$E$461*(T68+T69),0)</f>
        <v>48970.826342130866</v>
      </c>
    </row>
    <row r="71" spans="1:26" ht="15.75" customHeight="1">
      <c r="A71" s="26"/>
      <c r="B71" s="26"/>
      <c r="C71" s="140"/>
      <c r="D71" s="140"/>
      <c r="E71" s="26"/>
      <c r="F71" s="26"/>
      <c r="G71" s="180"/>
      <c r="H71" s="180"/>
      <c r="I71" s="180"/>
      <c r="J71" s="180"/>
      <c r="K71" s="180"/>
      <c r="L71" s="180"/>
      <c r="M71" s="180"/>
      <c r="N71" s="180"/>
      <c r="O71" s="180"/>
      <c r="P71" s="180"/>
      <c r="Q71" s="180"/>
      <c r="R71" s="180"/>
      <c r="S71" s="180"/>
      <c r="T71" s="180"/>
    </row>
    <row r="72" spans="1:26" ht="15.75" customHeight="1">
      <c r="A72" s="26"/>
      <c r="B72" s="26"/>
      <c r="C72" s="140" t="s">
        <v>440</v>
      </c>
      <c r="D72" s="140"/>
      <c r="E72" s="26"/>
      <c r="F72" s="26"/>
      <c r="G72" s="180"/>
      <c r="H72" s="180">
        <f>Inputs!$F$756</f>
        <v>0</v>
      </c>
      <c r="I72" s="180">
        <f>Inputs!$G$756</f>
        <v>0</v>
      </c>
      <c r="J72" s="180">
        <f>Inputs!$H$756</f>
        <v>208000</v>
      </c>
      <c r="K72" s="180">
        <f>Inputs!$I$756</f>
        <v>366000</v>
      </c>
      <c r="L72" s="180">
        <f>Inputs!$J$756</f>
        <v>372180</v>
      </c>
      <c r="M72" s="180">
        <f>Inputs!$K$756</f>
        <v>454254.48</v>
      </c>
      <c r="N72" s="180">
        <f>Inputs!$L$756</f>
        <v>462122.11440000002</v>
      </c>
      <c r="O72" s="180">
        <f>Inputs!$M$756</f>
        <v>539782.22229000006</v>
      </c>
      <c r="P72" s="180">
        <f>Inputs!$N$756</f>
        <v>641918.30378515006</v>
      </c>
      <c r="Q72" s="180">
        <f>Inputs!$O$756</f>
        <v>654455.85289870459</v>
      </c>
      <c r="R72" s="180">
        <f>Inputs!$P$756</f>
        <v>667369.52848566568</v>
      </c>
      <c r="S72" s="180">
        <f>Inputs!$Q$756</f>
        <v>772004.73720828281</v>
      </c>
      <c r="T72" s="180">
        <f>Inputs!$R$756</f>
        <v>901079.86208517849</v>
      </c>
    </row>
    <row r="73" spans="1:26" ht="15.75" customHeight="1">
      <c r="A73" s="26"/>
      <c r="B73" s="26"/>
      <c r="C73" s="140"/>
      <c r="D73" s="140"/>
      <c r="E73" s="26"/>
      <c r="F73" s="26"/>
      <c r="G73" s="180"/>
      <c r="H73" s="180"/>
      <c r="I73" s="180"/>
      <c r="J73" s="180"/>
      <c r="K73" s="180"/>
      <c r="L73" s="180"/>
      <c r="M73" s="180"/>
      <c r="N73" s="180"/>
      <c r="O73" s="180"/>
      <c r="P73" s="180"/>
      <c r="Q73" s="180"/>
      <c r="R73" s="180"/>
      <c r="S73" s="180"/>
      <c r="T73" s="180"/>
    </row>
    <row r="74" spans="1:26" ht="15.75" customHeight="1">
      <c r="A74" s="279"/>
      <c r="B74" s="279"/>
      <c r="C74" s="255" t="s">
        <v>441</v>
      </c>
      <c r="D74" s="279"/>
      <c r="E74" s="279"/>
      <c r="F74" s="279"/>
      <c r="G74" s="258"/>
      <c r="H74" s="280">
        <f t="shared" ref="H74:T74" si="17">SUM(H45:H67)+H72</f>
        <v>0</v>
      </c>
      <c r="I74" s="280">
        <f t="shared" si="17"/>
        <v>920383.09</v>
      </c>
      <c r="J74" s="280">
        <f t="shared" si="17"/>
        <v>5428826.6670749998</v>
      </c>
      <c r="K74" s="280">
        <f t="shared" si="17"/>
        <v>6176768.3084447002</v>
      </c>
      <c r="L74" s="280">
        <f t="shared" si="17"/>
        <v>6400358.5071193147</v>
      </c>
      <c r="M74" s="280">
        <f t="shared" si="17"/>
        <v>6668534.5031332374</v>
      </c>
      <c r="N74" s="280">
        <f t="shared" si="17"/>
        <v>6864499.8596675787</v>
      </c>
      <c r="O74" s="280">
        <f t="shared" si="17"/>
        <v>7631363.8749076193</v>
      </c>
      <c r="P74" s="280">
        <f t="shared" si="17"/>
        <v>7995628.56795925</v>
      </c>
      <c r="Q74" s="280">
        <f t="shared" si="17"/>
        <v>8233544.0284722419</v>
      </c>
      <c r="R74" s="280">
        <f t="shared" si="17"/>
        <v>8478805.2593023404</v>
      </c>
      <c r="S74" s="280">
        <f t="shared" si="17"/>
        <v>8822974.3280485645</v>
      </c>
      <c r="T74" s="280">
        <f t="shared" si="17"/>
        <v>8450200.2067563329</v>
      </c>
      <c r="U74" s="281"/>
      <c r="V74" s="281"/>
      <c r="W74" s="281"/>
      <c r="X74" s="281"/>
      <c r="Y74" s="281"/>
      <c r="Z74" s="281"/>
    </row>
    <row r="75" spans="1:26" ht="15.75" customHeight="1">
      <c r="A75" s="26"/>
      <c r="B75" s="26"/>
      <c r="C75" s="26"/>
      <c r="D75" s="26"/>
      <c r="E75" s="26"/>
      <c r="F75" s="26"/>
      <c r="G75" s="180"/>
      <c r="H75" s="180"/>
      <c r="I75" s="180"/>
      <c r="J75" s="180"/>
      <c r="K75" s="180"/>
      <c r="L75" s="180"/>
      <c r="M75" s="180"/>
      <c r="N75" s="180"/>
      <c r="O75" s="180"/>
      <c r="P75" s="180"/>
      <c r="Q75" s="180"/>
      <c r="R75" s="180"/>
      <c r="S75" s="180"/>
      <c r="T75" s="180"/>
    </row>
    <row r="76" spans="1:26" ht="15.75" customHeight="1">
      <c r="A76" s="260"/>
      <c r="B76" s="260"/>
      <c r="C76" s="282" t="s">
        <v>442</v>
      </c>
      <c r="D76" s="260"/>
      <c r="E76" s="260"/>
      <c r="F76" s="260"/>
      <c r="G76" s="263"/>
      <c r="H76" s="283">
        <f t="shared" ref="H76:T76" si="18">IF(H$8=1,H40-H74,0)</f>
        <v>0</v>
      </c>
      <c r="I76" s="283">
        <f t="shared" si="18"/>
        <v>0</v>
      </c>
      <c r="J76" s="283">
        <f t="shared" si="18"/>
        <v>11174526.157924999</v>
      </c>
      <c r="K76" s="283">
        <f t="shared" si="18"/>
        <v>11173832.268095296</v>
      </c>
      <c r="L76" s="283">
        <f t="shared" si="18"/>
        <v>11725214.669343589</v>
      </c>
      <c r="M76" s="283">
        <f t="shared" si="18"/>
        <v>12603173.631330766</v>
      </c>
      <c r="N76" s="283">
        <f t="shared" si="18"/>
        <v>12825139.08000222</v>
      </c>
      <c r="O76" s="283">
        <f t="shared" si="18"/>
        <v>12488417.36165344</v>
      </c>
      <c r="P76" s="283">
        <f t="shared" si="18"/>
        <v>12566864.641117346</v>
      </c>
      <c r="Q76" s="283">
        <f t="shared" si="18"/>
        <v>12784599.554180816</v>
      </c>
      <c r="R76" s="283">
        <f t="shared" si="18"/>
        <v>13008306.676067084</v>
      </c>
      <c r="S76" s="283">
        <f t="shared" si="18"/>
        <v>13146814.69024964</v>
      </c>
      <c r="T76" s="283">
        <f t="shared" si="18"/>
        <v>14016376.878580196</v>
      </c>
      <c r="U76" s="265"/>
      <c r="V76" s="265"/>
      <c r="W76" s="265"/>
      <c r="X76" s="265"/>
      <c r="Y76" s="265"/>
      <c r="Z76" s="265"/>
    </row>
    <row r="77" spans="1:26" ht="15.75" customHeight="1">
      <c r="A77" s="26"/>
      <c r="B77" s="26"/>
      <c r="C77" s="140" t="s">
        <v>443</v>
      </c>
      <c r="D77" s="26"/>
      <c r="E77" s="26"/>
      <c r="F77" s="26"/>
      <c r="G77" s="180"/>
      <c r="H77" s="180"/>
      <c r="I77" s="180"/>
      <c r="J77" s="180">
        <f>IF(J$8=1,MIN(J$28*Inputs!$E$470+J76*Inputs!$E$471,Inputs!$E$472,MAX(0,Inputs!$E$473-SUM($H77:I77))),0)</f>
        <v>934172.97619624995</v>
      </c>
      <c r="K77" s="180">
        <f>IF(K$8=1,MIN(K$28*Inputs!$E$470+K76*Inputs!$E$471,Inputs!$E$472,MAX(0,Inputs!$E$473-SUM($H77:J77))),0)</f>
        <v>952221.65918356483</v>
      </c>
      <c r="L77" s="180">
        <f>IF(L$8=1,MIN(L$28*Inputs!$E$470+L76*Inputs!$E$471,Inputs!$E$472,MAX(0,Inputs!$E$473-SUM($H77:K77))),0)</f>
        <v>998571.17111643753</v>
      </c>
      <c r="M77" s="180">
        <f>IF(M$8=1,MIN(M$28*Inputs!$E$470+M76*Inputs!$E$471,Inputs!$E$472,MAX(0,Inputs!$E$473-SUM($H77:L77))),0)</f>
        <v>1000000</v>
      </c>
      <c r="N77" s="180">
        <f>IF(N$8=1,MIN(N$28*Inputs!$E$470+N76*Inputs!$E$471,Inputs!$E$472,MAX(0,Inputs!$E$473-SUM($H77:M77))),0)</f>
        <v>1000000</v>
      </c>
      <c r="O77" s="180">
        <f>IF(O$8=1,MIN(O$28*Inputs!$E$470+O76*Inputs!$E$471,Inputs!$E$472,MAX(0,Inputs!$E$473-SUM($H77:N77))),0)</f>
        <v>1000000</v>
      </c>
      <c r="P77" s="180">
        <f>IF(P$8=1,MIN(P$28*Inputs!$E$470+P76*Inputs!$E$471,Inputs!$E$472,MAX(0,Inputs!$E$473-SUM($H77:O77))),0)</f>
        <v>1000000</v>
      </c>
      <c r="Q77" s="180">
        <f>IF(Q$8=1,MIN(Q$28*Inputs!$E$470+Q76*Inputs!$E$471,Inputs!$E$472,MAX(0,Inputs!$E$473-SUM($H77:P77))),0)</f>
        <v>1000000</v>
      </c>
      <c r="R77" s="180">
        <f>IF(R$8=1,MIN(R$28*Inputs!$E$470+R76*Inputs!$E$471,Inputs!$E$472,MAX(0,Inputs!$E$473-SUM($H77:Q77))),0)</f>
        <v>1000000</v>
      </c>
      <c r="S77" s="180">
        <f>IF(S$8=1,MIN(S$28*Inputs!$E$470+S76*Inputs!$E$471,Inputs!$E$472,MAX(0,Inputs!$E$473-SUM($H77:R77))),0)</f>
        <v>1000000</v>
      </c>
      <c r="T77" s="180">
        <f>IF(T$8=1,MIN(T$28*Inputs!$E$470+T76*Inputs!$E$471,Inputs!$E$472,MAX(0,Inputs!$E$473-SUM($H77:S77))),0)</f>
        <v>115034.19350374863</v>
      </c>
    </row>
    <row r="78" spans="1:26" ht="15.75" customHeight="1">
      <c r="A78" s="26"/>
      <c r="B78" s="26"/>
      <c r="C78" s="26"/>
      <c r="D78" s="26"/>
      <c r="E78" s="26"/>
      <c r="F78" s="26"/>
      <c r="G78" s="180"/>
      <c r="H78" s="180"/>
      <c r="I78" s="180"/>
      <c r="J78" s="180"/>
      <c r="K78" s="180"/>
      <c r="L78" s="180"/>
      <c r="M78" s="180"/>
      <c r="N78" s="180"/>
      <c r="O78" s="180"/>
      <c r="P78" s="180"/>
      <c r="Q78" s="180"/>
      <c r="R78" s="180"/>
      <c r="S78" s="180"/>
      <c r="T78" s="180"/>
    </row>
    <row r="79" spans="1:26" ht="15" customHeight="1">
      <c r="A79" s="260"/>
      <c r="B79" s="284" t="s">
        <v>194</v>
      </c>
      <c r="C79" s="285"/>
      <c r="D79" s="260"/>
      <c r="E79" s="260"/>
      <c r="F79" s="260"/>
      <c r="G79" s="263"/>
      <c r="H79" s="286">
        <f t="shared" ref="H79:T79" si="19">H76-H77</f>
        <v>0</v>
      </c>
      <c r="I79" s="286">
        <f t="shared" si="19"/>
        <v>0</v>
      </c>
      <c r="J79" s="286">
        <f t="shared" si="19"/>
        <v>10240353.181728749</v>
      </c>
      <c r="K79" s="286">
        <f t="shared" si="19"/>
        <v>10221610.60891173</v>
      </c>
      <c r="L79" s="286">
        <f t="shared" si="19"/>
        <v>10726643.498227151</v>
      </c>
      <c r="M79" s="286">
        <f t="shared" si="19"/>
        <v>11603173.631330766</v>
      </c>
      <c r="N79" s="286">
        <f t="shared" si="19"/>
        <v>11825139.08000222</v>
      </c>
      <c r="O79" s="286">
        <f t="shared" si="19"/>
        <v>11488417.36165344</v>
      </c>
      <c r="P79" s="286">
        <f t="shared" si="19"/>
        <v>11566864.641117346</v>
      </c>
      <c r="Q79" s="286">
        <f t="shared" si="19"/>
        <v>11784599.554180816</v>
      </c>
      <c r="R79" s="286">
        <f t="shared" si="19"/>
        <v>12008306.676067084</v>
      </c>
      <c r="S79" s="286">
        <f t="shared" si="19"/>
        <v>12146814.69024964</v>
      </c>
      <c r="T79" s="286">
        <f t="shared" si="19"/>
        <v>13901342.685076447</v>
      </c>
      <c r="U79" s="265"/>
      <c r="V79" s="265"/>
      <c r="W79" s="265"/>
      <c r="X79" s="265"/>
      <c r="Y79" s="265"/>
      <c r="Z79" s="265"/>
    </row>
    <row r="80" spans="1:26" ht="15.75" customHeight="1">
      <c r="A80" s="272"/>
      <c r="B80" s="272"/>
      <c r="C80" s="272" t="s">
        <v>444</v>
      </c>
      <c r="D80" s="272"/>
      <c r="E80" s="272"/>
      <c r="F80" s="272"/>
      <c r="G80" s="273"/>
      <c r="H80" s="273" t="str">
        <f t="shared" ref="H80:T80" si="20">IF(H28=0,"",H79/H28)</f>
        <v/>
      </c>
      <c r="I80" s="273" t="str">
        <f t="shared" si="20"/>
        <v/>
      </c>
      <c r="J80" s="274">
        <f t="shared" si="20"/>
        <v>0.54550241333057792</v>
      </c>
      <c r="K80" s="274">
        <f t="shared" si="20"/>
        <v>0.51948311030142869</v>
      </c>
      <c r="L80" s="274">
        <f t="shared" si="20"/>
        <v>0.52031879471128173</v>
      </c>
      <c r="M80" s="274">
        <f t="shared" si="20"/>
        <v>0.53204493854732027</v>
      </c>
      <c r="N80" s="274">
        <f t="shared" si="20"/>
        <v>0.53025730217043332</v>
      </c>
      <c r="O80" s="274">
        <f t="shared" si="20"/>
        <v>0.50371632201502659</v>
      </c>
      <c r="P80" s="274">
        <f t="shared" si="20"/>
        <v>0.49582042672089688</v>
      </c>
      <c r="Q80" s="274">
        <f t="shared" si="20"/>
        <v>0.49379312674857712</v>
      </c>
      <c r="R80" s="274">
        <f t="shared" si="20"/>
        <v>0.49178233248308945</v>
      </c>
      <c r="S80" s="274">
        <f t="shared" si="20"/>
        <v>0.48613285560742409</v>
      </c>
      <c r="T80" s="274">
        <f t="shared" si="20"/>
        <v>0.54361595301868237</v>
      </c>
      <c r="U80" s="275"/>
      <c r="V80" s="275"/>
      <c r="W80" s="275"/>
      <c r="X80" s="275"/>
      <c r="Y80" s="275"/>
      <c r="Z80" s="275"/>
    </row>
    <row r="81" spans="1:26" ht="15.75" customHeight="1">
      <c r="A81" s="26"/>
      <c r="B81" s="26"/>
      <c r="C81" s="140" t="s">
        <v>445</v>
      </c>
      <c r="D81" s="26"/>
      <c r="E81" s="26"/>
      <c r="F81" s="26"/>
      <c r="G81" s="180"/>
      <c r="H81" s="180">
        <f t="array" ref="H81">IF(H$8=0,INDEX(Cashflow!$D$28:$O$28,MATCH(H$6,Cashflow!$D$7:$O$7,0)),0)</f>
        <v>0</v>
      </c>
      <c r="I81" s="287">
        <f>IF(H$8=0,I74,0)</f>
        <v>920383.09</v>
      </c>
      <c r="J81" s="180">
        <f t="array" ref="J81">IF(J$8=0,INDEX(Cashflow!$D$28:$O$28,MATCH(J$6,Cashflow!$D$7:$O$7,0)),0)</f>
        <v>0</v>
      </c>
      <c r="K81" s="180">
        <f t="array" ref="K81">IF(K$8=0,INDEX(Cashflow!$D$28:$O$28,MATCH(K$6,Cashflow!$D$7:$O$7,0)),0)</f>
        <v>0</v>
      </c>
      <c r="L81" s="180">
        <f t="array" ref="L81">IF(L$8=0,INDEX(Cashflow!$D$28:$O$28,MATCH(L$6,Cashflow!$D$7:$O$7,0)),0)</f>
        <v>0</v>
      </c>
      <c r="M81" s="180">
        <f t="array" ref="M81">IF(M$8=0,INDEX(Cashflow!$D$28:$O$28,MATCH(M$6,Cashflow!$D$7:$O$7,0)),0)</f>
        <v>0</v>
      </c>
      <c r="N81" s="180">
        <f t="array" ref="N81">IF(N$8=0,INDEX(Cashflow!$D$28:$O$28,MATCH(N$6,Cashflow!$D$7:$O$7,0)),0)</f>
        <v>0</v>
      </c>
      <c r="O81" s="180">
        <f t="array" ref="O81">IF(O$8=0,INDEX(Cashflow!$D$28:$O$28,MATCH(O$6,Cashflow!$D$7:$O$7,0)),0)</f>
        <v>0</v>
      </c>
      <c r="P81" s="180">
        <f t="array" ref="P81">IF(P$8=0,INDEX(Cashflow!$D$28:$O$28,MATCH(P$6,Cashflow!$D$7:$O$7,0)),0)</f>
        <v>0</v>
      </c>
      <c r="Q81" s="180">
        <f t="array" ref="Q81">IF(Q$8=0,INDEX(Cashflow!$D$28:$O$28,MATCH(Q$6,Cashflow!$D$7:$O$7,0)),0)</f>
        <v>0</v>
      </c>
      <c r="R81" s="180">
        <f t="array" ref="R81">IF(R$8=0,INDEX(Cashflow!$D$28:$O$28,MATCH(R$6,Cashflow!$D$7:$O$7,0)),0)</f>
        <v>0</v>
      </c>
      <c r="S81" s="180">
        <f t="array" ref="S81">IF(S$8=0,INDEX(Cashflow!$D$28:$Q$28,MATCH(S$6,Cashflow!$D$7:$Q$7,0)),0)</f>
        <v>0</v>
      </c>
      <c r="T81" s="180">
        <f t="array" ref="T81">IF(T$8=0,INDEX(Cashflow!$D$28:$Q$28,MATCH(T$6,Cashflow!$D$7:$Q$7,0)),0)</f>
        <v>0</v>
      </c>
    </row>
    <row r="82" spans="1:26" ht="15.75" customHeight="1">
      <c r="A82" s="26"/>
      <c r="B82" s="26"/>
      <c r="C82" s="140"/>
      <c r="D82" s="26"/>
      <c r="E82" s="26"/>
      <c r="F82" s="26"/>
      <c r="G82" s="180"/>
      <c r="H82" s="180"/>
      <c r="I82" s="180"/>
      <c r="J82" s="180"/>
      <c r="K82" s="180"/>
      <c r="L82" s="180"/>
      <c r="M82" s="180"/>
      <c r="N82" s="180"/>
      <c r="O82" s="180"/>
      <c r="P82" s="180"/>
      <c r="Q82" s="180"/>
      <c r="R82" s="180"/>
      <c r="S82" s="180"/>
      <c r="T82" s="180"/>
    </row>
    <row r="83" spans="1:26" ht="15" customHeight="1">
      <c r="A83" s="26"/>
      <c r="B83" s="288"/>
      <c r="C83" s="140" t="s">
        <v>446</v>
      </c>
      <c r="D83" s="26"/>
      <c r="E83" s="26"/>
      <c r="F83" s="26"/>
      <c r="G83" s="180"/>
      <c r="H83" s="180">
        <f>'Construction Timeline'!E235</f>
        <v>0</v>
      </c>
      <c r="I83" s="180">
        <f>'Construction Timeline'!F235</f>
        <v>0</v>
      </c>
      <c r="J83" s="180">
        <f>'Construction Timeline'!G235</f>
        <v>988076.25</v>
      </c>
      <c r="K83" s="180">
        <f>'Construction Timeline'!H235</f>
        <v>988076.25</v>
      </c>
      <c r="L83" s="180">
        <f>'Construction Timeline'!I235</f>
        <v>988076.25</v>
      </c>
      <c r="M83" s="180">
        <f>'Construction Timeline'!J235</f>
        <v>988076.25</v>
      </c>
      <c r="N83" s="180">
        <f>'Construction Timeline'!K235</f>
        <v>988076.25</v>
      </c>
      <c r="O83" s="180">
        <f>'Construction Timeline'!L235</f>
        <v>988076.25</v>
      </c>
      <c r="P83" s="180">
        <f>'Construction Timeline'!M235</f>
        <v>988076.25</v>
      </c>
      <c r="Q83" s="180">
        <f>'Construction Timeline'!N235</f>
        <v>988076.25</v>
      </c>
      <c r="R83" s="180">
        <f>'Construction Timeline'!O235</f>
        <v>988076.25</v>
      </c>
      <c r="S83" s="180">
        <f>'Construction Timeline'!S235</f>
        <v>988076.25</v>
      </c>
      <c r="T83" s="180">
        <f>'Construction Timeline'!T235</f>
        <v>988076.25</v>
      </c>
    </row>
    <row r="84" spans="1:26" ht="15.75" customHeight="1">
      <c r="A84" s="26"/>
      <c r="B84" s="26"/>
      <c r="C84" s="26"/>
      <c r="D84" s="26"/>
      <c r="E84" s="26"/>
      <c r="F84" s="26"/>
      <c r="G84" s="180"/>
      <c r="H84" s="180"/>
      <c r="I84" s="180"/>
      <c r="J84" s="180"/>
      <c r="K84" s="180"/>
      <c r="L84" s="180"/>
      <c r="M84" s="180"/>
      <c r="N84" s="180"/>
      <c r="O84" s="180"/>
      <c r="P84" s="180"/>
      <c r="Q84" s="180"/>
      <c r="R84" s="180"/>
      <c r="S84" s="180"/>
      <c r="T84" s="180"/>
    </row>
    <row r="85" spans="1:26" ht="15.75" customHeight="1">
      <c r="A85" s="260"/>
      <c r="B85" s="284" t="s">
        <v>447</v>
      </c>
      <c r="C85" s="285"/>
      <c r="D85" s="260"/>
      <c r="E85" s="260"/>
      <c r="F85" s="260"/>
      <c r="G85" s="263"/>
      <c r="H85" s="263">
        <f t="shared" ref="H85:T85" si="21">H79-H81-H83</f>
        <v>0</v>
      </c>
      <c r="I85" s="263">
        <f t="shared" si="21"/>
        <v>-920383.09</v>
      </c>
      <c r="J85" s="263">
        <f t="shared" si="21"/>
        <v>9252276.9317287486</v>
      </c>
      <c r="K85" s="263">
        <f t="shared" si="21"/>
        <v>9233534.3589117303</v>
      </c>
      <c r="L85" s="263">
        <f t="shared" si="21"/>
        <v>9738567.2482271511</v>
      </c>
      <c r="M85" s="263">
        <f t="shared" si="21"/>
        <v>10615097.381330766</v>
      </c>
      <c r="N85" s="263">
        <f t="shared" si="21"/>
        <v>10837062.83000222</v>
      </c>
      <c r="O85" s="263">
        <f t="shared" si="21"/>
        <v>10500341.11165344</v>
      </c>
      <c r="P85" s="263">
        <f t="shared" si="21"/>
        <v>10578788.391117346</v>
      </c>
      <c r="Q85" s="263">
        <f t="shared" si="21"/>
        <v>10796523.304180816</v>
      </c>
      <c r="R85" s="263">
        <f t="shared" si="21"/>
        <v>11020230.426067084</v>
      </c>
      <c r="S85" s="263">
        <f t="shared" si="21"/>
        <v>11158738.44024964</v>
      </c>
      <c r="T85" s="263">
        <f t="shared" si="21"/>
        <v>12913266.435076447</v>
      </c>
      <c r="U85" s="265"/>
      <c r="V85" s="265"/>
      <c r="W85" s="265"/>
      <c r="X85" s="265"/>
      <c r="Y85" s="265"/>
      <c r="Z85" s="265"/>
    </row>
    <row r="86" spans="1:26" ht="15.75" customHeight="1">
      <c r="A86" s="26"/>
      <c r="B86" s="26"/>
      <c r="C86" s="26"/>
      <c r="D86" s="26"/>
      <c r="E86" s="26"/>
      <c r="F86" s="26"/>
      <c r="G86" s="180"/>
      <c r="H86" s="180"/>
      <c r="I86" s="180"/>
      <c r="J86" s="180"/>
      <c r="K86" s="180"/>
      <c r="L86" s="180"/>
      <c r="M86" s="180"/>
      <c r="N86" s="180"/>
      <c r="O86" s="180"/>
      <c r="P86" s="180"/>
      <c r="Q86" s="180"/>
      <c r="R86" s="180"/>
      <c r="S86" s="180"/>
      <c r="T86" s="180"/>
    </row>
    <row r="87" spans="1:26" ht="15.75" customHeight="1">
      <c r="A87" s="26"/>
      <c r="B87" s="288"/>
      <c r="C87" s="140" t="s">
        <v>448</v>
      </c>
      <c r="D87" s="26"/>
      <c r="E87" s="26"/>
      <c r="F87" s="26"/>
      <c r="G87" s="180">
        <f>IF(G$8=1,Debt!H57+Debt!H82,0)</f>
        <v>0</v>
      </c>
      <c r="H87" s="180">
        <f t="array" ref="H87">IF(H$8=1,INDEX(Debt!$H$119:$S$119,MATCH(H$6,Debt!$H$14:$S$14,0)),0)</f>
        <v>0</v>
      </c>
      <c r="I87" s="180">
        <f>Debt!J119</f>
        <v>543161.60000000009</v>
      </c>
      <c r="J87" s="180">
        <f t="array" ref="J87">IF(J$8=1,INDEX(Debt!$H$119:$S$119,MATCH(J$6,Debt!$H$14:$S$14,0)),0)</f>
        <v>1050198.2000000002</v>
      </c>
      <c r="K87" s="180">
        <f t="array" ref="K87">IF(K$8=1,INDEX(Debt!$H$119:$S$119,MATCH(K$6,Debt!$H$14:$S$14,0)),0)</f>
        <v>950693.625</v>
      </c>
      <c r="L87" s="180">
        <f t="array" ref="L87">IF(L$8=1,INDEX(Debt!$H$119:$S$119,MATCH(L$6,Debt!$H$14:$S$14,0)),0)</f>
        <v>823934.47499999998</v>
      </c>
      <c r="M87" s="180">
        <f t="array" ref="M87">IF(M$8=1,INDEX(Debt!$H$119:$S$119,MATCH(M$6,Debt!$H$14:$S$14,0)),0)</f>
        <v>697175.32500000007</v>
      </c>
      <c r="N87" s="180">
        <f t="array" ref="N87">IF(N$8=1,INDEX(Debt!$H$119:$S$119,MATCH(N$6,Debt!$H$14:$S$14,0)),0)</f>
        <v>570416.17500000005</v>
      </c>
      <c r="O87" s="180">
        <f t="array" ref="O87">IF(O$8=1,INDEX(Debt!$H$119:$S$119,MATCH(O$6,Debt!$H$14:$S$14,0)),0)</f>
        <v>443657.02500000002</v>
      </c>
      <c r="P87" s="180">
        <f t="array" ref="P87">IF(P$8=1,INDEX(Debt!$H$119:$S$119,MATCH(P$6,Debt!$H$14:$S$14,0)),0)</f>
        <v>316897.875</v>
      </c>
      <c r="Q87" s="180">
        <f t="array" ref="Q87">IF(Q$8=1,INDEX(Debt!$H$119:$S$119,MATCH(Q$6,Debt!$H$14:$S$14,0)),0)</f>
        <v>190138.72500000001</v>
      </c>
      <c r="R87" s="180">
        <f t="array" ref="R87">IF(R$8=1,INDEX(Debt!$H$119:$S$119,MATCH(R$6,Debt!$H$14:$S$14,0)),0)</f>
        <v>63379.575000000004</v>
      </c>
      <c r="S87" s="180">
        <f t="array" ref="S87">IF(S$8=1,INDEX(Debt!$H$119:$U$119,MATCH(S$6,Debt!$H$14:$U$14,0)),0)</f>
        <v>0</v>
      </c>
      <c r="T87" s="180">
        <f t="array" ref="T87">IF(S$8=1,INDEX(Debt!$H$119:$U$119,MATCH(S$6,Debt!$H$14:$U$14,0)),0)</f>
        <v>0</v>
      </c>
    </row>
    <row r="88" spans="1:26" ht="15.75" customHeight="1">
      <c r="A88" s="26"/>
      <c r="B88" s="26"/>
      <c r="C88" s="26"/>
      <c r="D88" s="26"/>
      <c r="E88" s="26"/>
      <c r="F88" s="26"/>
      <c r="G88" s="180"/>
      <c r="H88" s="180"/>
      <c r="I88" s="180"/>
      <c r="J88" s="180"/>
      <c r="K88" s="180"/>
      <c r="L88" s="180"/>
      <c r="M88" s="180"/>
      <c r="N88" s="180"/>
      <c r="O88" s="180"/>
      <c r="P88" s="180"/>
      <c r="Q88" s="180"/>
      <c r="R88" s="180"/>
      <c r="S88" s="180"/>
      <c r="T88" s="180"/>
    </row>
    <row r="89" spans="1:26" ht="15" customHeight="1">
      <c r="A89" s="260"/>
      <c r="B89" s="284" t="s">
        <v>449</v>
      </c>
      <c r="C89" s="285"/>
      <c r="D89" s="260"/>
      <c r="E89" s="260"/>
      <c r="F89" s="260"/>
      <c r="G89" s="263"/>
      <c r="H89" s="263">
        <f t="shared" ref="H89:T89" si="22">H85-H87</f>
        <v>0</v>
      </c>
      <c r="I89" s="263">
        <f t="shared" si="22"/>
        <v>-1463544.69</v>
      </c>
      <c r="J89" s="263">
        <f t="shared" si="22"/>
        <v>8202078.7317287484</v>
      </c>
      <c r="K89" s="263">
        <f t="shared" si="22"/>
        <v>8282840.7339117303</v>
      </c>
      <c r="L89" s="263">
        <f t="shared" si="22"/>
        <v>8914632.7732271515</v>
      </c>
      <c r="M89" s="263">
        <f t="shared" si="22"/>
        <v>9917922.0563307665</v>
      </c>
      <c r="N89" s="263">
        <f t="shared" si="22"/>
        <v>10266646.65500222</v>
      </c>
      <c r="O89" s="263">
        <f t="shared" si="22"/>
        <v>10056684.086653439</v>
      </c>
      <c r="P89" s="263">
        <f t="shared" si="22"/>
        <v>10261890.516117346</v>
      </c>
      <c r="Q89" s="263">
        <f t="shared" si="22"/>
        <v>10606384.579180816</v>
      </c>
      <c r="R89" s="263">
        <f t="shared" si="22"/>
        <v>10956850.851067085</v>
      </c>
      <c r="S89" s="263">
        <f t="shared" si="22"/>
        <v>11158738.44024964</v>
      </c>
      <c r="T89" s="263">
        <f t="shared" si="22"/>
        <v>12913266.435076447</v>
      </c>
      <c r="U89" s="265"/>
      <c r="V89" s="265"/>
      <c r="W89" s="265"/>
      <c r="X89" s="265"/>
      <c r="Y89" s="265"/>
      <c r="Z89" s="265"/>
    </row>
    <row r="90" spans="1:26" ht="15.75" customHeight="1">
      <c r="A90" s="26"/>
      <c r="B90" s="26"/>
      <c r="C90" s="26"/>
      <c r="D90" s="26"/>
      <c r="E90" s="26"/>
      <c r="F90" s="26"/>
      <c r="G90" s="180"/>
      <c r="H90" s="180"/>
      <c r="I90" s="180"/>
      <c r="J90" s="180"/>
      <c r="K90" s="180"/>
      <c r="L90" s="180"/>
      <c r="M90" s="180"/>
      <c r="N90" s="180"/>
      <c r="O90" s="180"/>
      <c r="P90" s="180"/>
      <c r="Q90" s="180"/>
      <c r="R90" s="180"/>
      <c r="S90" s="180"/>
      <c r="T90" s="180"/>
    </row>
    <row r="91" spans="1:26" ht="15.75" customHeight="1">
      <c r="A91" s="26"/>
      <c r="B91" s="251" t="s">
        <v>450</v>
      </c>
      <c r="C91" s="140" t="s">
        <v>451</v>
      </c>
      <c r="D91" s="26"/>
      <c r="E91" s="26"/>
      <c r="F91" s="26"/>
      <c r="G91" s="180"/>
      <c r="H91" s="180">
        <f>IF(H89&gt;0,MAX(0,H89-G92)*Inputs!$E$482,0)</f>
        <v>0</v>
      </c>
      <c r="I91" s="180">
        <f>IF(I89&gt;0,MAX(0,I89-H92)*Inputs!$E$482,0)</f>
        <v>0</v>
      </c>
      <c r="J91" s="180">
        <f>IF(J89&gt;0,MAX(0,J89-I92)*Inputs!$E$482,0)</f>
        <v>2021560.2125186243</v>
      </c>
      <c r="K91" s="180">
        <f>IF(K89&gt;0,MAX(0,K89-J92)*Inputs!$E$482,0)</f>
        <v>2484852.2201735191</v>
      </c>
      <c r="L91" s="180">
        <f>IF(L89&gt;0,MAX(0,L89-K92)*Inputs!$E$482,0)</f>
        <v>2674389.8319681454</v>
      </c>
      <c r="M91" s="180">
        <f>IF(M89&gt;0,MAX(0,M89-L92)*Inputs!$E$482,0)</f>
        <v>2975376.6168992301</v>
      </c>
      <c r="N91" s="180">
        <f>IF(N89&gt;0,MAX(0,N89-M92)*Inputs!$E$482,0)</f>
        <v>3079993.9965006658</v>
      </c>
      <c r="O91" s="180">
        <f>IF(O89&gt;0,MAX(0,O89-N92)*Inputs!$E$482,0)</f>
        <v>3017005.2259960319</v>
      </c>
      <c r="P91" s="180">
        <f>IF(P89&gt;0,MAX(0,P89-O92)*Inputs!$E$482,0)</f>
        <v>3078567.1548352037</v>
      </c>
      <c r="Q91" s="180">
        <f>IF(Q89&gt;0,MAX(0,Q89-P92)*Inputs!$E$482,0)</f>
        <v>3181915.3737542448</v>
      </c>
      <c r="R91" s="180">
        <f>IF(R89&gt;0,MAX(0,R89-Q92)*Inputs!$E$482,0)</f>
        <v>3287055.2553201253</v>
      </c>
      <c r="S91" s="180">
        <f>IF(S89&gt;0,MAX(0,S89-R92)*Inputs!$E$482,0)</f>
        <v>3347621.532074892</v>
      </c>
      <c r="T91" s="180">
        <f>IF(T89&gt;0,MAX(0,T89-S92)*Inputs!$E$482,0)</f>
        <v>3873979.9305229341</v>
      </c>
    </row>
    <row r="92" spans="1:26" ht="15.75" customHeight="1">
      <c r="A92" s="26"/>
      <c r="B92" s="26"/>
      <c r="C92" s="140" t="s">
        <v>452</v>
      </c>
      <c r="D92" s="26"/>
      <c r="E92" s="26"/>
      <c r="F92" s="26"/>
      <c r="G92" s="180"/>
      <c r="H92" s="180">
        <f t="shared" ref="H92:R92" si="23">MAX(0,G92+MAX(0,-H89)-MIN(G92,MAX(0,H89)))</f>
        <v>0</v>
      </c>
      <c r="I92" s="180">
        <f t="shared" si="23"/>
        <v>1463544.69</v>
      </c>
      <c r="J92" s="180">
        <f t="shared" si="23"/>
        <v>0</v>
      </c>
      <c r="K92" s="180">
        <f t="shared" si="23"/>
        <v>0</v>
      </c>
      <c r="L92" s="180">
        <f t="shared" si="23"/>
        <v>0</v>
      </c>
      <c r="M92" s="180">
        <f t="shared" si="23"/>
        <v>0</v>
      </c>
      <c r="N92" s="180">
        <f t="shared" si="23"/>
        <v>0</v>
      </c>
      <c r="O92" s="180">
        <f t="shared" si="23"/>
        <v>0</v>
      </c>
      <c r="P92" s="180">
        <f t="shared" si="23"/>
        <v>0</v>
      </c>
      <c r="Q92" s="180">
        <f t="shared" si="23"/>
        <v>0</v>
      </c>
      <c r="R92" s="180">
        <f t="shared" si="23"/>
        <v>0</v>
      </c>
      <c r="S92" s="180"/>
      <c r="T92" s="180"/>
    </row>
    <row r="93" spans="1:26" ht="15.75" customHeight="1">
      <c r="A93" s="26"/>
      <c r="B93" s="26"/>
      <c r="C93" s="140"/>
      <c r="D93" s="26"/>
      <c r="E93" s="26"/>
      <c r="F93" s="26"/>
      <c r="G93" s="180"/>
      <c r="H93" s="180"/>
      <c r="I93" s="180"/>
      <c r="J93" s="180"/>
      <c r="K93" s="180"/>
      <c r="L93" s="180"/>
      <c r="M93" s="180"/>
      <c r="N93" s="180"/>
      <c r="O93" s="180"/>
      <c r="P93" s="180"/>
      <c r="Q93" s="180"/>
      <c r="R93" s="180"/>
      <c r="S93" s="180"/>
      <c r="T93" s="180"/>
    </row>
    <row r="94" spans="1:26" ht="15.75" customHeight="1">
      <c r="A94" s="26"/>
      <c r="B94" s="26"/>
      <c r="C94" s="140"/>
      <c r="D94" s="26"/>
      <c r="E94" s="26"/>
      <c r="F94" s="26"/>
      <c r="G94" s="180"/>
      <c r="H94" s="180"/>
      <c r="I94" s="180"/>
      <c r="J94" s="180"/>
      <c r="K94" s="180"/>
      <c r="L94" s="180"/>
      <c r="M94" s="180"/>
      <c r="N94" s="180"/>
      <c r="O94" s="180"/>
      <c r="P94" s="180"/>
      <c r="Q94" s="180"/>
      <c r="R94" s="180"/>
      <c r="S94" s="180"/>
      <c r="T94" s="180"/>
    </row>
    <row r="95" spans="1:26" ht="15" customHeight="1">
      <c r="A95" s="260"/>
      <c r="B95" s="284" t="s">
        <v>271</v>
      </c>
      <c r="C95" s="285" t="s">
        <v>453</v>
      </c>
      <c r="D95" s="260"/>
      <c r="E95" s="260"/>
      <c r="F95" s="260"/>
      <c r="G95" s="263"/>
      <c r="H95" s="263">
        <f t="shared" ref="H95:T95" si="24">H89-H91</f>
        <v>0</v>
      </c>
      <c r="I95" s="263">
        <f t="shared" si="24"/>
        <v>-1463544.69</v>
      </c>
      <c r="J95" s="263">
        <f t="shared" si="24"/>
        <v>6180518.5192101244</v>
      </c>
      <c r="K95" s="263">
        <f t="shared" si="24"/>
        <v>5797988.5137382112</v>
      </c>
      <c r="L95" s="263">
        <f t="shared" si="24"/>
        <v>6240242.941259006</v>
      </c>
      <c r="M95" s="263">
        <f t="shared" si="24"/>
        <v>6942545.4394315369</v>
      </c>
      <c r="N95" s="263">
        <f t="shared" si="24"/>
        <v>7186652.6585015543</v>
      </c>
      <c r="O95" s="263">
        <f t="shared" si="24"/>
        <v>7039678.860657407</v>
      </c>
      <c r="P95" s="263">
        <f t="shared" si="24"/>
        <v>7183323.3612821419</v>
      </c>
      <c r="Q95" s="263">
        <f t="shared" si="24"/>
        <v>7424469.2054265719</v>
      </c>
      <c r="R95" s="263">
        <f t="shared" si="24"/>
        <v>7669795.5957469596</v>
      </c>
      <c r="S95" s="263">
        <f t="shared" si="24"/>
        <v>7811116.9081747485</v>
      </c>
      <c r="T95" s="263">
        <f t="shared" si="24"/>
        <v>9039286.5045535136</v>
      </c>
      <c r="U95" s="289"/>
      <c r="V95" s="289"/>
      <c r="W95" s="289"/>
      <c r="X95" s="289"/>
      <c r="Y95" s="289"/>
      <c r="Z95" s="289"/>
    </row>
    <row r="96" spans="1:26" ht="15.75" customHeight="1">
      <c r="A96" s="272"/>
      <c r="B96" s="272"/>
      <c r="C96" s="272" t="s">
        <v>454</v>
      </c>
      <c r="D96" s="272"/>
      <c r="E96" s="272"/>
      <c r="F96" s="272"/>
      <c r="G96" s="273"/>
      <c r="H96" s="273"/>
      <c r="I96" s="273" t="str">
        <f t="shared" ref="I96:T96" si="25">IF(I28&gt;0,I95/I28,"NA")</f>
        <v>NA</v>
      </c>
      <c r="J96" s="274">
        <f t="shared" si="25"/>
        <v>0.32923549686538128</v>
      </c>
      <c r="K96" s="274">
        <f t="shared" si="25"/>
        <v>0.29466560817555537</v>
      </c>
      <c r="L96" s="274">
        <f t="shared" si="25"/>
        <v>0.30269633613143798</v>
      </c>
      <c r="M96" s="274">
        <f t="shared" si="25"/>
        <v>0.31833929914747783</v>
      </c>
      <c r="N96" s="274">
        <f t="shared" si="25"/>
        <v>0.32226048459569501</v>
      </c>
      <c r="O96" s="274">
        <f t="shared" si="25"/>
        <v>0.30865880235978238</v>
      </c>
      <c r="P96" s="274">
        <f t="shared" si="25"/>
        <v>0.3079173626364014</v>
      </c>
      <c r="Q96" s="274">
        <f t="shared" si="25"/>
        <v>0.31109685539509674</v>
      </c>
      <c r="R96" s="274">
        <f t="shared" si="25"/>
        <v>0.31410506655883602</v>
      </c>
      <c r="S96" s="274">
        <f t="shared" si="25"/>
        <v>0.31261204397087772</v>
      </c>
      <c r="T96" s="274">
        <f t="shared" si="25"/>
        <v>0.35348386548710919</v>
      </c>
      <c r="U96" s="275"/>
      <c r="V96" s="275"/>
      <c r="W96" s="275"/>
      <c r="X96" s="275"/>
      <c r="Y96" s="275"/>
      <c r="Z96" s="275"/>
    </row>
    <row r="97" spans="1:20" ht="15.75" customHeight="1">
      <c r="A97" s="26"/>
      <c r="B97" s="290" t="s">
        <v>455</v>
      </c>
      <c r="C97" s="26"/>
      <c r="D97" s="26"/>
      <c r="E97" s="26"/>
      <c r="F97" s="26"/>
      <c r="G97" s="180"/>
      <c r="H97" s="180"/>
      <c r="I97" s="180" t="s">
        <v>456</v>
      </c>
      <c r="J97" s="180" t="s">
        <v>457</v>
      </c>
      <c r="K97" s="180" t="s">
        <v>458</v>
      </c>
      <c r="L97" s="180" t="s">
        <v>459</v>
      </c>
      <c r="M97" s="180" t="s">
        <v>460</v>
      </c>
      <c r="N97" s="180" t="s">
        <v>461</v>
      </c>
      <c r="O97" s="180" t="s">
        <v>462</v>
      </c>
      <c r="P97" s="180" t="s">
        <v>463</v>
      </c>
      <c r="Q97" s="180" t="s">
        <v>464</v>
      </c>
      <c r="R97" s="180" t="s">
        <v>465</v>
      </c>
      <c r="S97" s="180" t="s">
        <v>466</v>
      </c>
      <c r="T97" s="180" t="s">
        <v>467</v>
      </c>
    </row>
    <row r="98" spans="1:20" ht="15.75" customHeight="1">
      <c r="A98" s="26"/>
      <c r="B98" s="26"/>
      <c r="C98" s="26" t="s">
        <v>468</v>
      </c>
      <c r="D98" s="26"/>
      <c r="E98" s="26"/>
      <c r="F98" s="26"/>
      <c r="G98" s="180"/>
      <c r="H98" s="180"/>
      <c r="I98" s="180"/>
      <c r="J98" s="190">
        <f>'Calendar Assumptions'!F53</f>
        <v>406491.1</v>
      </c>
      <c r="K98" s="190">
        <f>'Calendar Assumptions'!G53</f>
        <v>415120.52</v>
      </c>
      <c r="L98" s="190">
        <f>'Calendar Assumptions'!H53</f>
        <v>423749.94000000006</v>
      </c>
      <c r="M98" s="190">
        <f>'Calendar Assumptions'!I53</f>
        <v>454180</v>
      </c>
      <c r="N98" s="190">
        <f>'Calendar Assumptions'!J53</f>
        <v>454180</v>
      </c>
      <c r="O98" s="190">
        <f>'Calendar Assumptions'!K53</f>
        <v>454180</v>
      </c>
      <c r="P98" s="190">
        <f>'Calendar Assumptions'!L53</f>
        <v>454180</v>
      </c>
      <c r="Q98" s="190">
        <f>'Calendar Assumptions'!M53</f>
        <v>454180</v>
      </c>
      <c r="R98" s="190">
        <f>'Calendar Assumptions'!N53</f>
        <v>454180</v>
      </c>
      <c r="S98" s="190">
        <f>'Calendar Assumptions'!O53</f>
        <v>454180</v>
      </c>
      <c r="T98" s="190">
        <f>'Calendar Assumptions'!P53</f>
        <v>454180</v>
      </c>
    </row>
    <row r="99" spans="1:20" ht="15.75" customHeight="1">
      <c r="A99" s="26"/>
      <c r="B99" s="26"/>
      <c r="C99" s="26" t="s">
        <v>469</v>
      </c>
      <c r="D99" s="26"/>
      <c r="E99" s="26"/>
      <c r="F99" s="26"/>
      <c r="G99" s="180"/>
      <c r="H99" s="291">
        <f>Inputs!$E$722</f>
        <v>0.25</v>
      </c>
      <c r="I99" s="291">
        <f>Inputs!$E$722</f>
        <v>0.25</v>
      </c>
      <c r="J99" s="291">
        <f>Inputs!$E$722</f>
        <v>0.25</v>
      </c>
      <c r="K99" s="291">
        <f>Inputs!$E$722</f>
        <v>0.25</v>
      </c>
      <c r="L99" s="291">
        <f>Inputs!$E$722</f>
        <v>0.25</v>
      </c>
      <c r="M99" s="291">
        <f>Inputs!$E$722</f>
        <v>0.25</v>
      </c>
      <c r="N99" s="291">
        <f>Inputs!$E$722</f>
        <v>0.25</v>
      </c>
      <c r="O99" s="291">
        <f>Inputs!$E$722</f>
        <v>0.25</v>
      </c>
      <c r="P99" s="291">
        <f>Inputs!$E$722</f>
        <v>0.25</v>
      </c>
      <c r="Q99" s="291">
        <f>Inputs!$E$722</f>
        <v>0.25</v>
      </c>
      <c r="R99" s="291">
        <f>Inputs!$E$722</f>
        <v>0.25</v>
      </c>
      <c r="S99" s="291">
        <f>Inputs!$E$722</f>
        <v>0.25</v>
      </c>
      <c r="T99" s="291">
        <f>Inputs!$E$722</f>
        <v>0.25</v>
      </c>
    </row>
    <row r="100" spans="1:20" ht="15.75" customHeight="1">
      <c r="A100" s="26"/>
      <c r="B100" s="26"/>
      <c r="C100" s="26" t="s">
        <v>470</v>
      </c>
      <c r="D100" s="26"/>
      <c r="E100" s="26"/>
      <c r="F100" s="26"/>
      <c r="G100" s="180"/>
      <c r="H100" s="180">
        <f t="shared" ref="H100:T100" si="26">H98*H99</f>
        <v>0</v>
      </c>
      <c r="I100" s="180">
        <f t="shared" si="26"/>
        <v>0</v>
      </c>
      <c r="J100" s="180">
        <f t="shared" si="26"/>
        <v>101622.77499999999</v>
      </c>
      <c r="K100" s="180">
        <f t="shared" si="26"/>
        <v>103780.13</v>
      </c>
      <c r="L100" s="180">
        <f t="shared" si="26"/>
        <v>105937.48500000002</v>
      </c>
      <c r="M100" s="180">
        <f t="shared" si="26"/>
        <v>113545</v>
      </c>
      <c r="N100" s="180">
        <f t="shared" si="26"/>
        <v>113545</v>
      </c>
      <c r="O100" s="180">
        <f t="shared" si="26"/>
        <v>113545</v>
      </c>
      <c r="P100" s="180">
        <f t="shared" si="26"/>
        <v>113545</v>
      </c>
      <c r="Q100" s="180">
        <f t="shared" si="26"/>
        <v>113545</v>
      </c>
      <c r="R100" s="180">
        <f t="shared" si="26"/>
        <v>113545</v>
      </c>
      <c r="S100" s="180">
        <f t="shared" si="26"/>
        <v>113545</v>
      </c>
      <c r="T100" s="180">
        <f t="shared" si="26"/>
        <v>113545</v>
      </c>
    </row>
    <row r="101" spans="1:20" ht="15.75" customHeight="1">
      <c r="A101" s="26"/>
      <c r="B101" s="26"/>
      <c r="C101" s="26"/>
      <c r="D101" s="26"/>
      <c r="E101" s="26"/>
      <c r="F101" s="26"/>
      <c r="G101" s="180"/>
      <c r="H101" s="180"/>
      <c r="I101" s="180"/>
      <c r="J101" s="180"/>
      <c r="K101" s="180"/>
      <c r="L101" s="180"/>
      <c r="M101" s="180"/>
      <c r="N101" s="180"/>
      <c r="O101" s="180"/>
      <c r="P101" s="180"/>
      <c r="Q101" s="180"/>
      <c r="R101" s="180"/>
      <c r="S101" s="180"/>
      <c r="T101" s="180"/>
    </row>
    <row r="102" spans="1:20" ht="15.75" customHeight="1">
      <c r="A102" s="26"/>
      <c r="B102" s="188" t="s">
        <v>471</v>
      </c>
      <c r="C102" s="26"/>
      <c r="D102" s="26"/>
      <c r="E102" s="26"/>
      <c r="F102" s="26"/>
      <c r="G102" s="180"/>
      <c r="H102" s="180">
        <f t="shared" ref="H102:T102" si="27">H100</f>
        <v>0</v>
      </c>
      <c r="I102" s="180">
        <f t="shared" si="27"/>
        <v>0</v>
      </c>
      <c r="J102" s="180">
        <f t="shared" si="27"/>
        <v>101622.77499999999</v>
      </c>
      <c r="K102" s="180">
        <f t="shared" si="27"/>
        <v>103780.13</v>
      </c>
      <c r="L102" s="180">
        <f t="shared" si="27"/>
        <v>105937.48500000002</v>
      </c>
      <c r="M102" s="180">
        <f t="shared" si="27"/>
        <v>113545</v>
      </c>
      <c r="N102" s="180">
        <f t="shared" si="27"/>
        <v>113545</v>
      </c>
      <c r="O102" s="180">
        <f t="shared" si="27"/>
        <v>113545</v>
      </c>
      <c r="P102" s="180">
        <f t="shared" si="27"/>
        <v>113545</v>
      </c>
      <c r="Q102" s="180">
        <f t="shared" si="27"/>
        <v>113545</v>
      </c>
      <c r="R102" s="180">
        <f t="shared" si="27"/>
        <v>113545</v>
      </c>
      <c r="S102" s="180">
        <f t="shared" si="27"/>
        <v>113545</v>
      </c>
      <c r="T102" s="180">
        <f t="shared" si="27"/>
        <v>113545</v>
      </c>
    </row>
    <row r="103" spans="1:20" ht="15.75" customHeight="1">
      <c r="A103" s="26"/>
      <c r="B103" s="26"/>
      <c r="C103" s="26"/>
      <c r="D103" s="26"/>
      <c r="E103" s="26"/>
      <c r="F103" s="26"/>
      <c r="G103" s="180"/>
      <c r="H103" s="180"/>
      <c r="I103" s="180"/>
      <c r="J103" s="180"/>
      <c r="K103" s="180"/>
      <c r="L103" s="180"/>
      <c r="M103" s="180"/>
      <c r="N103" s="180"/>
      <c r="O103" s="180"/>
      <c r="P103" s="180"/>
      <c r="Q103" s="180"/>
      <c r="R103" s="180"/>
      <c r="S103" s="180"/>
      <c r="T103" s="180"/>
    </row>
    <row r="104" spans="1:20" ht="15.75" customHeight="1">
      <c r="A104" s="26"/>
      <c r="B104" s="251"/>
      <c r="C104" s="26"/>
      <c r="D104" s="26"/>
      <c r="E104" s="26"/>
      <c r="F104" s="26"/>
      <c r="G104" s="180"/>
      <c r="H104" s="180"/>
      <c r="I104" s="180"/>
      <c r="J104" s="180"/>
      <c r="K104" s="180"/>
      <c r="L104" s="180"/>
      <c r="M104" s="180"/>
      <c r="N104" s="180"/>
      <c r="O104" s="180"/>
      <c r="P104" s="180"/>
      <c r="Q104" s="180"/>
      <c r="R104" s="180"/>
      <c r="S104" s="180"/>
      <c r="T104" s="180"/>
    </row>
    <row r="105" spans="1:20" ht="15.75" customHeight="1">
      <c r="A105" s="26"/>
      <c r="B105" s="251" t="s">
        <v>360</v>
      </c>
      <c r="C105" s="26"/>
      <c r="D105" s="26"/>
      <c r="E105" s="26"/>
      <c r="F105" s="26"/>
      <c r="G105" s="180"/>
      <c r="H105" s="180">
        <f>IF((Cashflow!E23+SUM(Cashflow!E27:E32)+Cashflow!E34+'Balance Sheet'!F10+Inputs!E802)&gt;Inputs!E802,IF(H95&gt;0,Inputs!$E$486*H95+Cashflow!E36,0),0)</f>
        <v>0</v>
      </c>
      <c r="I105" s="180">
        <f>IF((Cashflow!F23+SUM(Cashflow!F27:F32)+Cashflow!F34+'Balance Sheet'!G10+Inputs!F802)&gt;Inputs!F802,IF(I95&gt;0,Inputs!$E$486*I95+Cashflow!F36,0),0)</f>
        <v>0</v>
      </c>
      <c r="J105" s="180">
        <f>IF((Cashflow!G23+SUM(Cashflow!G27:G32)+Cashflow!G34+'Balance Sheet'!H10+Inputs!G802)&gt;Inputs!G802,IF(J95&gt;0,Inputs!$E$486*J95+Cashflow!G36,0),0)</f>
        <v>3847688.2333468674</v>
      </c>
      <c r="K105" s="180">
        <f>IF((Cashflow!H23+SUM(Cashflow!H27:H32)+Cashflow!H34+'Balance Sheet'!I10+Inputs!H802)&gt;Inputs!H802,IF(K95&gt;0,Inputs!$E$486*K95+Cashflow!H36,0),0)</f>
        <v>4625550.2165327361</v>
      </c>
      <c r="L105" s="180">
        <f>IF((Cashflow!I23+SUM(Cashflow!I27:I32)+Cashflow!I34+'Balance Sheet'!J10+Inputs!I802)&gt;Inputs!I802,IF(L95&gt;0,Inputs!$E$486*L95+Cashflow!I36,0),0)</f>
        <v>4933391.9369922765</v>
      </c>
      <c r="M105" s="180">
        <f>IF((Cashflow!J23+SUM(Cashflow!J27:J32)+Cashflow!J34+'Balance Sheet'!K10+Inputs!J802)&gt;Inputs!J802,IF(M95&gt;0,Inputs!$E$486*M95+Cashflow!J36,0),0)</f>
        <v>5478014.1589983385</v>
      </c>
      <c r="N105" s="180">
        <f>IF((Cashflow!K23+SUM(Cashflow!K27:K32)+Cashflow!K34+'Balance Sheet'!L10+Inputs!K802)&gt;Inputs!K802,IF(N95&gt;0,Inputs!$E$486*N95+Cashflow!K36,0),0)</f>
        <v>5724980.4735460561</v>
      </c>
      <c r="O105" s="180">
        <f>IF((Cashflow!L23+SUM(Cashflow!L27:L32)+Cashflow!L34+'Balance Sheet'!M10+Inputs!L802)&gt;Inputs!L802,IF(O95&gt;0,Inputs!$E$486*O95+Cashflow!L36,0),0)</f>
        <v>5653137.990918044</v>
      </c>
      <c r="P105" s="180">
        <f>IF((Cashflow!M23+SUM(Cashflow!M27:M32)+Cashflow!M34+'Balance Sheet'!N10+Inputs!M802)&gt;Inputs!M802,IF(P95&gt;0,Inputs!$E$486*P95+Cashflow!M36,0),0)</f>
        <v>5733741.6864871467</v>
      </c>
      <c r="Q105" s="180">
        <f>IF((Cashflow!N23+SUM(Cashflow!N27:N32)+Cashflow!N34+'Balance Sheet'!O10+Inputs!N802)&gt;Inputs!N802,IF(Q95&gt;0,Inputs!$E$486*Q95+Cashflow!N36,0),0)</f>
        <v>5915015.9847225072</v>
      </c>
      <c r="R105" s="180">
        <f>IF((Cashflow!O23+SUM(Cashflow!O27:O32)+Cashflow!O34+'Balance Sheet'!P10+Inputs!O802)&gt;Inputs!O802,IF(R95&gt;0,Inputs!$E$486*R95+Cashflow!O36,0),0)</f>
        <v>6110586.3297192222</v>
      </c>
      <c r="S105" s="180">
        <f>IF((Cashflow!P23+SUM(Cashflow!P27:P32)+Cashflow!P34+'Balance Sheet'!Q10+Inputs!P802)&gt;Inputs!P802,IF(S95&gt;0,Inputs!$E$486*S95+Cashflow!P36,0),0)</f>
        <v>6230440.1482436201</v>
      </c>
      <c r="T105" s="180">
        <f>IF((Cashflow!Q23+SUM(Cashflow!Q27:Q32)+Cashflow!Q34+'Balance Sheet'!R10+Inputs!Q802)&gt;Inputs!Q802,IF(T95&gt;0,Inputs!$E$486*T95+Cashflow!Q36,0),0)</f>
        <v>7152677.1061575403</v>
      </c>
    </row>
    <row r="106" spans="1:20" ht="15.75" customHeight="1">
      <c r="A106" s="26"/>
      <c r="B106" s="26"/>
      <c r="C106" s="26"/>
      <c r="D106" s="26"/>
      <c r="E106" s="26"/>
      <c r="F106" s="26"/>
      <c r="G106" s="180"/>
      <c r="H106" s="180"/>
      <c r="I106" s="180"/>
      <c r="J106" s="180"/>
      <c r="K106" s="180"/>
      <c r="L106" s="180"/>
      <c r="M106" s="180"/>
      <c r="N106" s="180"/>
      <c r="O106" s="180"/>
      <c r="P106" s="180"/>
      <c r="Q106" s="180"/>
      <c r="R106" s="180"/>
      <c r="S106" s="180"/>
      <c r="T106" s="180"/>
    </row>
    <row r="107" spans="1:20" ht="15.75" customHeight="1">
      <c r="A107" s="26"/>
      <c r="B107" s="26"/>
      <c r="C107" s="26"/>
      <c r="D107" s="26"/>
      <c r="E107" s="26"/>
      <c r="F107" s="26"/>
      <c r="G107" s="180"/>
      <c r="H107" s="180"/>
      <c r="I107" s="180"/>
      <c r="J107" s="180"/>
      <c r="K107" s="180"/>
      <c r="L107" s="180"/>
      <c r="M107" s="180"/>
      <c r="N107" s="180"/>
      <c r="O107" s="180"/>
      <c r="P107" s="180"/>
      <c r="Q107" s="180"/>
      <c r="R107" s="180"/>
      <c r="S107" s="180"/>
      <c r="T107" s="180"/>
    </row>
    <row r="108" spans="1:20" ht="34.5" customHeight="1">
      <c r="A108" s="292" t="s">
        <v>472</v>
      </c>
      <c r="B108" s="251" t="s">
        <v>197</v>
      </c>
      <c r="C108" s="26"/>
      <c r="D108" s="26"/>
      <c r="E108" s="26"/>
      <c r="F108" s="26"/>
      <c r="G108" s="293"/>
      <c r="H108" s="293" t="str">
        <f t="shared" ref="H108:I108" si="28">IF((H112+H113)=0,"",(H109-H111)/ABS(H112+H113))</f>
        <v/>
      </c>
      <c r="I108" s="293">
        <f t="shared" si="28"/>
        <v>0</v>
      </c>
      <c r="J108" s="293">
        <f t="shared" ref="J108:T108" si="29">IF((J112+J113)=0,"",(J109-J111+J110)/ABS(J112+J113))</f>
        <v>3.7480650108967009</v>
      </c>
      <c r="K108" s="293">
        <f t="shared" si="29"/>
        <v>3.0466904338978202</v>
      </c>
      <c r="L108" s="293">
        <f t="shared" si="29"/>
        <v>3.3189553617167831</v>
      </c>
      <c r="M108" s="293">
        <f t="shared" si="29"/>
        <v>3.7480418669249009</v>
      </c>
      <c r="N108" s="293">
        <f t="shared" si="29"/>
        <v>4.046953904892197</v>
      </c>
      <c r="O108" s="293">
        <f t="shared" si="29"/>
        <v>4.1874723826887088</v>
      </c>
      <c r="P108" s="293">
        <f t="shared" si="29"/>
        <v>4.4574720293004884</v>
      </c>
      <c r="Q108" s="293">
        <f t="shared" si="29"/>
        <v>4.8337591413140704</v>
      </c>
      <c r="R108" s="293">
        <f t="shared" si="29"/>
        <v>5.2771194419729879</v>
      </c>
      <c r="S108" s="293" t="str">
        <f t="shared" si="29"/>
        <v/>
      </c>
      <c r="T108" s="293" t="str">
        <f t="shared" si="29"/>
        <v/>
      </c>
    </row>
    <row r="109" spans="1:20" ht="15.75" customHeight="1">
      <c r="A109" s="26"/>
      <c r="B109" s="26"/>
      <c r="C109" s="140" t="s">
        <v>473</v>
      </c>
      <c r="D109" s="253"/>
      <c r="E109" s="26"/>
      <c r="F109" s="26"/>
      <c r="G109" s="180"/>
      <c r="H109" s="180">
        <f t="shared" ref="H109:T109" si="30">H79-H91</f>
        <v>0</v>
      </c>
      <c r="I109" s="180">
        <f t="shared" si="30"/>
        <v>0</v>
      </c>
      <c r="J109" s="180">
        <f t="shared" si="30"/>
        <v>8218792.9692101246</v>
      </c>
      <c r="K109" s="180">
        <f t="shared" si="30"/>
        <v>7736758.3887382112</v>
      </c>
      <c r="L109" s="180">
        <f t="shared" si="30"/>
        <v>8052253.6662590057</v>
      </c>
      <c r="M109" s="180">
        <f t="shared" si="30"/>
        <v>8627797.0144315362</v>
      </c>
      <c r="N109" s="180">
        <f t="shared" si="30"/>
        <v>8745145.083501555</v>
      </c>
      <c r="O109" s="180">
        <f t="shared" si="30"/>
        <v>8471412.1356574073</v>
      </c>
      <c r="P109" s="180">
        <f t="shared" si="30"/>
        <v>8488297.4862821419</v>
      </c>
      <c r="Q109" s="180">
        <f t="shared" si="30"/>
        <v>8602684.1804265715</v>
      </c>
      <c r="R109" s="180">
        <f t="shared" si="30"/>
        <v>8721251.4207469597</v>
      </c>
      <c r="S109" s="180">
        <f t="shared" si="30"/>
        <v>8799193.1581747495</v>
      </c>
      <c r="T109" s="180">
        <f t="shared" si="30"/>
        <v>10027362.754553514</v>
      </c>
    </row>
    <row r="110" spans="1:20" ht="15.75" customHeight="1">
      <c r="A110" s="26"/>
      <c r="B110" s="26"/>
      <c r="C110" s="140" t="s">
        <v>474</v>
      </c>
      <c r="D110" s="253"/>
      <c r="E110" s="26"/>
      <c r="F110" s="26"/>
      <c r="G110" s="180"/>
      <c r="H110" s="180">
        <f>Cashflow!E36</f>
        <v>0</v>
      </c>
      <c r="I110" s="180">
        <f>Cashflow!F36</f>
        <v>0</v>
      </c>
      <c r="J110" s="180">
        <f>Cashflow!G36</f>
        <v>-1096726.5820212327</v>
      </c>
      <c r="K110" s="180">
        <f>Cashflow!H36</f>
        <v>-12840.59445783266</v>
      </c>
      <c r="L110" s="180">
        <f>Cashflow!I36</f>
        <v>-58802.416014928283</v>
      </c>
      <c r="M110" s="180">
        <f>Cashflow!J36</f>
        <v>-76022.192546891019</v>
      </c>
      <c r="N110" s="180">
        <f>Cashflow!K36</f>
        <v>-24341.653255187935</v>
      </c>
      <c r="O110" s="180">
        <f>Cashflow!L36</f>
        <v>21394.902392118325</v>
      </c>
      <c r="P110" s="180">
        <f>Cashflow!M36</f>
        <v>-12917.002538567729</v>
      </c>
      <c r="Q110" s="180">
        <f>Cashflow!N36</f>
        <v>-24559.379618751002</v>
      </c>
      <c r="R110" s="180">
        <f>Cashflow!O36</f>
        <v>-25250.146878345986</v>
      </c>
      <c r="S110" s="180">
        <f>Cashflow!P36</f>
        <v>-18453.378296178591</v>
      </c>
      <c r="T110" s="180">
        <f>Cashflow!Q36</f>
        <v>-78752.097485271166</v>
      </c>
    </row>
    <row r="111" spans="1:20" ht="15.75" customHeight="1">
      <c r="A111" s="26"/>
      <c r="B111" s="26"/>
      <c r="C111" s="140" t="s">
        <v>383</v>
      </c>
      <c r="D111" s="253"/>
      <c r="E111" s="26"/>
      <c r="F111" s="26"/>
      <c r="G111" s="180"/>
      <c r="H111" s="180"/>
      <c r="I111" s="180">
        <f>IF(I8=1,-I28*Inputs!$E$462*Scenarios!$B$10,0)</f>
        <v>0</v>
      </c>
      <c r="J111" s="180">
        <f>Cashflow!G27</f>
        <v>0</v>
      </c>
      <c r="K111" s="180">
        <f>Cashflow!H27</f>
        <v>0</v>
      </c>
      <c r="L111" s="180">
        <f>Cashflow!I27</f>
        <v>0</v>
      </c>
      <c r="M111" s="180">
        <f>Cashflow!J27</f>
        <v>0</v>
      </c>
      <c r="N111" s="180">
        <f>Cashflow!K27</f>
        <v>0</v>
      </c>
      <c r="O111" s="180">
        <f>Cashflow!L27</f>
        <v>0</v>
      </c>
      <c r="P111" s="180">
        <f>Cashflow!M27</f>
        <v>0</v>
      </c>
      <c r="Q111" s="180">
        <f>Cashflow!N27</f>
        <v>0</v>
      </c>
      <c r="R111" s="180">
        <f>Cashflow!O27</f>
        <v>0</v>
      </c>
      <c r="S111" s="180">
        <f>Cashflow!P27</f>
        <v>0</v>
      </c>
      <c r="T111" s="180">
        <f>Cashflow!Q27</f>
        <v>0</v>
      </c>
    </row>
    <row r="112" spans="1:20" ht="15.75" customHeight="1">
      <c r="A112" s="26"/>
      <c r="B112" s="26"/>
      <c r="C112" s="140" t="s">
        <v>475</v>
      </c>
      <c r="D112" s="253"/>
      <c r="E112" s="26"/>
      <c r="F112" s="26"/>
      <c r="G112" s="180"/>
      <c r="H112" s="180">
        <f t="array" ref="H112">INDEX(Debt!$H$56:$S$56,MATCH(H$6,Debt!$H$14:$S$14,0))</f>
        <v>0</v>
      </c>
      <c r="I112" s="180">
        <f t="array" ref="I112">INDEX(Debt!$H$56:$S$56,MATCH(I$6,Debt!$H$14:$S$14,0))</f>
        <v>0</v>
      </c>
      <c r="J112" s="180">
        <f t="array" ref="J112">INDEX(Debt!$H$118:$U$118,MATCH(J$6,Debt!$H$14:$U$14,0))</f>
        <v>850000</v>
      </c>
      <c r="K112" s="180">
        <f t="array" ref="K112">INDEX(Debt!$H$118:$U$118,MATCH(K$6,Debt!$H$14:$U$14,0))</f>
        <v>1584489.375</v>
      </c>
      <c r="L112" s="180">
        <f t="array" ref="L112">INDEX(Debt!$H$118:$U$118,MATCH(L$6,Debt!$H$14:$U$14,0))</f>
        <v>1584489.375</v>
      </c>
      <c r="M112" s="180">
        <f t="array" ref="M112">INDEX(Debt!$H$118:$U$118,MATCH(M$6,Debt!$H$14:$U$14,0))</f>
        <v>1584489.375</v>
      </c>
      <c r="N112" s="180">
        <f t="array" ref="N112">INDEX(Debt!$H$118:$U$118,MATCH(N$6,Debt!$H$14:$U$14,0))</f>
        <v>1584489.375</v>
      </c>
      <c r="O112" s="180">
        <f t="array" ref="O112">INDEX(Debt!$H$118:$U$118,MATCH(O$6,Debt!$H$14:$U$14,0))</f>
        <v>1584489.375</v>
      </c>
      <c r="P112" s="180">
        <f t="array" ref="P112">INDEX(Debt!$H$118:$U$118,MATCH(P$6,Debt!$H$14:$U$14,0))</f>
        <v>1584489.375</v>
      </c>
      <c r="Q112" s="180">
        <f t="array" ref="Q112">INDEX(Debt!$H$118:$U$118,MATCH(Q$6,Debt!$H$14:$U$14,0))</f>
        <v>1584489.375</v>
      </c>
      <c r="R112" s="180">
        <f t="array" ref="R112">INDEX(Debt!$H$118:$U$118,MATCH(R$6,Debt!$H$14:$U$14,0))</f>
        <v>1584489.375</v>
      </c>
      <c r="S112" s="180">
        <f t="array" ref="S112">INDEX(Debt!$H$118:$U$118,MATCH(S$6,Debt!$H$14:$U$14,0))</f>
        <v>0</v>
      </c>
      <c r="T112" s="180">
        <f t="array" ref="T112">INDEX(Debt!$H$118:$U$118,MATCH(T$6,Debt!$H$14:$U$14,0))</f>
        <v>0</v>
      </c>
    </row>
    <row r="113" spans="1:26" ht="15.75" customHeight="1">
      <c r="A113" s="26"/>
      <c r="B113" s="26"/>
      <c r="C113" s="140" t="s">
        <v>476</v>
      </c>
      <c r="D113" s="253"/>
      <c r="E113" s="26"/>
      <c r="F113" s="26"/>
      <c r="G113" s="180"/>
      <c r="H113" s="180">
        <f t="array" ref="H113">INDEX(Debt!$H$57:$S$57,MATCH(H$6,Debt!$H$14:$S$14,0))</f>
        <v>0</v>
      </c>
      <c r="I113" s="180">
        <f t="array" ref="I113">INDEX(Debt!$H$119:$U$119,MATCH(I$6,Debt!$H$14:$U$14,0))</f>
        <v>543161.60000000009</v>
      </c>
      <c r="J113" s="180">
        <f t="array" ref="J113">INDEX(Debt!$H$119:$U$119,MATCH(J$6,Debt!$H$14:$U$14,0))</f>
        <v>1050198.2000000002</v>
      </c>
      <c r="K113" s="180">
        <f t="array" ref="K113">INDEX(Debt!$H$119:$U$119,MATCH(K$6,Debt!$H$14:$U$14,0))</f>
        <v>950693.625</v>
      </c>
      <c r="L113" s="180">
        <f t="array" ref="L113">INDEX(Debt!$H$119:$U$119,MATCH(L$6,Debt!$H$14:$U$14,0))</f>
        <v>823934.47499999998</v>
      </c>
      <c r="M113" s="180">
        <f t="array" ref="M113">INDEX(Debt!$H$119:$U$119,MATCH(M$6,Debt!$H$14:$U$14,0))</f>
        <v>697175.32500000007</v>
      </c>
      <c r="N113" s="180">
        <f t="array" ref="N113">INDEX(Debt!$H$119:$U$119,MATCH(N$6,Debt!$H$14:$U$14,0))</f>
        <v>570416.17500000005</v>
      </c>
      <c r="O113" s="180">
        <f t="array" ref="O113">INDEX(Debt!$H$119:$U$119,MATCH(O$6,Debt!$H$14:$U$14,0))</f>
        <v>443657.02500000002</v>
      </c>
      <c r="P113" s="180">
        <f t="array" ref="P113">INDEX(Debt!$H$119:$U$119,MATCH(P$6,Debt!$H$14:$U$14,0))</f>
        <v>316897.875</v>
      </c>
      <c r="Q113" s="180">
        <f t="array" ref="Q113">INDEX(Debt!$H$119:$U$119,MATCH(Q$6,Debt!$H$14:$U$14,0))</f>
        <v>190138.72500000001</v>
      </c>
      <c r="R113" s="180">
        <f t="array" ref="R113">INDEX(Debt!$H$119:$U$119,MATCH(R$6,Debt!$H$14:$U$14,0))</f>
        <v>63379.575000000004</v>
      </c>
      <c r="S113" s="180">
        <f t="array" ref="S113">INDEX(Debt!$H$119:$U$119,MATCH(S$6,Debt!$H$14:$U$14,0))</f>
        <v>0</v>
      </c>
      <c r="T113" s="180">
        <f t="array" ref="T113">INDEX(Debt!$H$119:$U$119,MATCH(T$6,Debt!$H$14:$U$14,0))</f>
        <v>0</v>
      </c>
    </row>
    <row r="114" spans="1:26" ht="15.75" customHeight="1">
      <c r="A114" s="140"/>
      <c r="B114" s="26"/>
      <c r="C114" s="26"/>
      <c r="D114" s="26"/>
      <c r="E114" s="26"/>
      <c r="F114" s="26"/>
      <c r="G114" s="26"/>
      <c r="H114" s="26"/>
      <c r="I114" s="26"/>
      <c r="J114" s="26"/>
      <c r="K114" s="26"/>
      <c r="L114" s="26"/>
      <c r="M114" s="26"/>
      <c r="N114" s="26"/>
      <c r="O114" s="26"/>
      <c r="P114" s="26"/>
      <c r="Q114" s="26"/>
      <c r="R114" s="26"/>
      <c r="S114" s="26"/>
      <c r="T114" s="26"/>
    </row>
    <row r="115" spans="1:26" ht="15.75" customHeight="1">
      <c r="A115" s="140"/>
      <c r="B115" s="26"/>
      <c r="C115" s="26"/>
      <c r="D115" s="26"/>
      <c r="E115" s="26"/>
      <c r="F115" s="26"/>
      <c r="G115" s="26"/>
      <c r="H115" s="26"/>
      <c r="I115" s="26"/>
      <c r="J115" s="294"/>
      <c r="K115" s="294"/>
      <c r="L115" s="294"/>
      <c r="M115" s="294"/>
      <c r="N115" s="294"/>
      <c r="O115" s="294"/>
      <c r="P115" s="294"/>
      <c r="Q115" s="294"/>
      <c r="R115" s="294"/>
      <c r="S115" s="294"/>
      <c r="T115" s="294"/>
    </row>
    <row r="116" spans="1:26" ht="15.75" customHeight="1">
      <c r="A116" s="147" t="s">
        <v>477</v>
      </c>
      <c r="B116" s="26"/>
      <c r="C116" s="26"/>
      <c r="D116" s="26"/>
      <c r="E116" s="26"/>
      <c r="F116" s="26"/>
      <c r="G116" s="26"/>
      <c r="H116" s="26"/>
      <c r="I116" s="26"/>
      <c r="J116" s="26"/>
      <c r="K116" s="26"/>
      <c r="L116" s="26"/>
      <c r="M116" s="26"/>
      <c r="N116" s="26"/>
      <c r="O116" s="26"/>
      <c r="P116" s="26"/>
      <c r="Q116" s="26"/>
      <c r="R116" s="26"/>
      <c r="S116" s="26"/>
      <c r="T116" s="26"/>
    </row>
    <row r="117" spans="1:26" ht="15.75" customHeight="1">
      <c r="A117" s="140"/>
      <c r="B117" s="26"/>
      <c r="C117" s="26"/>
      <c r="D117" s="26"/>
      <c r="E117" s="26"/>
      <c r="F117" s="26"/>
      <c r="G117" s="26"/>
      <c r="H117" s="26"/>
      <c r="I117" s="26"/>
      <c r="J117" s="26"/>
      <c r="K117" s="26"/>
      <c r="L117" s="26"/>
      <c r="M117" s="26"/>
      <c r="N117" s="26"/>
      <c r="O117" s="26"/>
      <c r="P117" s="26"/>
      <c r="Q117" s="26"/>
      <c r="R117" s="26"/>
      <c r="S117" s="26"/>
      <c r="T117" s="26"/>
    </row>
    <row r="118" spans="1:26" ht="15.75" customHeight="1">
      <c r="A118" s="140"/>
      <c r="B118" s="26"/>
      <c r="C118" s="26"/>
      <c r="D118" s="26"/>
      <c r="E118" s="26"/>
      <c r="F118" s="26"/>
      <c r="G118" s="26"/>
      <c r="H118" s="26"/>
      <c r="I118" s="26"/>
      <c r="J118" s="26"/>
      <c r="K118" s="26"/>
      <c r="L118" s="26"/>
      <c r="M118" s="26"/>
      <c r="N118" s="26"/>
      <c r="O118" s="26"/>
      <c r="P118" s="26"/>
      <c r="Q118" s="26"/>
      <c r="R118" s="26"/>
      <c r="S118" s="26"/>
      <c r="T118" s="26"/>
    </row>
    <row r="119" spans="1:26" ht="15.75" customHeight="1">
      <c r="A119" s="26"/>
      <c r="B119" s="295"/>
      <c r="C119" s="295"/>
      <c r="D119" s="295"/>
      <c r="E119" s="295"/>
      <c r="F119" s="295"/>
      <c r="G119" s="295"/>
      <c r="H119" s="295"/>
      <c r="I119" s="295"/>
      <c r="J119" s="295"/>
      <c r="K119" s="295"/>
      <c r="L119" s="295"/>
      <c r="M119" s="295"/>
      <c r="N119" s="295"/>
      <c r="O119" s="295"/>
      <c r="P119" s="295"/>
      <c r="Q119" s="295"/>
      <c r="R119" s="295"/>
      <c r="S119" s="295"/>
      <c r="T119" s="295"/>
    </row>
    <row r="120" spans="1:26" ht="28.5" customHeight="1">
      <c r="A120" s="296"/>
      <c r="B120" s="297"/>
      <c r="C120" s="298" t="s">
        <v>478</v>
      </c>
      <c r="D120" s="298" t="s">
        <v>479</v>
      </c>
      <c r="E120" s="297"/>
      <c r="F120" s="297"/>
      <c r="G120" s="299" t="str">
        <f t="shared" ref="G120:T120" si="31">G6</f>
        <v>FY25</v>
      </c>
      <c r="H120" s="300" t="str">
        <f t="shared" si="31"/>
        <v>FY26</v>
      </c>
      <c r="I120" s="300" t="str">
        <f t="shared" si="31"/>
        <v>FY27</v>
      </c>
      <c r="J120" s="300" t="str">
        <f t="shared" si="31"/>
        <v>FY28</v>
      </c>
      <c r="K120" s="300" t="str">
        <f t="shared" si="31"/>
        <v>FY29</v>
      </c>
      <c r="L120" s="300" t="str">
        <f t="shared" si="31"/>
        <v>FY30</v>
      </c>
      <c r="M120" s="300" t="str">
        <f t="shared" si="31"/>
        <v>FY31</v>
      </c>
      <c r="N120" s="300" t="str">
        <f t="shared" si="31"/>
        <v>FY32</v>
      </c>
      <c r="O120" s="300" t="str">
        <f t="shared" si="31"/>
        <v>FY33</v>
      </c>
      <c r="P120" s="300" t="str">
        <f t="shared" si="31"/>
        <v>FY34</v>
      </c>
      <c r="Q120" s="300" t="str">
        <f t="shared" si="31"/>
        <v>FY35</v>
      </c>
      <c r="R120" s="300" t="str">
        <f t="shared" si="31"/>
        <v>FY36</v>
      </c>
      <c r="S120" s="300" t="str">
        <f t="shared" si="31"/>
        <v>FY37</v>
      </c>
      <c r="T120" s="300" t="str">
        <f t="shared" si="31"/>
        <v>FY38</v>
      </c>
      <c r="U120" s="301"/>
      <c r="V120" s="301"/>
      <c r="W120" s="301"/>
      <c r="X120" s="301"/>
      <c r="Y120" s="301"/>
      <c r="Z120" s="301"/>
    </row>
    <row r="121" spans="1:26" ht="15.75" customHeight="1">
      <c r="A121" s="296"/>
      <c r="B121" s="302" t="s">
        <v>402</v>
      </c>
      <c r="C121" s="303"/>
      <c r="D121" s="303"/>
      <c r="E121" s="303"/>
      <c r="F121" s="303"/>
      <c r="G121" s="303"/>
      <c r="H121" s="303"/>
      <c r="I121" s="303"/>
      <c r="J121" s="303"/>
      <c r="K121" s="303"/>
      <c r="L121" s="303"/>
      <c r="M121" s="303"/>
      <c r="N121" s="303"/>
      <c r="O121" s="303"/>
      <c r="P121" s="303"/>
      <c r="Q121" s="303"/>
      <c r="R121" s="303"/>
      <c r="S121" s="304"/>
      <c r="T121" s="304"/>
      <c r="U121" s="301"/>
      <c r="V121" s="301"/>
      <c r="W121" s="301"/>
      <c r="X121" s="301"/>
      <c r="Y121" s="301"/>
      <c r="Z121" s="301"/>
    </row>
    <row r="122" spans="1:26" ht="15.75" customHeight="1">
      <c r="A122" s="296"/>
      <c r="B122" s="297"/>
      <c r="C122" s="305" t="s">
        <v>281</v>
      </c>
      <c r="D122" s="306">
        <f t="array" ref="D122">IF(SUMPRODUCT(ABS(G122:R122))&lt;1,0,SUMPRODUCT(ABS(G122:R122)))</f>
        <v>0</v>
      </c>
      <c r="E122" s="306"/>
      <c r="F122" s="306"/>
      <c r="G122" s="306">
        <f t="array" ref="G122">G14-IF(G$8=1,IFERROR(INDEX('Revenue Assumptions'!$F$108:$P$108,MATCH(G$6,'Revenue Assumptions'!$F$34:$P$34,0))*Scenarios!$B$6,0),0)</f>
        <v>0</v>
      </c>
      <c r="H122" s="306">
        <f t="array" ref="H122">H14-IF(H$8=1,IFERROR(INDEX('Revenue Assumptions'!$F$108:$P$108,MATCH(H$6,'Revenue Assumptions'!$F$34:$P$34,0))*Scenarios!$B$6,0),0)</f>
        <v>0</v>
      </c>
      <c r="I122" s="306">
        <f t="array" ref="I122">I14-IF(I$8=1,IFERROR(INDEX('Revenue Assumptions'!$F$108:$P$108,MATCH(I$6,'Revenue Assumptions'!$F$34:$P$34,0))*Scenarios!$B$6,0),0)</f>
        <v>0</v>
      </c>
      <c r="J122" s="306">
        <f t="array" ref="J122">J14-IF(J$8=1,IFERROR(INDEX('Revenue Assumptions'!$F$108:$P$108,MATCH(J$6,'Revenue Assumptions'!$F$34:$P$34,0))*Scenarios!$B$6,0),0)</f>
        <v>0</v>
      </c>
      <c r="K122" s="306">
        <f t="array" ref="K122">K14-IF(K$8=1,IFERROR(INDEX('Revenue Assumptions'!$F$108:$P$108,MATCH(K$6,'Revenue Assumptions'!$F$34:$P$34,0))*Scenarios!$B$6,0),0)</f>
        <v>0</v>
      </c>
      <c r="L122" s="306">
        <f t="array" ref="L122">L14-IF(L$8=1,IFERROR(INDEX('Revenue Assumptions'!$F$108:$P$108,MATCH(L$6,'Revenue Assumptions'!$F$34:$P$34,0))*Scenarios!$B$6,0),0)</f>
        <v>0</v>
      </c>
      <c r="M122" s="306">
        <f t="array" ref="M122">M14-IF(M$8=1,IFERROR(INDEX('Revenue Assumptions'!$F$108:$P$108,MATCH(M$6,'Revenue Assumptions'!$F$34:$P$34,0))*Scenarios!$B$6,0),0)</f>
        <v>0</v>
      </c>
      <c r="N122" s="306">
        <f t="array" ref="N122">N14-IF(N$8=1,IFERROR(INDEX('Revenue Assumptions'!$F$108:$P$108,MATCH(N$6,'Revenue Assumptions'!$F$34:$P$34,0))*Scenarios!$B$6,0),0)</f>
        <v>0</v>
      </c>
      <c r="O122" s="306">
        <f t="array" ref="O122">O14-IF(O$8=1,IFERROR(INDEX('Revenue Assumptions'!$F$108:$P$108,MATCH(O$6,'Revenue Assumptions'!$F$34:$P$34,0))*Scenarios!$B$6,0),0)</f>
        <v>0</v>
      </c>
      <c r="P122" s="306">
        <f t="array" ref="P122">P14-IF(P$8=1,IFERROR(INDEX('Revenue Assumptions'!$F$108:$P$108,MATCH(P$6,'Revenue Assumptions'!$F$34:$P$34,0))*Scenarios!$B$6,0),0)</f>
        <v>0</v>
      </c>
      <c r="Q122" s="306">
        <f t="array" ref="Q122">Q14-IF(Q$8=1,IFERROR(INDEX('Revenue Assumptions'!$F$108:$P$108,MATCH(Q$6,'Revenue Assumptions'!$F$34:$P$34,0))*Scenarios!$B$6,0),0)</f>
        <v>0</v>
      </c>
      <c r="R122" s="306">
        <f t="array" ref="R122">R14-IF(R$8=1,IFERROR(INDEX('Revenue Assumptions'!$F$108:$P$108,MATCH(R$6,'Revenue Assumptions'!$F$34:$P$34,0))*Scenarios!$B$6,0),0)</f>
        <v>0</v>
      </c>
      <c r="S122" s="306">
        <f t="array" ref="S122">S14-IF(S$8=1,IFERROR(INDEX('Revenue Assumptions'!$F$108:$P$108,MATCH(S$6,'Revenue Assumptions'!$F$34:$P$34,0))*Scenarios!$B$6,0),0)</f>
        <v>0</v>
      </c>
      <c r="T122" s="306">
        <f t="array" ref="T122">T14-IF(T$8=1,IFERROR(INDEX('Revenue Assumptions'!$F$108:$P$108,MATCH(T$6,'Revenue Assumptions'!$F$34:$P$34,0))*Scenarios!$B$6,0),0)</f>
        <v>0</v>
      </c>
      <c r="U122" s="301"/>
      <c r="V122" s="301"/>
      <c r="W122" s="301"/>
      <c r="X122" s="301"/>
      <c r="Y122" s="301"/>
      <c r="Z122" s="301"/>
    </row>
    <row r="123" spans="1:26" ht="15.75" customHeight="1">
      <c r="A123" s="296"/>
      <c r="B123" s="297"/>
      <c r="C123" s="305" t="s">
        <v>283</v>
      </c>
      <c r="D123" s="306">
        <f t="array" ref="D123">IF(SUMPRODUCT(ABS(G123:R123))&lt;1,0,SUMPRODUCT(ABS(G123:R123)))</f>
        <v>0</v>
      </c>
      <c r="E123" s="306"/>
      <c r="F123" s="306"/>
      <c r="G123" s="306">
        <f t="array" ref="G123">G15-IF(G$8=1,IFERROR(INDEX('Revenue Assumptions'!$F$124:$P$124,MATCH(G$6,'Revenue Assumptions'!$F$34:$P$34,0))*Scenarios!$B$6,0),0)</f>
        <v>0</v>
      </c>
      <c r="H123" s="306">
        <f t="array" ref="H123">H15-IF(H$8=1,IFERROR(INDEX('Revenue Assumptions'!$F$124:$P$124,MATCH(H$6,'Revenue Assumptions'!$F$34:$P$34,0))*Scenarios!$B$6,0),0)</f>
        <v>0</v>
      </c>
      <c r="I123" s="306">
        <f t="array" ref="I123">I15-IF(I$8=1,IFERROR(INDEX('Revenue Assumptions'!$F$124:$P$124,MATCH(I$6,'Revenue Assumptions'!$F$34:$P$34,0))*Scenarios!$B$6,0),0)</f>
        <v>0</v>
      </c>
      <c r="J123" s="306">
        <f t="array" ref="J123">J15-IF(J$8=1,IFERROR(INDEX('Revenue Assumptions'!$F$124:$P$124,MATCH(J$6,'Revenue Assumptions'!$F$34:$P$34,0))*Scenarios!$B$6,0),0)</f>
        <v>0</v>
      </c>
      <c r="K123" s="306">
        <f t="array" ref="K123">K15-IF(K$8=1,IFERROR(INDEX('Revenue Assumptions'!$F$124:$P$124,MATCH(K$6,'Revenue Assumptions'!$F$34:$P$34,0))*Scenarios!$B$6,0),0)</f>
        <v>0</v>
      </c>
      <c r="L123" s="306">
        <f t="array" ref="L123">L15-IF(L$8=1,IFERROR(INDEX('Revenue Assumptions'!$F$124:$P$124,MATCH(L$6,'Revenue Assumptions'!$F$34:$P$34,0))*Scenarios!$B$6,0),0)</f>
        <v>0</v>
      </c>
      <c r="M123" s="306">
        <f t="array" ref="M123">M15-IF(M$8=1,IFERROR(INDEX('Revenue Assumptions'!$F$124:$P$124,MATCH(M$6,'Revenue Assumptions'!$F$34:$P$34,0))*Scenarios!$B$6,0),0)</f>
        <v>0</v>
      </c>
      <c r="N123" s="306">
        <f t="array" ref="N123">N15-IF(N$8=1,IFERROR(INDEX('Revenue Assumptions'!$F$124:$P$124,MATCH(N$6,'Revenue Assumptions'!$F$34:$P$34,0))*Scenarios!$B$6,0),0)</f>
        <v>0</v>
      </c>
      <c r="O123" s="306">
        <f t="array" ref="O123">O15-IF(O$8=1,IFERROR(INDEX('Revenue Assumptions'!$F$124:$P$124,MATCH(O$6,'Revenue Assumptions'!$F$34:$P$34,0))*Scenarios!$B$6,0),0)</f>
        <v>0</v>
      </c>
      <c r="P123" s="306">
        <f t="array" ref="P123">P15-IF(P$8=1,IFERROR(INDEX('Revenue Assumptions'!$F$124:$P$124,MATCH(P$6,'Revenue Assumptions'!$F$34:$P$34,0))*Scenarios!$B$6,0),0)</f>
        <v>0</v>
      </c>
      <c r="Q123" s="306">
        <f t="array" ref="Q123">Q15-IF(Q$8=1,IFERROR(INDEX('Revenue Assumptions'!$F$124:$P$124,MATCH(Q$6,'Revenue Assumptions'!$F$34:$P$34,0))*Scenarios!$B$6,0),0)</f>
        <v>0</v>
      </c>
      <c r="R123" s="306">
        <f t="array" ref="R123">R15-IF(R$8=1,IFERROR(INDEX('Revenue Assumptions'!$F$124:$P$124,MATCH(R$6,'Revenue Assumptions'!$F$34:$P$34,0))*Scenarios!$B$6,0),0)</f>
        <v>0</v>
      </c>
      <c r="S123" s="306">
        <f t="array" ref="S123">S15-IF(S$8=1,IFERROR(INDEX('Revenue Assumptions'!$F$124:$P$124,MATCH(S$6,'Revenue Assumptions'!$F$34:$P$34,0))*Scenarios!$B$6,0),0)</f>
        <v>0</v>
      </c>
      <c r="T123" s="306">
        <f t="array" ref="T123">T15-IF(T$8=1,IFERROR(INDEX('Revenue Assumptions'!$F$124:$P$124,MATCH(T$6,'Revenue Assumptions'!$F$34:$P$34,0))*Scenarios!$B$6,0),0)</f>
        <v>0</v>
      </c>
      <c r="U123" s="301"/>
      <c r="V123" s="301"/>
      <c r="W123" s="301"/>
      <c r="X123" s="301"/>
      <c r="Y123" s="301"/>
      <c r="Z123" s="301"/>
    </row>
    <row r="124" spans="1:26" ht="15.75" customHeight="1">
      <c r="A124" s="296"/>
      <c r="B124" s="297"/>
      <c r="C124" s="305" t="s">
        <v>285</v>
      </c>
      <c r="D124" s="306">
        <f t="array" ref="D124">IF(SUMPRODUCT(ABS(G124:R124))&lt;1,0,SUMPRODUCT(ABS(G124:R124)))</f>
        <v>0</v>
      </c>
      <c r="E124" s="306"/>
      <c r="F124" s="306"/>
      <c r="G124" s="306">
        <f t="array" ref="G124">G16-IF(G$8=1,IFERROR(INDEX('Revenue Assumptions'!$F$159:$P$159,MATCH(G$6,'Revenue Assumptions'!$F$34:$P$34,0))*Scenarios!$B$6,0),0)</f>
        <v>0</v>
      </c>
      <c r="H124" s="306">
        <f t="array" ref="H124">H16-IF(H$8=1,IFERROR(INDEX('Revenue Assumptions'!$F$159:$P$159,MATCH(H$6,'Revenue Assumptions'!$F$34:$P$34,0))*Scenarios!$B$6,0),0)</f>
        <v>0</v>
      </c>
      <c r="I124" s="306">
        <f t="array" ref="I124">I16-IF(I$8=1,IFERROR(INDEX('Revenue Assumptions'!$F$159:$P$159,MATCH(I$6,'Revenue Assumptions'!$F$34:$P$34,0))*Scenarios!$B$6,0),0)</f>
        <v>0</v>
      </c>
      <c r="J124" s="306">
        <f t="array" ref="J124">J16-IF(J$8=1,IFERROR(INDEX('Revenue Assumptions'!$F$159:$P$159,MATCH(J$6,'Revenue Assumptions'!$F$34:$P$34,0))*Scenarios!$B$6,0),0)</f>
        <v>0</v>
      </c>
      <c r="K124" s="306">
        <f t="array" ref="K124">K16-IF(K$8=1,IFERROR(INDEX('Revenue Assumptions'!$F$159:$P$159,MATCH(K$6,'Revenue Assumptions'!$F$34:$P$34,0))*Scenarios!$B$6,0),0)</f>
        <v>0</v>
      </c>
      <c r="L124" s="306">
        <f t="array" ref="L124">L16-IF(L$8=1,IFERROR(INDEX('Revenue Assumptions'!$F$159:$P$159,MATCH(L$6,'Revenue Assumptions'!$F$34:$P$34,0))*Scenarios!$B$6,0),0)</f>
        <v>0</v>
      </c>
      <c r="M124" s="306">
        <f t="array" ref="M124">M16-IF(M$8=1,IFERROR(INDEX('Revenue Assumptions'!$F$159:$P$159,MATCH(M$6,'Revenue Assumptions'!$F$34:$P$34,0))*Scenarios!$B$6,0),0)</f>
        <v>0</v>
      </c>
      <c r="N124" s="306">
        <f t="array" ref="N124">N16-IF(N$8=1,IFERROR(INDEX('Revenue Assumptions'!$F$159:$P$159,MATCH(N$6,'Revenue Assumptions'!$F$34:$P$34,0))*Scenarios!$B$6,0),0)</f>
        <v>0</v>
      </c>
      <c r="O124" s="306">
        <f t="array" ref="O124">O16-IF(O$8=1,IFERROR(INDEX('Revenue Assumptions'!$F$159:$P$159,MATCH(O$6,'Revenue Assumptions'!$F$34:$P$34,0))*Scenarios!$B$6,0),0)</f>
        <v>0</v>
      </c>
      <c r="P124" s="306">
        <f t="array" ref="P124">P16-IF(P$8=1,IFERROR(INDEX('Revenue Assumptions'!$F$159:$P$159,MATCH(P$6,'Revenue Assumptions'!$F$34:$P$34,0))*Scenarios!$B$6,0),0)</f>
        <v>0</v>
      </c>
      <c r="Q124" s="306">
        <f t="array" ref="Q124">Q16-IF(Q$8=1,IFERROR(INDEX('Revenue Assumptions'!$F$159:$P$159,MATCH(Q$6,'Revenue Assumptions'!$F$34:$P$34,0))*Scenarios!$B$6,0),0)</f>
        <v>0</v>
      </c>
      <c r="R124" s="306">
        <f t="array" ref="R124">R16-IF(R$8=1,IFERROR(INDEX('Revenue Assumptions'!$F$159:$P$159,MATCH(R$6,'Revenue Assumptions'!$F$34:$P$34,0))*Scenarios!$B$6,0),0)</f>
        <v>0</v>
      </c>
      <c r="S124" s="306">
        <f t="array" ref="S124">S16-IF(S$8=1,IFERROR(INDEX('Revenue Assumptions'!$F$159:$P$159,MATCH(S$6,'Revenue Assumptions'!$F$34:$P$34,0))*Scenarios!$B$6,0),0)</f>
        <v>0</v>
      </c>
      <c r="T124" s="306">
        <f t="array" ref="T124">T16-IF(T$8=1,IFERROR(INDEX('Revenue Assumptions'!$F$159:$P$159,MATCH(T$6,'Revenue Assumptions'!$F$34:$P$34,0))*Scenarios!$B$6,0),0)</f>
        <v>0</v>
      </c>
      <c r="U124" s="301"/>
      <c r="V124" s="301"/>
      <c r="W124" s="301"/>
      <c r="X124" s="301"/>
      <c r="Y124" s="301"/>
      <c r="Z124" s="301"/>
    </row>
    <row r="125" spans="1:26" ht="15.75" customHeight="1">
      <c r="A125" s="296"/>
      <c r="B125" s="297"/>
      <c r="C125" s="305" t="s">
        <v>287</v>
      </c>
      <c r="D125" s="306">
        <f t="array" ref="D125">IF(SUMPRODUCT(ABS(G125:R125))&lt;1,0,SUMPRODUCT(ABS(G125:R125)))</f>
        <v>0</v>
      </c>
      <c r="E125" s="306"/>
      <c r="F125" s="306"/>
      <c r="G125" s="306">
        <f t="array" ref="G125">G17-IF(G$8=1,IFERROR(INDEX('Revenue Assumptions'!$F$141:$P$141,MATCH(G$6,'Revenue Assumptions'!$F$34:$P$34,0))*Scenarios!$B$6,0),0)</f>
        <v>0</v>
      </c>
      <c r="H125" s="306">
        <f t="array" ref="H125">H17-IF(H$8=1,IFERROR(INDEX('Revenue Assumptions'!$F$141:$P$141,MATCH(H$6,'Revenue Assumptions'!$F$34:$P$34,0))*Scenarios!$B$6,0),0)</f>
        <v>0</v>
      </c>
      <c r="I125" s="306">
        <f t="array" ref="I125">I17-IF(I$8=1,IFERROR(INDEX('Revenue Assumptions'!$F$141:$P$141,MATCH(I$6,'Revenue Assumptions'!$F$34:$P$34,0))*Scenarios!$B$6,0),0)</f>
        <v>0</v>
      </c>
      <c r="J125" s="306">
        <f t="array" ref="J125">J17-IF(J$8=1,IFERROR(INDEX('Revenue Assumptions'!$F$141:$P$141,MATCH(J$6,'Revenue Assumptions'!$F$34:$P$34,0))*Scenarios!$B$6,0),0)</f>
        <v>0</v>
      </c>
      <c r="K125" s="306">
        <f t="array" ref="K125">K17-IF(K$8=1,IFERROR(INDEX('Revenue Assumptions'!$F$141:$P$141,MATCH(K$6,'Revenue Assumptions'!$F$34:$P$34,0))*Scenarios!$B$6,0),0)</f>
        <v>0</v>
      </c>
      <c r="L125" s="306">
        <f t="array" ref="L125">L17-IF(L$8=1,IFERROR(INDEX('Revenue Assumptions'!$F$141:$P$141,MATCH(L$6,'Revenue Assumptions'!$F$34:$P$34,0))*Scenarios!$B$6,0),0)</f>
        <v>0</v>
      </c>
      <c r="M125" s="306">
        <f t="array" ref="M125">M17-IF(M$8=1,IFERROR(INDEX('Revenue Assumptions'!$F$141:$P$141,MATCH(M$6,'Revenue Assumptions'!$F$34:$P$34,0))*Scenarios!$B$6,0),0)</f>
        <v>0</v>
      </c>
      <c r="N125" s="306">
        <f t="array" ref="N125">N17-IF(N$8=1,IFERROR(INDEX('Revenue Assumptions'!$F$141:$P$141,MATCH(N$6,'Revenue Assumptions'!$F$34:$P$34,0))*Scenarios!$B$6,0),0)</f>
        <v>0</v>
      </c>
      <c r="O125" s="306">
        <f t="array" ref="O125">O17-IF(O$8=1,IFERROR(INDEX('Revenue Assumptions'!$F$141:$P$141,MATCH(O$6,'Revenue Assumptions'!$F$34:$P$34,0))*Scenarios!$B$6,0),0)</f>
        <v>0</v>
      </c>
      <c r="P125" s="306">
        <f t="array" ref="P125">P17-IF(P$8=1,IFERROR(INDEX('Revenue Assumptions'!$F$141:$P$141,MATCH(P$6,'Revenue Assumptions'!$F$34:$P$34,0))*Scenarios!$B$6,0),0)</f>
        <v>0</v>
      </c>
      <c r="Q125" s="306">
        <f t="array" ref="Q125">Q17-IF(Q$8=1,IFERROR(INDEX('Revenue Assumptions'!$F$141:$P$141,MATCH(Q$6,'Revenue Assumptions'!$F$34:$P$34,0))*Scenarios!$B$6,0),0)</f>
        <v>0</v>
      </c>
      <c r="R125" s="306">
        <f t="array" ref="R125">R17-IF(R$8=1,IFERROR(INDEX('Revenue Assumptions'!$F$141:$P$141,MATCH(R$6,'Revenue Assumptions'!$F$34:$P$34,0))*Scenarios!$B$6,0),0)</f>
        <v>0</v>
      </c>
      <c r="S125" s="306">
        <f t="array" ref="S125">S17-IF(S$8=1,IFERROR(INDEX('Revenue Assumptions'!$F$141:$P$141,MATCH(S$6,'Revenue Assumptions'!$F$34:$P$34,0))*Scenarios!$B$6,0),0)</f>
        <v>0</v>
      </c>
      <c r="T125" s="306">
        <f t="array" ref="T125">T17-IF(T$8=1,IFERROR(INDEX('Revenue Assumptions'!$F$141:$P$141,MATCH(T$6,'Revenue Assumptions'!$F$34:$P$34,0))*Scenarios!$B$6,0),0)</f>
        <v>0</v>
      </c>
      <c r="U125" s="301"/>
      <c r="V125" s="301"/>
      <c r="W125" s="301"/>
      <c r="X125" s="301"/>
      <c r="Y125" s="301"/>
      <c r="Z125" s="301"/>
    </row>
    <row r="126" spans="1:26" ht="15.75" customHeight="1">
      <c r="A126" s="296"/>
      <c r="B126" s="297"/>
      <c r="C126" s="305" t="s">
        <v>292</v>
      </c>
      <c r="D126" s="306">
        <f t="array" ref="D126">IF(SUMPRODUCT(ABS(G126:R126))&lt;1,0,SUMPRODUCT(ABS(G126:R126)))</f>
        <v>0</v>
      </c>
      <c r="E126" s="306"/>
      <c r="F126" s="306"/>
      <c r="G126" s="306">
        <f t="array" ref="G126">G24-IF(G$8=1,IFERROR(INDEX('Revenue Assumptions'!$F$175:$P$175,MATCH(G$6,'Revenue Assumptions'!$F$34:$P$34,0))*Scenarios!$B$6,0),0)</f>
        <v>0</v>
      </c>
      <c r="H126" s="306">
        <f t="array" ref="H126">H24-IF(H$8=1,IFERROR(INDEX('Revenue Assumptions'!$F$175:$P$175,MATCH(H$6,'Revenue Assumptions'!$F$34:$P$34,0))*Scenarios!$B$6,0),0)</f>
        <v>0</v>
      </c>
      <c r="I126" s="306">
        <f t="array" ref="I126">I24-IF(I$8=1,IFERROR(INDEX('Revenue Assumptions'!$F$175:$P$175,MATCH(I$6,'Revenue Assumptions'!$F$34:$P$34,0))*Scenarios!$B$6,0),0)</f>
        <v>0</v>
      </c>
      <c r="J126" s="306">
        <f t="array" ref="J126">J24-IF(J$8=1,IFERROR(INDEX('Revenue Assumptions'!$F$175:$P$175,MATCH(J$6,'Revenue Assumptions'!$F$34:$P$34,0))*Scenarios!$B$6,0),0)</f>
        <v>0</v>
      </c>
      <c r="K126" s="306">
        <f t="array" ref="K126">K24-IF(K$8=1,IFERROR(INDEX('Revenue Assumptions'!$F$175:$P$175,MATCH(K$6,'Revenue Assumptions'!$F$34:$P$34,0))*Scenarios!$B$6,0),0)</f>
        <v>0</v>
      </c>
      <c r="L126" s="306">
        <f t="array" ref="L126">L24-IF(L$8=1,IFERROR(INDEX('Revenue Assumptions'!$F$175:$P$175,MATCH(L$6,'Revenue Assumptions'!$F$34:$P$34,0))*Scenarios!$B$6,0),0)</f>
        <v>0</v>
      </c>
      <c r="M126" s="306">
        <f t="array" ref="M126">M24-IF(M$8=1,IFERROR(INDEX('Revenue Assumptions'!$F$175:$P$175,MATCH(M$6,'Revenue Assumptions'!$F$34:$P$34,0))*Scenarios!$B$6,0),0)</f>
        <v>0</v>
      </c>
      <c r="N126" s="306">
        <f t="array" ref="N126">N24-IF(N$8=1,IFERROR(INDEX('Revenue Assumptions'!$F$175:$P$175,MATCH(N$6,'Revenue Assumptions'!$F$34:$P$34,0))*Scenarios!$B$6,0),0)</f>
        <v>0</v>
      </c>
      <c r="O126" s="306">
        <f t="array" ref="O126">O24-IF(O$8=1,IFERROR(INDEX('Revenue Assumptions'!$F$175:$P$175,MATCH(O$6,'Revenue Assumptions'!$F$34:$P$34,0))*Scenarios!$B$6,0),0)</f>
        <v>0</v>
      </c>
      <c r="P126" s="306">
        <f t="array" ref="P126">P24-IF(P$8=1,IFERROR(INDEX('Revenue Assumptions'!$F$175:$P$175,MATCH(P$6,'Revenue Assumptions'!$F$34:$P$34,0))*Scenarios!$B$6,0),0)</f>
        <v>0</v>
      </c>
      <c r="Q126" s="306">
        <f t="array" ref="Q126">Q24-IF(Q$8=1,IFERROR(INDEX('Revenue Assumptions'!$F$175:$P$175,MATCH(Q$6,'Revenue Assumptions'!$F$34:$P$34,0))*Scenarios!$B$6,0),0)</f>
        <v>0</v>
      </c>
      <c r="R126" s="306">
        <f t="array" ref="R126">R24-IF(R$8=1,IFERROR(INDEX('Revenue Assumptions'!$F$175:$P$175,MATCH(R$6,'Revenue Assumptions'!$F$34:$P$34,0))*Scenarios!$B$6,0),0)</f>
        <v>0</v>
      </c>
      <c r="S126" s="306">
        <f t="array" ref="S126">S24-IF(S$8=1,IFERROR(INDEX('Revenue Assumptions'!$F$175:$P$175,MATCH(S$6,'Revenue Assumptions'!$F$34:$P$34,0))*Scenarios!$B$6,0),0)</f>
        <v>0</v>
      </c>
      <c r="T126" s="306">
        <f t="array" ref="T126">T24-IF(T$8=1,IFERROR(INDEX('Revenue Assumptions'!$F$175:$P$175,MATCH(T$6,'Revenue Assumptions'!$F$34:$P$34,0))*Scenarios!$B$6,0),0)</f>
        <v>0</v>
      </c>
      <c r="U126" s="301"/>
      <c r="V126" s="301"/>
      <c r="W126" s="301"/>
      <c r="X126" s="301"/>
      <c r="Y126" s="301"/>
      <c r="Z126" s="301"/>
    </row>
    <row r="127" spans="1:26" ht="15.75" customHeight="1">
      <c r="A127" s="296"/>
      <c r="B127" s="297"/>
      <c r="C127" s="305" t="s">
        <v>294</v>
      </c>
      <c r="D127" s="306">
        <f t="array" ref="D127">IF(SUMPRODUCT(ABS(G127:R127))&lt;1,0,SUMPRODUCT(ABS(G127:R127)))</f>
        <v>0</v>
      </c>
      <c r="E127" s="306"/>
      <c r="F127" s="306"/>
      <c r="G127" s="306">
        <f t="array" ref="G127">G25-IF(G$8=1,IFERROR(INDEX('Revenue Assumptions'!$F$183:$P$183,MATCH(G$6,'Revenue Assumptions'!$F$34:$P$34,0))*Scenarios!$B$6,0),0)</f>
        <v>0</v>
      </c>
      <c r="H127" s="306">
        <f t="array" ref="H127">H25-IF(H$8=1,IFERROR(INDEX('Revenue Assumptions'!$F$183:$P$183,MATCH(H$6,'Revenue Assumptions'!$F$34:$P$34,0))*Scenarios!$B$6,0),0)</f>
        <v>0</v>
      </c>
      <c r="I127" s="306">
        <f t="array" ref="I127">I25-IF(I$8=1,IFERROR(INDEX('Revenue Assumptions'!$F$183:$P$183,MATCH(I$6,'Revenue Assumptions'!$F$34:$P$34,0))*Scenarios!$B$6,0),0)</f>
        <v>0</v>
      </c>
      <c r="J127" s="306">
        <f t="array" ref="J127">J25-IF(J$8=1,IFERROR(INDEX('Revenue Assumptions'!$F$183:$P$183,MATCH(J$6,'Revenue Assumptions'!$F$34:$P$34,0))*Scenarios!$B$6,0),0)</f>
        <v>0</v>
      </c>
      <c r="K127" s="306">
        <f t="array" ref="K127">K25-IF(K$8=1,IFERROR(INDEX('Revenue Assumptions'!$F$183:$P$183,MATCH(K$6,'Revenue Assumptions'!$F$34:$P$34,0))*Scenarios!$B$6,0),0)</f>
        <v>0</v>
      </c>
      <c r="L127" s="306">
        <f t="array" ref="L127">L25-IF(L$8=1,IFERROR(INDEX('Revenue Assumptions'!$F$183:$P$183,MATCH(L$6,'Revenue Assumptions'!$F$34:$P$34,0))*Scenarios!$B$6,0),0)</f>
        <v>0</v>
      </c>
      <c r="M127" s="306">
        <f t="array" ref="M127">M25-IF(M$8=1,IFERROR(INDEX('Revenue Assumptions'!$F$183:$P$183,MATCH(M$6,'Revenue Assumptions'!$F$34:$P$34,0))*Scenarios!$B$6,0),0)</f>
        <v>0</v>
      </c>
      <c r="N127" s="306">
        <f t="array" ref="N127">N25-IF(N$8=1,IFERROR(INDEX('Revenue Assumptions'!$F$183:$P$183,MATCH(N$6,'Revenue Assumptions'!$F$34:$P$34,0))*Scenarios!$B$6,0),0)</f>
        <v>0</v>
      </c>
      <c r="O127" s="306">
        <f t="array" ref="O127">O25-IF(O$8=1,IFERROR(INDEX('Revenue Assumptions'!$F$183:$P$183,MATCH(O$6,'Revenue Assumptions'!$F$34:$P$34,0))*Scenarios!$B$6,0),0)</f>
        <v>0</v>
      </c>
      <c r="P127" s="306">
        <f t="array" ref="P127">P25-IF(P$8=1,IFERROR(INDEX('Revenue Assumptions'!$F$183:$P$183,MATCH(P$6,'Revenue Assumptions'!$F$34:$P$34,0))*Scenarios!$B$6,0),0)</f>
        <v>0</v>
      </c>
      <c r="Q127" s="306">
        <f t="array" ref="Q127">Q25-IF(Q$8=1,IFERROR(INDEX('Revenue Assumptions'!$F$183:$P$183,MATCH(Q$6,'Revenue Assumptions'!$F$34:$P$34,0))*Scenarios!$B$6,0),0)</f>
        <v>0</v>
      </c>
      <c r="R127" s="306">
        <f t="array" ref="R127">R25-IF(R$8=1,IFERROR(INDEX('Revenue Assumptions'!$F$183:$P$183,MATCH(R$6,'Revenue Assumptions'!$F$34:$P$34,0))*Scenarios!$B$6,0),0)</f>
        <v>0</v>
      </c>
      <c r="S127" s="306">
        <f t="array" ref="S127">S25-IF(S$8=1,IFERROR(INDEX('Revenue Assumptions'!$F$183:$P$183,MATCH(S$6,'Revenue Assumptions'!$F$34:$P$34,0))*Scenarios!$B$6,0),0)</f>
        <v>0</v>
      </c>
      <c r="T127" s="306">
        <f t="array" ref="T127">T25-IF(T$8=1,IFERROR(INDEX('Revenue Assumptions'!$F$183:$P$183,MATCH(T$6,'Revenue Assumptions'!$F$34:$P$34,0))*Scenarios!$B$6,0),0)</f>
        <v>0</v>
      </c>
      <c r="U127" s="301"/>
      <c r="V127" s="301"/>
      <c r="W127" s="301"/>
      <c r="X127" s="301"/>
      <c r="Y127" s="301"/>
      <c r="Z127" s="301"/>
    </row>
    <row r="128" spans="1:26" ht="15.75" customHeight="1">
      <c r="A128" s="296"/>
      <c r="B128" s="297"/>
      <c r="C128" s="305" t="s">
        <v>289</v>
      </c>
      <c r="D128" s="306">
        <f t="array" ref="D128">IF(SUMPRODUCT(ABS(G128:R128))&lt;1,0,SUMPRODUCT(ABS(G128:R128)))</f>
        <v>0</v>
      </c>
      <c r="E128" s="306"/>
      <c r="F128" s="306"/>
      <c r="G128" s="306">
        <f t="array" ref="G128">G18-IF(G$8=1,IFERROR(INDEX('Calendar Assumptions'!$F$54:$P$54,MATCH(G$6,'Calendar Assumptions'!$F$4:$P$4,0))*Inputs!$E$360*Scenarios!$B$6,0),0)</f>
        <v>0</v>
      </c>
      <c r="H128" s="306">
        <f t="array" ref="H128">H18-IF(H$8=1,IFERROR(INDEX('Calendar Assumptions'!$F$54:$P$54,MATCH(H$6,'Calendar Assumptions'!$F$4:$P$4,0))*Inputs!$E$360*Scenarios!$B$6,0),0)</f>
        <v>0</v>
      </c>
      <c r="I128" s="306">
        <f t="array" ref="I128">I18-IF(I$8=1,IFERROR(INDEX('Calendar Assumptions'!$F$54:$P$54,MATCH(I$6,'Calendar Assumptions'!$F$4:$P$4,0))*Inputs!$E$360*Scenarios!$B$6,0),0)</f>
        <v>0</v>
      </c>
      <c r="J128" s="306">
        <f t="array" ref="J128">J18-IF(J$8=1,IFERROR(INDEX('Calendar Assumptions'!$F$54:$P$54,MATCH(J$6,'Calendar Assumptions'!$F$4:$P$4,0))*Inputs!$E$360*Scenarios!$B$6,0),0)</f>
        <v>0</v>
      </c>
      <c r="K128" s="306">
        <f t="array" ref="K128">K18-IF(K$8=1,IFERROR(INDEX('Calendar Assumptions'!$F$54:$P$54,MATCH(K$6,'Calendar Assumptions'!$F$4:$P$4,0))*Inputs!$E$360*Scenarios!$B$6,0),0)</f>
        <v>0</v>
      </c>
      <c r="L128" s="306">
        <f t="array" ref="L128">L18-IF(L$8=1,IFERROR(INDEX('Calendar Assumptions'!$F$54:$P$54,MATCH(L$6,'Calendar Assumptions'!$F$4:$P$4,0))*Inputs!$E$360*Scenarios!$B$6,0),0)</f>
        <v>0</v>
      </c>
      <c r="M128" s="306">
        <f t="array" ref="M128">M18-IF(M$8=1,IFERROR(INDEX('Calendar Assumptions'!$F$54:$P$54,MATCH(M$6,'Calendar Assumptions'!$F$4:$P$4,0))*Inputs!$E$360*Scenarios!$B$6,0),0)</f>
        <v>0</v>
      </c>
      <c r="N128" s="306">
        <f t="array" ref="N128">N18-IF(N$8=1,IFERROR(INDEX('Calendar Assumptions'!$F$54:$P$54,MATCH(N$6,'Calendar Assumptions'!$F$4:$P$4,0))*Inputs!$E$360*Scenarios!$B$6,0),0)</f>
        <v>0</v>
      </c>
      <c r="O128" s="306">
        <f t="array" ref="O128">O18-IF(O$8=1,IFERROR(INDEX('Calendar Assumptions'!$F$54:$P$54,MATCH(O$6,'Calendar Assumptions'!$F$4:$P$4,0))*Inputs!$E$360*Scenarios!$B$6,0),0)</f>
        <v>0</v>
      </c>
      <c r="P128" s="306">
        <f t="array" ref="P128">P18-IF(P$8=1,IFERROR(INDEX('Calendar Assumptions'!$F$54:$P$54,MATCH(P$6,'Calendar Assumptions'!$F$4:$P$4,0))*Inputs!$E$360*Scenarios!$B$6,0),0)</f>
        <v>0</v>
      </c>
      <c r="Q128" s="306">
        <f t="array" ref="Q128">Q18-IF(Q$8=1,IFERROR(INDEX('Calendar Assumptions'!$F$54:$P$54,MATCH(Q$6,'Calendar Assumptions'!$F$4:$P$4,0))*Inputs!$E$360*Scenarios!$B$6,0),0)</f>
        <v>0</v>
      </c>
      <c r="R128" s="306">
        <f t="array" ref="R128">R18-IF(R$8=1,IFERROR(INDEX('Calendar Assumptions'!$F$54:$P$54,MATCH(R$6,'Calendar Assumptions'!$F$4:$P$4,0))*Inputs!$E$360*Scenarios!$B$6,0),0)</f>
        <v>0</v>
      </c>
      <c r="S128" s="306">
        <f t="array" ref="S128">S18-IF(S$8=1,IFERROR(INDEX('Calendar Assumptions'!$F$54:$P$54,MATCH(S$6,'Calendar Assumptions'!$F$4:$P$4,0))*Inputs!$E$360*Scenarios!$B$6,0),0)</f>
        <v>0</v>
      </c>
      <c r="T128" s="306">
        <f t="array" ref="T128">T18-IF(T$8=1,IFERROR(INDEX('Calendar Assumptions'!$F$54:$P$54,MATCH(T$6,'Calendar Assumptions'!$F$4:$P$4,0))*Inputs!$E$360*Scenarios!$B$6,0),0)</f>
        <v>0</v>
      </c>
      <c r="U128" s="301"/>
      <c r="V128" s="301"/>
      <c r="W128" s="301"/>
      <c r="X128" s="301"/>
      <c r="Y128" s="301"/>
      <c r="Z128" s="301"/>
    </row>
    <row r="129" spans="1:26" ht="15.75" customHeight="1">
      <c r="A129" s="296"/>
      <c r="B129" s="297"/>
      <c r="C129" s="305" t="s">
        <v>404</v>
      </c>
      <c r="D129" s="306">
        <f t="array" ref="D129">IF(SUMPRODUCT(ABS(G129:R129))&lt;1,0,SUMPRODUCT(ABS(G129:R129)))</f>
        <v>0</v>
      </c>
      <c r="E129" s="306"/>
      <c r="F129" s="306"/>
      <c r="G129" s="306">
        <f t="array" ref="G129">G19-IF(G$8=1,IFERROR(INDEX('Calendar Assumptions'!$F$52:$P$52,MATCH(G$6,'Calendar Assumptions'!$F$4:$P$4,0))*Inputs!$E$362*Scenarios!$B$6,0),0)</f>
        <v>0</v>
      </c>
      <c r="H129" s="306">
        <f t="array" ref="H129">H19-IF(H$8=1,IFERROR(INDEX('Calendar Assumptions'!$F$52:$P$52,MATCH(H$6,'Calendar Assumptions'!$F$4:$P$4,0))*Inputs!$E$362*Scenarios!$B$6,0),0)</f>
        <v>0</v>
      </c>
      <c r="I129" s="306">
        <f t="array" ref="I129">I19-IF(I$8=1,IFERROR(INDEX('Calendar Assumptions'!$F$52:$P$52,MATCH(I$6,'Calendar Assumptions'!$F$4:$P$4,0))*Inputs!$E$362*Scenarios!$B$6,0),0)</f>
        <v>0</v>
      </c>
      <c r="J129" s="306">
        <f t="array" ref="J129">J19-IF(J$8=1,IFERROR(INDEX('Calendar Assumptions'!$F$52:$P$52,MATCH(J$6,'Calendar Assumptions'!$F$4:$P$4,0))*Inputs!$E$362*Scenarios!$B$6,0),0)</f>
        <v>0</v>
      </c>
      <c r="K129" s="306">
        <f t="array" ref="K129">K19-IF(K$8=1,IFERROR(INDEX('Calendar Assumptions'!$F$52:$P$52,MATCH(K$6,'Calendar Assumptions'!$F$4:$P$4,0))*Inputs!$E$362*Scenarios!$B$6,0),0)</f>
        <v>0</v>
      </c>
      <c r="L129" s="306">
        <f t="array" ref="L129">L19-IF(L$8=1,IFERROR(INDEX('Calendar Assumptions'!$F$52:$P$52,MATCH(L$6,'Calendar Assumptions'!$F$4:$P$4,0))*Inputs!$E$362*Scenarios!$B$6,0),0)</f>
        <v>0</v>
      </c>
      <c r="M129" s="306">
        <f t="array" ref="M129">M19-IF(M$8=1,IFERROR(INDEX('Calendar Assumptions'!$F$52:$P$52,MATCH(M$6,'Calendar Assumptions'!$F$4:$P$4,0))*Inputs!$E$362*Scenarios!$B$6,0),0)</f>
        <v>0</v>
      </c>
      <c r="N129" s="306">
        <f t="array" ref="N129">N19-IF(N$8=1,IFERROR(INDEX('Calendar Assumptions'!$F$52:$P$52,MATCH(N$6,'Calendar Assumptions'!$F$4:$P$4,0))*Inputs!$E$362*Scenarios!$B$6,0),0)</f>
        <v>0</v>
      </c>
      <c r="O129" s="306">
        <f t="array" ref="O129">O19-IF(O$8=1,IFERROR(INDEX('Calendar Assumptions'!$F$52:$P$52,MATCH(O$6,'Calendar Assumptions'!$F$4:$P$4,0))*Inputs!$E$362*Scenarios!$B$6,0),0)</f>
        <v>0</v>
      </c>
      <c r="P129" s="306">
        <f t="array" ref="P129">P19-IF(P$8=1,IFERROR(INDEX('Calendar Assumptions'!$F$52:$P$52,MATCH(P$6,'Calendar Assumptions'!$F$4:$P$4,0))*Inputs!$E$362*Scenarios!$B$6,0),0)</f>
        <v>0</v>
      </c>
      <c r="Q129" s="306">
        <f t="array" ref="Q129">Q19-IF(Q$8=1,IFERROR(INDEX('Calendar Assumptions'!$F$52:$P$52,MATCH(Q$6,'Calendar Assumptions'!$F$4:$P$4,0))*Inputs!$E$362*Scenarios!$B$6,0),0)</f>
        <v>0</v>
      </c>
      <c r="R129" s="306">
        <f t="array" ref="R129">R19-IF(R$8=1,IFERROR(INDEX('Calendar Assumptions'!$F$52:$P$52,MATCH(R$6,'Calendar Assumptions'!$F$4:$P$4,0))*Inputs!$E$362*Scenarios!$B$6,0),0)</f>
        <v>0</v>
      </c>
      <c r="S129" s="306">
        <f t="array" ref="S129">S19-IF(S$8=1,IFERROR(INDEX('Calendar Assumptions'!$F$52:$P$52,MATCH(S$6,'Calendar Assumptions'!$F$4:$P$4,0))*Inputs!$E$362*Scenarios!$B$6,0),0)</f>
        <v>0</v>
      </c>
      <c r="T129" s="306">
        <f t="array" ref="T129">T19-IF(T$8=1,IFERROR(INDEX('Calendar Assumptions'!$F$52:$P$52,MATCH(T$6,'Calendar Assumptions'!$F$4:$P$4,0))*Inputs!$E$362*Scenarios!$B$6,0),0)</f>
        <v>0</v>
      </c>
      <c r="U129" s="301"/>
      <c r="V129" s="301"/>
      <c r="W129" s="301"/>
      <c r="X129" s="301"/>
      <c r="Y129" s="301"/>
      <c r="Z129" s="301"/>
    </row>
    <row r="130" spans="1:26" ht="15.75" customHeight="1">
      <c r="A130" s="296"/>
      <c r="B130" s="297"/>
      <c r="C130" s="305" t="s">
        <v>291</v>
      </c>
      <c r="D130" s="306">
        <f t="array" ref="D130">IF(SUMPRODUCT(ABS(G130:R130))&lt;1,0,SUMPRODUCT(ABS(G130:R130)))</f>
        <v>0</v>
      </c>
      <c r="E130" s="306"/>
      <c r="F130" s="306"/>
      <c r="G130" s="306">
        <f t="array" ref="G130">G20-IF(G$8=1,IFERROR(INDEX('Revenue Assumptions'!$F$199:$P$199,MATCH(G$6,'Revenue Assumptions'!$F$34:$P$34,0))*Scenarios!$B$6,0),0)</f>
        <v>0</v>
      </c>
      <c r="H130" s="306">
        <f t="array" ref="H130">H20-IF(H$8=1,IFERROR(INDEX('Revenue Assumptions'!$F$199:$P$199,MATCH(H$6,'Revenue Assumptions'!$F$34:$P$34,0))*Scenarios!$B$6,0),0)</f>
        <v>0</v>
      </c>
      <c r="I130" s="306">
        <f t="array" ref="I130">I20-IF(I$8=1,IFERROR(INDEX('Revenue Assumptions'!$F$199:$P$199,MATCH(I$6,'Revenue Assumptions'!$F$34:$P$34,0))*Scenarios!$B$6,0),0)</f>
        <v>0</v>
      </c>
      <c r="J130" s="306">
        <f t="array" ref="J130">J20-IF(J$8=1,IFERROR(INDEX('Revenue Assumptions'!$F$199:$P$199,MATCH(J$6,'Revenue Assumptions'!$F$34:$P$34,0))*Scenarios!$B$6,0),0)</f>
        <v>0</v>
      </c>
      <c r="K130" s="306">
        <f t="array" ref="K130">K20-IF(K$8=1,IFERROR(INDEX('Revenue Assumptions'!$F$199:$P$199,MATCH(K$6,'Revenue Assumptions'!$F$34:$P$34,0))*Scenarios!$B$6,0),0)</f>
        <v>0</v>
      </c>
      <c r="L130" s="306">
        <f t="array" ref="L130">L20-IF(L$8=1,IFERROR(INDEX('Revenue Assumptions'!$F$199:$P$199,MATCH(L$6,'Revenue Assumptions'!$F$34:$P$34,0))*Scenarios!$B$6,0),0)</f>
        <v>0</v>
      </c>
      <c r="M130" s="306">
        <f t="array" ref="M130">M20-IF(M$8=1,IFERROR(INDEX('Revenue Assumptions'!$F$199:$P$199,MATCH(M$6,'Revenue Assumptions'!$F$34:$P$34,0))*Scenarios!$B$6,0),0)</f>
        <v>0</v>
      </c>
      <c r="N130" s="306">
        <f t="array" ref="N130">N20-IF(N$8=1,IFERROR(INDEX('Revenue Assumptions'!$F$199:$P$199,MATCH(N$6,'Revenue Assumptions'!$F$34:$P$34,0))*Scenarios!$B$6,0),0)</f>
        <v>0</v>
      </c>
      <c r="O130" s="306">
        <f t="array" ref="O130">O20-IF(O$8=1,IFERROR(INDEX('Revenue Assumptions'!$F$199:$P$199,MATCH(O$6,'Revenue Assumptions'!$F$34:$P$34,0))*Scenarios!$B$6,0),0)</f>
        <v>0</v>
      </c>
      <c r="P130" s="306">
        <f t="array" ref="P130">P20-IF(P$8=1,IFERROR(INDEX('Revenue Assumptions'!$F$199:$P$199,MATCH(P$6,'Revenue Assumptions'!$F$34:$P$34,0))*Scenarios!$B$6,0),0)</f>
        <v>0</v>
      </c>
      <c r="Q130" s="306">
        <f t="array" ref="Q130">Q20-IF(Q$8=1,IFERROR(INDEX('Revenue Assumptions'!$F$199:$P$199,MATCH(Q$6,'Revenue Assumptions'!$F$34:$P$34,0))*Scenarios!$B$6,0),0)</f>
        <v>0</v>
      </c>
      <c r="R130" s="306">
        <f t="array" ref="R130">R20-IF(R$8=1,IFERROR(INDEX('Revenue Assumptions'!$F$199:$P$199,MATCH(R$6,'Revenue Assumptions'!$F$34:$P$34,0))*Scenarios!$B$6,0),0)</f>
        <v>0</v>
      </c>
      <c r="S130" s="306">
        <f t="array" ref="S130">S20-IF(S$8=1,IFERROR(INDEX('Revenue Assumptions'!$F$199:$P$199,MATCH(S$6,'Revenue Assumptions'!$F$34:$P$34,0))*Scenarios!$B$6,0),0)</f>
        <v>0</v>
      </c>
      <c r="T130" s="306">
        <f t="array" ref="T130">T20-IF(T$8=1,IFERROR(INDEX('Revenue Assumptions'!$F$199:$P$199,MATCH(T$6,'Revenue Assumptions'!$F$34:$P$34,0))*Scenarios!$B$6,0),0)</f>
        <v>0</v>
      </c>
      <c r="U130" s="301"/>
      <c r="V130" s="301"/>
      <c r="W130" s="301"/>
      <c r="X130" s="301"/>
      <c r="Y130" s="301"/>
      <c r="Z130" s="301"/>
    </row>
    <row r="131" spans="1:26" ht="15.75" customHeight="1">
      <c r="A131" s="296"/>
      <c r="B131" s="302" t="s">
        <v>369</v>
      </c>
      <c r="C131" s="303"/>
      <c r="D131" s="303"/>
      <c r="E131" s="303"/>
      <c r="F131" s="303"/>
      <c r="G131" s="303"/>
      <c r="H131" s="303"/>
      <c r="I131" s="303"/>
      <c r="J131" s="303"/>
      <c r="K131" s="303"/>
      <c r="L131" s="303"/>
      <c r="M131" s="303"/>
      <c r="N131" s="303"/>
      <c r="O131" s="303"/>
      <c r="P131" s="303"/>
      <c r="Q131" s="303"/>
      <c r="R131" s="303"/>
      <c r="S131" s="304"/>
      <c r="T131" s="304"/>
      <c r="U131" s="301"/>
      <c r="V131" s="301"/>
      <c r="W131" s="301"/>
      <c r="X131" s="301"/>
      <c r="Y131" s="301"/>
      <c r="Z131" s="301"/>
    </row>
    <row r="132" spans="1:26" ht="15.75" customHeight="1">
      <c r="A132" s="296"/>
      <c r="B132" s="297"/>
      <c r="C132" s="305" t="s">
        <v>408</v>
      </c>
      <c r="D132" s="306">
        <f t="array" ref="D132">IF(SUMPRODUCT(ABS(G132:R132))&lt;1,0,SUMPRODUCT(ABS(G132:R132)))</f>
        <v>0</v>
      </c>
      <c r="E132" s="306"/>
      <c r="F132" s="306"/>
      <c r="G132" s="306">
        <f>G32-(G17*Inputs!$E$466*Scenarios!$B$7)</f>
        <v>0</v>
      </c>
      <c r="H132" s="306">
        <f>H32-(H17*Inputs!$E$466*Scenarios!$B$7)</f>
        <v>0</v>
      </c>
      <c r="I132" s="306">
        <f>I32-(I17*Inputs!$E$466*Scenarios!$B$7)</f>
        <v>0</v>
      </c>
      <c r="J132" s="306">
        <f>J32-(J17*Inputs!$E$466*Scenarios!$B$7)</f>
        <v>0</v>
      </c>
      <c r="K132" s="306">
        <f>K32-(K17*Inputs!$E$466*Scenarios!$B$7)</f>
        <v>0</v>
      </c>
      <c r="L132" s="306">
        <f>L32-(L17*Inputs!$E$466*Scenarios!$B$7)</f>
        <v>0</v>
      </c>
      <c r="M132" s="306">
        <f>M32-(M17*Inputs!$E$466*Scenarios!$B$7)</f>
        <v>0</v>
      </c>
      <c r="N132" s="306">
        <f>N32-(N17*Inputs!$E$466*Scenarios!$B$7)</f>
        <v>0</v>
      </c>
      <c r="O132" s="306">
        <f>O32-(O17*Inputs!$E$466*Scenarios!$B$7)</f>
        <v>0</v>
      </c>
      <c r="P132" s="306">
        <f>P32-(P17*Inputs!$E$466*Scenarios!$B$7)</f>
        <v>0</v>
      </c>
      <c r="Q132" s="306">
        <f>Q32-(Q17*Inputs!$E$466*Scenarios!$B$7)</f>
        <v>0</v>
      </c>
      <c r="R132" s="306">
        <f>R32-(R17*Inputs!$E$466*Scenarios!$B$7)</f>
        <v>0</v>
      </c>
      <c r="S132" s="306">
        <f>S32-(S17*Inputs!$E$466*Scenarios!$B$7)</f>
        <v>0</v>
      </c>
      <c r="T132" s="306">
        <f>T32-(T17*Inputs!$E$466*Scenarios!$B$7)</f>
        <v>0</v>
      </c>
      <c r="U132" s="301"/>
      <c r="V132" s="301"/>
      <c r="W132" s="301"/>
      <c r="X132" s="301"/>
      <c r="Y132" s="301"/>
      <c r="Z132" s="301"/>
    </row>
    <row r="133" spans="1:26" ht="15.75" customHeight="1">
      <c r="A133" s="296"/>
      <c r="B133" s="297"/>
      <c r="C133" s="305" t="s">
        <v>409</v>
      </c>
      <c r="D133" s="307">
        <f t="array" ref="D133">IF(SUMPRODUCT(ABS(G133:R133))&lt;1,0,SUMPRODUCT(ABS(G133:R133)))</f>
        <v>0</v>
      </c>
      <c r="E133" s="307"/>
      <c r="F133" s="307"/>
      <c r="G133" s="307">
        <f>G33-(G16*Inputs!$E$466*Scenarios!$B$7)</f>
        <v>0</v>
      </c>
      <c r="H133" s="307">
        <f>H33-(H16*Inputs!$E$466*Scenarios!$B$7)</f>
        <v>0</v>
      </c>
      <c r="I133" s="307">
        <f>I33-(I16*Inputs!$E$466*Scenarios!$B$7)</f>
        <v>0</v>
      </c>
      <c r="J133" s="307">
        <f>J33-(J16*Inputs!$E$466*Scenarios!$B$7)</f>
        <v>0</v>
      </c>
      <c r="K133" s="307">
        <f>K33-(K16*Inputs!$E$466*Scenarios!$B$7)</f>
        <v>0</v>
      </c>
      <c r="L133" s="307">
        <f>L33-(L16*Inputs!$E$466*Scenarios!$B$7)</f>
        <v>0</v>
      </c>
      <c r="M133" s="307">
        <f>M33-(M16*Inputs!$E$466*Scenarios!$B$7)</f>
        <v>0</v>
      </c>
      <c r="N133" s="307">
        <f>N33-(N16*Inputs!$E$466*Scenarios!$B$7)</f>
        <v>0</v>
      </c>
      <c r="O133" s="307">
        <f>O33-(O16*Inputs!$E$466*Scenarios!$B$7)</f>
        <v>0</v>
      </c>
      <c r="P133" s="307">
        <f>P33-(P16*Inputs!$E$466*Scenarios!$B$7)</f>
        <v>0</v>
      </c>
      <c r="Q133" s="307">
        <f>Q33-(Q16*Inputs!$E$466*Scenarios!$B$7)</f>
        <v>0</v>
      </c>
      <c r="R133" s="307">
        <f>R33-(R16*Inputs!$E$466*Scenarios!$B$7)</f>
        <v>0</v>
      </c>
      <c r="S133" s="307">
        <f>S33-(S16*Inputs!$E$466*Scenarios!$B$7)</f>
        <v>0</v>
      </c>
      <c r="T133" s="307">
        <f>T33-(T16*Inputs!$E$466*Scenarios!$B$7)</f>
        <v>0</v>
      </c>
      <c r="U133" s="301"/>
      <c r="V133" s="301"/>
      <c r="W133" s="301"/>
      <c r="X133" s="301"/>
      <c r="Y133" s="301"/>
      <c r="Z133" s="301"/>
    </row>
    <row r="134" spans="1:26" ht="15.75" customHeight="1">
      <c r="A134" s="296"/>
      <c r="B134" s="297"/>
      <c r="C134" s="305" t="s">
        <v>410</v>
      </c>
      <c r="D134" s="307">
        <f t="array" ref="D134">IF(SUMPRODUCT(ABS(G134:R134))&lt;1,0,SUMPRODUCT(ABS(G134:R134)))</f>
        <v>0</v>
      </c>
      <c r="E134" s="307"/>
      <c r="F134" s="307"/>
      <c r="G134" s="307">
        <f>G34-((G16+G17)*Inputs!$E$467*Scenarios!$B$7)</f>
        <v>0</v>
      </c>
      <c r="H134" s="307">
        <f>H34-((H16+H17)*Inputs!$E$467*Scenarios!$B$7)</f>
        <v>0</v>
      </c>
      <c r="I134" s="307">
        <f>I34-((I16+I17)*Inputs!$E$467*Scenarios!$B$7)</f>
        <v>0</v>
      </c>
      <c r="J134" s="307">
        <f>J34-((J16+J17)*Inputs!$E$467*Scenarios!$B$7)</f>
        <v>0</v>
      </c>
      <c r="K134" s="307">
        <f>K34-((K16+K17)*Inputs!$E$467*Scenarios!$B$7)</f>
        <v>0</v>
      </c>
      <c r="L134" s="307">
        <f>L34-((L16+L17)*Inputs!$E$467*Scenarios!$B$7)</f>
        <v>0</v>
      </c>
      <c r="M134" s="307">
        <f>M34-((M16+M17)*Inputs!$E$467*Scenarios!$B$7)</f>
        <v>0</v>
      </c>
      <c r="N134" s="307">
        <f>N34-((N16+N17)*Inputs!$E$467*Scenarios!$B$7)</f>
        <v>0</v>
      </c>
      <c r="O134" s="307">
        <f>O34-((O16+O17)*Inputs!$E$467*Scenarios!$B$7)</f>
        <v>0</v>
      </c>
      <c r="P134" s="307">
        <f>P34-((P16+P17)*Inputs!$E$467*Scenarios!$B$7)</f>
        <v>0</v>
      </c>
      <c r="Q134" s="307">
        <f>Q34-((Q16+Q17)*Inputs!$E$467*Scenarios!$B$7)</f>
        <v>0</v>
      </c>
      <c r="R134" s="307">
        <f>R34-((R16+R17)*Inputs!$E$467*Scenarios!$B$7)</f>
        <v>0</v>
      </c>
      <c r="S134" s="307">
        <f>S34-((S16+S17)*Inputs!$E$467*Scenarios!$B$7)</f>
        <v>0</v>
      </c>
      <c r="T134" s="307">
        <f>T34-((T16+T17)*Inputs!$E$467*Scenarios!$B$7)</f>
        <v>0</v>
      </c>
      <c r="U134" s="301"/>
      <c r="V134" s="301"/>
      <c r="W134" s="301"/>
      <c r="X134" s="301"/>
      <c r="Y134" s="301"/>
      <c r="Z134" s="301"/>
    </row>
    <row r="135" spans="1:26" ht="15.75" customHeight="1">
      <c r="A135" s="296"/>
      <c r="B135" s="302" t="s">
        <v>480</v>
      </c>
      <c r="C135" s="303"/>
      <c r="D135" s="303"/>
      <c r="E135" s="303"/>
      <c r="F135" s="303"/>
      <c r="G135" s="303"/>
      <c r="H135" s="303"/>
      <c r="I135" s="303"/>
      <c r="J135" s="303"/>
      <c r="K135" s="303"/>
      <c r="L135" s="303"/>
      <c r="M135" s="303"/>
      <c r="N135" s="303"/>
      <c r="O135" s="303"/>
      <c r="P135" s="303"/>
      <c r="Q135" s="303"/>
      <c r="R135" s="303"/>
      <c r="S135" s="304"/>
      <c r="T135" s="304"/>
      <c r="U135" s="301"/>
      <c r="V135" s="301"/>
      <c r="W135" s="301"/>
      <c r="X135" s="301"/>
      <c r="Y135" s="301"/>
      <c r="Z135" s="301"/>
    </row>
    <row r="136" spans="1:26" ht="15.75" customHeight="1">
      <c r="A136" s="296"/>
      <c r="B136" s="308"/>
      <c r="C136" s="309" t="s">
        <v>481</v>
      </c>
      <c r="D136" s="310">
        <f t="array" ref="D136">IF(SUMPRODUCT(ABS(G136:R136))&lt;1,0,SUMPRODUCT(ABS(G136:R136)))</f>
        <v>0</v>
      </c>
      <c r="E136" s="310"/>
      <c r="F136" s="310"/>
      <c r="G136" s="310">
        <f t="array" ref="G136">G47-IF(G$8=1,IFERROR(INDEX('Expense Assumptions'!$F$126:$Q$126,MATCH((2000+VALUE(RIGHT(G$6,2))-1),'Expense Assumptions'!$F$21:$Q$21,0))*Scenarios!$B$7,0),0)</f>
        <v>0</v>
      </c>
      <c r="H136" s="310">
        <f t="array" ref="H136">H47-IF(H$8=1,IFERROR(INDEX('Expense Assumptions'!$F$126:$Q$126,MATCH((2000+VALUE(RIGHT(H$6,2))-1),'Expense Assumptions'!$F$21:$Q$21,0))*Scenarios!$B$7,0),0)</f>
        <v>0</v>
      </c>
      <c r="I136" s="310">
        <f t="array" ref="I136">I47-IF(I$8=1,IFERROR(INDEX('Expense Assumptions'!$F$126:$Q$126,MATCH((2000+VALUE(RIGHT(I$6,2))-1),'Expense Assumptions'!$F$21:$Q$21,0))*Scenarios!$B$7,0),0)</f>
        <v>0</v>
      </c>
      <c r="J136" s="310">
        <f t="array" ref="J136">J47-IF(J$8=1,IFERROR(INDEX('Expense Assumptions'!$F$128:$Q$128,MATCH((2000+VALUE(RIGHT(J$6,2))),'Expense Assumptions'!$F$21:$Q$21,0))*Scenarios!$B$7,0),0)</f>
        <v>0</v>
      </c>
      <c r="K136" s="310">
        <f t="array" ref="K136">K47-IF(K$8=1,IFERROR(INDEX('Expense Assumptions'!$F$128:$Q$128,MATCH((2000+VALUE(RIGHT(K$6,2))),'Expense Assumptions'!$F$21:$Q$21,0))*Scenarios!$B$7,0),0)</f>
        <v>0</v>
      </c>
      <c r="L136" s="310">
        <f t="array" ref="L136">L47-IF(L$8=1,IFERROR(INDEX('Expense Assumptions'!$F$128:$Q$128,MATCH((2000+VALUE(RIGHT(L$6,2))),'Expense Assumptions'!$F$21:$Q$21,0))*Scenarios!$B$7,0),0)</f>
        <v>0</v>
      </c>
      <c r="M136" s="310">
        <f t="array" ref="M136">M47-IF(M$8=1,IFERROR(INDEX('Expense Assumptions'!$F$128:$Q$128,MATCH((2000+VALUE(RIGHT(M$6,2))),'Expense Assumptions'!$F$21:$Q$21,0))*Scenarios!$B$7,0),0)</f>
        <v>0</v>
      </c>
      <c r="N136" s="310">
        <f t="array" ref="N136">N47-IF(N$8=1,IFERROR(INDEX('Expense Assumptions'!$F$128:$Q$128,MATCH((2000+VALUE(RIGHT(N$6,2))),'Expense Assumptions'!$F$21:$Q$21,0))*Scenarios!$B$7,0),0)</f>
        <v>0</v>
      </c>
      <c r="O136" s="310">
        <f t="array" ref="O136">O47-IF(O$8=1,IFERROR(INDEX('Expense Assumptions'!$F$128:$Q$128,MATCH((2000+VALUE(RIGHT(O$6,2))),'Expense Assumptions'!$F$21:$Q$21,0))*Scenarios!$B$7,0),0)</f>
        <v>0</v>
      </c>
      <c r="P136" s="310">
        <f t="array" ref="P136">P47-IF(P$8=1,IFERROR(INDEX('Expense Assumptions'!$F$128:$Q$128,MATCH((2000+VALUE(RIGHT(P$6,2))),'Expense Assumptions'!$F$21:$Q$21,0))*Scenarios!$B$7,0),0)</f>
        <v>0</v>
      </c>
      <c r="Q136" s="310">
        <f t="array" ref="Q136">Q47-IF(Q$8=1,IFERROR(INDEX('Expense Assumptions'!$F$128:$Q$128,MATCH((2000+VALUE(RIGHT(Q$6,2))),'Expense Assumptions'!$F$21:$Q$21,0))*Scenarios!$B$7,0),0)</f>
        <v>0</v>
      </c>
      <c r="R136" s="310">
        <f t="array" ref="R136">R47-IF(R$8=1,IFERROR(INDEX('Expense Assumptions'!$F$128:$Q$128,MATCH((2000+VALUE(RIGHT(R$6,2))),'Expense Assumptions'!$F$21:$Q$21,0))*Scenarios!$B$7,0),0)</f>
        <v>0</v>
      </c>
      <c r="S136" s="310">
        <f t="array" ref="S136">S47-IF(S$8=1,IFERROR(INDEX('Expense Assumptions'!$F$128:$Q$128,MATCH((2000+VALUE(RIGHT(S$6,2))),'Expense Assumptions'!$F$21:$Q$21,0))*Scenarios!$B$7,0),0)</f>
        <v>0</v>
      </c>
      <c r="T136" s="310">
        <f t="array" ref="T136">T47-IF(T$8=1,IFERROR(INDEX('Expense Assumptions'!$F$128:$Q$128,MATCH((2000+VALUE(RIGHT(T$6,2))),'Expense Assumptions'!$F$21:$Q$21,0))*Scenarios!$B$7,0),0)</f>
        <v>0</v>
      </c>
      <c r="U136" s="301"/>
      <c r="V136" s="301"/>
      <c r="W136" s="301"/>
      <c r="X136" s="301"/>
      <c r="Y136" s="301"/>
      <c r="Z136" s="301"/>
    </row>
    <row r="137" spans="1:26" ht="15.75" customHeight="1">
      <c r="A137" s="296"/>
      <c r="B137" s="297"/>
      <c r="C137" s="305" t="s">
        <v>482</v>
      </c>
      <c r="D137" s="307">
        <f t="array" ref="D137">IF(SUMPRODUCT(ABS(G137:R137))&lt;1,0,SUMPRODUCT(ABS(G137:R137)))</f>
        <v>0</v>
      </c>
      <c r="E137" s="307"/>
      <c r="F137" s="307"/>
      <c r="G137" s="307">
        <f t="array" ref="G137">G58-IF(G$8=1,IFERROR(INDEX('Expense Assumptions'!$F$62:$Q$62,MATCH((2000+VALUE(RIGHT(G$6,2))-1),'Expense Assumptions'!$F$21:$Q$21,0))*Scenarios!$B$7,0),0)</f>
        <v>0</v>
      </c>
      <c r="H137" s="307">
        <f t="array" ref="H137">H58-IF(H$8=1,IFERROR(INDEX('Expense Assumptions'!$F$62:$Q$62,MATCH((2000+VALUE(RIGHT(H$6,2))-1),'Expense Assumptions'!$F$21:$Q$21,0))*Scenarios!$B$7,0),0)</f>
        <v>0</v>
      </c>
      <c r="I137" s="307">
        <f t="array" ref="I137">I58-IF(I$8=1,IFERROR(INDEX('Expense Assumptions'!$F$62:$Q$62,MATCH((2000+VALUE(RIGHT(I$6,2))-1),'Expense Assumptions'!$F$21:$Q$21,0))*Scenarios!$B$7,0),0)</f>
        <v>0</v>
      </c>
      <c r="J137" s="307">
        <f t="array" ref="J137">J58-IF(J$8=1,IFERROR(INDEX('Expense Assumptions'!$F$62:$Q$62,MATCH((2000+VALUE(RIGHT(J$6,2))-1),'Expense Assumptions'!$F$21:$Q$21,0))*Scenarios!$B$7,0),0)</f>
        <v>0</v>
      </c>
      <c r="K137" s="307">
        <f t="array" ref="K137">K58-IF(K$8=1,IFERROR(INDEX('Expense Assumptions'!$F$62:$Q$62,MATCH((2000+VALUE(RIGHT(K$6,2))),'Expense Assumptions'!$F$21:$Q$21,0))*Scenarios!$B$7,0),0)</f>
        <v>0</v>
      </c>
      <c r="L137" s="307">
        <f t="array" ref="L137">L58-IF(L$8=1,IFERROR(INDEX('Expense Assumptions'!$F$62:$Q$62,MATCH((2000+VALUE(RIGHT(L$6,2))),'Expense Assumptions'!$F$21:$Q$21,0))*Scenarios!$B$7,0),0)</f>
        <v>0</v>
      </c>
      <c r="M137" s="307">
        <f t="array" ref="M137">M58-IF(M$8=1,IFERROR(INDEX('Expense Assumptions'!$F$62:$Q$62,MATCH((2000+VALUE(RIGHT(M$6,2))),'Expense Assumptions'!$F$21:$Q$21,0))*Scenarios!$B$7,0),0)</f>
        <v>0</v>
      </c>
      <c r="N137" s="307">
        <f t="array" ref="N137">N58-IF(N$8=1,IFERROR(INDEX('Expense Assumptions'!$F$62:$Q$62,MATCH((2000+VALUE(RIGHT(N$6,2))),'Expense Assumptions'!$F$21:$Q$21,0))*Scenarios!$B$7,0),0)</f>
        <v>0</v>
      </c>
      <c r="O137" s="307">
        <f t="array" ref="O137">O58-IF(O$8=1,IFERROR(INDEX('Expense Assumptions'!$F$62:$Q$62,MATCH((2000+VALUE(RIGHT(O$6,2))),'Expense Assumptions'!$F$21:$Q$21,0))*Scenarios!$B$7,0),0)</f>
        <v>0</v>
      </c>
      <c r="P137" s="307">
        <f t="array" ref="P137">P58-IF(P$8=1,IFERROR(INDEX('Expense Assumptions'!$F$62:$Q$62,MATCH((2000+VALUE(RIGHT(P$6,2))),'Expense Assumptions'!$F$21:$Q$21,0))*Scenarios!$B$7,0),0)</f>
        <v>0</v>
      </c>
      <c r="Q137" s="307">
        <f t="array" ref="Q137">Q58-IF(Q$8=1,IFERROR(INDEX('Expense Assumptions'!$F$62:$Q$62,MATCH((2000+VALUE(RIGHT(Q$6,2))),'Expense Assumptions'!$F$21:$Q$21,0))*Scenarios!$B$7,0),0)</f>
        <v>0</v>
      </c>
      <c r="R137" s="307">
        <f t="array" ref="R137">R58-IF(R$8=1,IFERROR(INDEX('Expense Assumptions'!$F$62:$Q$62,MATCH((2000+VALUE(RIGHT(R$6,2))),'Expense Assumptions'!$F$21:$Q$21,0))*Scenarios!$B$7,0),0)</f>
        <v>0</v>
      </c>
      <c r="S137" s="307">
        <f t="array" ref="S137">S58-IF(S$8=1,IFERROR(INDEX('Expense Assumptions'!$F$62:$Q$62,MATCH((2000+VALUE(RIGHT(S$6,2))),'Expense Assumptions'!$F$21:$Q$21,0))*Scenarios!$B$7,0),0)</f>
        <v>0</v>
      </c>
      <c r="T137" s="307">
        <f t="array" ref="T137">T58-IF(T$8=1,IFERROR(INDEX('Expense Assumptions'!$F$62:$Q$62,MATCH((2000+VALUE(RIGHT(T$6,2))),'Expense Assumptions'!$F$21:$Q$21,0))*Scenarios!$B$7,0),0)</f>
        <v>0</v>
      </c>
      <c r="U137" s="301"/>
      <c r="V137" s="301"/>
      <c r="W137" s="301"/>
      <c r="X137" s="301"/>
      <c r="Y137" s="301"/>
      <c r="Z137" s="301"/>
    </row>
    <row r="138" spans="1:26" ht="15.75" customHeight="1">
      <c r="A138" s="296"/>
      <c r="B138" s="297"/>
      <c r="C138" s="305" t="s">
        <v>437</v>
      </c>
      <c r="D138" s="306">
        <f t="array" ref="D138">IF(SUMPRODUCT(ABS(G138:R138))&lt;1,0,SUMPRODUCT(ABS(G138:R138)))</f>
        <v>0</v>
      </c>
      <c r="E138" s="306"/>
      <c r="F138" s="306"/>
      <c r="G138" s="306">
        <f t="array" ref="G138">G68-IF(G$8=1,IFERROR(INDEX('Expense Assumptions'!$F$35:$Q$35,MATCH((2000+VALUE(RIGHT(G$6,2))),'Expense Assumptions'!$F$21:$Q$21,0))*Scenarios!$B$7,0),0)</f>
        <v>0</v>
      </c>
      <c r="H138" s="306">
        <f t="array" ref="H138">H68-IF(H$8=1,IFERROR(INDEX('Expense Assumptions'!$F$35:$Q$35,MATCH((2000+VALUE(RIGHT(H$6,2))),'Expense Assumptions'!$F$21:$Q$21,0))*Scenarios!$B$7,0),0)</f>
        <v>0</v>
      </c>
      <c r="I138" s="306">
        <f t="array" ref="I138">I68-IF(I$8=1,IFERROR(INDEX('Expense Assumptions'!$F$35:$Q$35,MATCH((2000+VALUE(RIGHT(I$6,2))),'Expense Assumptions'!$F$21:$Q$21,0))*Scenarios!$B$7,0),0)-'Expense Assumptions'!F35</f>
        <v>0</v>
      </c>
      <c r="J138" s="306">
        <f t="array" ref="J138">J68-IF(J$8=1,IFERROR(INDEX('Expense Assumptions'!$F$35:$Q$35,MATCH((2000+VALUE(RIGHT(J$6,2))),'Expense Assumptions'!$F$21:$Q$21,0))*Scenarios!$B$7,0),0)</f>
        <v>0</v>
      </c>
      <c r="K138" s="306">
        <f t="array" ref="K138">K68-IF(K$8=1,IFERROR(INDEX('Expense Assumptions'!$F$35:$Q$35,MATCH((2000+VALUE(RIGHT(K$6,2))),'Expense Assumptions'!$F$21:$Q$21,0))*Scenarios!$B$7,0),0)</f>
        <v>0</v>
      </c>
      <c r="L138" s="306">
        <f t="array" ref="L138">L68-IF(L$8=1,IFERROR(INDEX('Expense Assumptions'!$F$35:$Q$35,MATCH((2000+VALUE(RIGHT(L$6,2))),'Expense Assumptions'!$F$21:$Q$21,0))*Scenarios!$B$7,0),0)</f>
        <v>0</v>
      </c>
      <c r="M138" s="306">
        <f t="array" ref="M138">M68-IF(M$8=1,IFERROR(INDEX('Expense Assumptions'!$F$35:$Q$35,MATCH((2000+VALUE(RIGHT(M$6,2))),'Expense Assumptions'!$F$21:$Q$21,0))*Scenarios!$B$7,0),0)</f>
        <v>0</v>
      </c>
      <c r="N138" s="306">
        <f t="array" ref="N138">N68-IF(N$8=1,IFERROR(INDEX('Expense Assumptions'!$F$35:$Q$35,MATCH((2000+VALUE(RIGHT(N$6,2))),'Expense Assumptions'!$F$21:$Q$21,0))*Scenarios!$B$7,0),0)</f>
        <v>0</v>
      </c>
      <c r="O138" s="306">
        <f t="array" ref="O138">O68-IF(O$8=1,IFERROR(INDEX('Expense Assumptions'!$F$35:$Q$35,MATCH((2000+VALUE(RIGHT(O$6,2))),'Expense Assumptions'!$F$21:$Q$21,0))*Scenarios!$B$7,0),0)</f>
        <v>0</v>
      </c>
      <c r="P138" s="306">
        <f t="array" ref="P138">P68-IF(P$8=1,IFERROR(INDEX('Expense Assumptions'!$F$35:$Q$35,MATCH((2000+VALUE(RIGHT(P$6,2))),'Expense Assumptions'!$F$21:$Q$21,0))*Scenarios!$B$7,0),0)</f>
        <v>0</v>
      </c>
      <c r="Q138" s="306">
        <f t="array" ref="Q138">Q68-IF(Q$8=1,IFERROR(INDEX('Expense Assumptions'!$F$35:$Q$35,MATCH((2000+VALUE(RIGHT(Q$6,2))),'Expense Assumptions'!$F$21:$Q$21,0))*Scenarios!$B$7,0),0)</f>
        <v>0</v>
      </c>
      <c r="R138" s="306">
        <f t="array" ref="R138">R68-IF(R$8=1,IFERROR(INDEX('Expense Assumptions'!$F$35:$Q$35,MATCH((2000+VALUE(RIGHT(R$6,2))),'Expense Assumptions'!$F$21:$Q$21,0))*Scenarios!$B$7,0),0)</f>
        <v>0</v>
      </c>
      <c r="S138" s="306">
        <f t="array" ref="S138">S68-IF(S$8=1,IFERROR(INDEX('Expense Assumptions'!$F$35:$Q$35,MATCH((2000+VALUE(RIGHT(S$6,2))),'Expense Assumptions'!$F$21:$Q$21,0))*Scenarios!$B$7,0),0)</f>
        <v>0</v>
      </c>
      <c r="T138" s="306">
        <f t="array" ref="T138">T68-IF(T$8=1,IFERROR(INDEX('Expense Assumptions'!$F$35:$R$35,MATCH((2000+VALUE(RIGHT(T$6,2))),'Expense Assumptions'!$F$21:$R$21,0))*Scenarios!$B$7,0),0)</f>
        <v>0</v>
      </c>
      <c r="U138" s="301"/>
      <c r="V138" s="301"/>
      <c r="W138" s="301"/>
      <c r="X138" s="301"/>
      <c r="Y138" s="301"/>
      <c r="Z138" s="301"/>
    </row>
    <row r="139" spans="1:26" ht="15.75" customHeight="1">
      <c r="A139" s="296"/>
      <c r="B139" s="297"/>
      <c r="C139" s="305" t="s">
        <v>438</v>
      </c>
      <c r="D139" s="306">
        <f t="array" ref="D139">IF(SUMPRODUCT(ABS(G139:R139))&lt;1,0,SUMPRODUCT(ABS(G139:R139)))</f>
        <v>0</v>
      </c>
      <c r="E139" s="306"/>
      <c r="F139" s="306"/>
      <c r="G139" s="306">
        <f t="array" ref="G139">G69-IF(G$8=1,IFERROR(INDEX('Expense Assumptions'!$F$51:$Q$51,MATCH((2000+VALUE(RIGHT(G$6,2))),'Expense Assumptions'!$F$21:$Q$21,0))*Scenarios!$B$7,0),0)</f>
        <v>0</v>
      </c>
      <c r="H139" s="306">
        <f t="array" ref="H139">H69-IF(H$8=1,IFERROR(INDEX('Expense Assumptions'!$F$51:$Q$51,MATCH((2000+VALUE(RIGHT(H$6,2))),'Expense Assumptions'!$F$21:$Q$21,0))*Scenarios!$B$7,0),0)</f>
        <v>0</v>
      </c>
      <c r="I139" s="306">
        <f t="array" ref="I139">I69-IF(I$8=1,IFERROR(INDEX('Expense Assumptions'!$F$51:$Q$51,MATCH((2000+VALUE(RIGHT(I$6,2))),'Expense Assumptions'!$F$21:$Q$21,0))*Scenarios!$B$7,0),0)-'Expense Assumptions'!F51</f>
        <v>0</v>
      </c>
      <c r="J139" s="306">
        <f t="array" ref="J139">J69-IF(J$8=1,IFERROR(INDEX('Expense Assumptions'!$F$51:$Q$51,MATCH((2000+VALUE(RIGHT(J$6,2))),'Expense Assumptions'!$F$21:$Q$21,0))*Scenarios!$B$7,0),0)</f>
        <v>0</v>
      </c>
      <c r="K139" s="306">
        <f t="array" ref="K139">K69-IF(K$8=1,IFERROR(INDEX('Expense Assumptions'!$F$51:$Q$51,MATCH((2000+VALUE(RIGHT(K$6,2))),'Expense Assumptions'!$F$21:$Q$21,0))*Scenarios!$B$7,0),0)</f>
        <v>0</v>
      </c>
      <c r="L139" s="306">
        <f t="array" ref="L139">L69-IF(L$8=1,IFERROR(INDEX('Expense Assumptions'!$F$51:$Q$51,MATCH((2000+VALUE(RIGHT(L$6,2))),'Expense Assumptions'!$F$21:$Q$21,0))*Scenarios!$B$7,0),0)</f>
        <v>0</v>
      </c>
      <c r="M139" s="306">
        <f t="array" ref="M139">M69-IF(M$8=1,IFERROR(INDEX('Expense Assumptions'!$F$51:$Q$51,MATCH((2000+VALUE(RIGHT(M$6,2))),'Expense Assumptions'!$F$21:$Q$21,0))*Scenarios!$B$7,0),0)</f>
        <v>0</v>
      </c>
      <c r="N139" s="306">
        <f t="array" ref="N139">N69-IF(N$8=1,IFERROR(INDEX('Expense Assumptions'!$F$51:$Q$51,MATCH((2000+VALUE(RIGHT(N$6,2))),'Expense Assumptions'!$F$21:$Q$21,0))*Scenarios!$B$7,0),0)</f>
        <v>0</v>
      </c>
      <c r="O139" s="306">
        <f t="array" ref="O139">O69-IF(O$8=1,IFERROR(INDEX('Expense Assumptions'!$F$51:$Q$51,MATCH((2000+VALUE(RIGHT(O$6,2))),'Expense Assumptions'!$F$21:$Q$21,0))*Scenarios!$B$7,0),0)</f>
        <v>0</v>
      </c>
      <c r="P139" s="306">
        <f t="array" ref="P139">P69-IF(P$8=1,IFERROR(INDEX('Expense Assumptions'!$F$51:$Q$51,MATCH((2000+VALUE(RIGHT(P$6,2))),'Expense Assumptions'!$F$21:$Q$21,0))*Scenarios!$B$7,0),0)</f>
        <v>0</v>
      </c>
      <c r="Q139" s="306">
        <f t="array" ref="Q139">Q69-IF(Q$8=1,IFERROR(INDEX('Expense Assumptions'!$F$51:$Q$51,MATCH((2000+VALUE(RIGHT(Q$6,2))),'Expense Assumptions'!$F$21:$Q$21,0))*Scenarios!$B$7,0),0)</f>
        <v>0</v>
      </c>
      <c r="R139" s="306">
        <f t="array" ref="R139">R69-IF(R$8=1,IFERROR(INDEX('Expense Assumptions'!$F$51:$Q$51,MATCH((2000+VALUE(RIGHT(R$6,2))),'Expense Assumptions'!$F$21:$Q$21,0))*Scenarios!$B$7,0),0)</f>
        <v>0</v>
      </c>
      <c r="S139" s="306">
        <f t="array" ref="S139">S69-IF(S$8=1,IFERROR(INDEX('Expense Assumptions'!$F$51:$Q$51,MATCH((2000+VALUE(RIGHT(S$6,2))),'Expense Assumptions'!$F$21:$Q$21,0))*Scenarios!$B$7,0),0)</f>
        <v>0</v>
      </c>
      <c r="T139" s="306">
        <f t="array" ref="T139">T69-IF(T$8=1,IFERROR(INDEX('Expense Assumptions'!$F$51:$R$51,MATCH((2000+VALUE(RIGHT(T$6,2))),'Expense Assumptions'!$F$21:$R$21,0))*Scenarios!$B$7,0),0)</f>
        <v>0</v>
      </c>
      <c r="U139" s="301"/>
      <c r="V139" s="301"/>
      <c r="W139" s="301"/>
      <c r="X139" s="301"/>
      <c r="Y139" s="301"/>
      <c r="Z139" s="301"/>
    </row>
    <row r="140" spans="1:26" ht="15.75" customHeight="1">
      <c r="A140" s="296"/>
      <c r="B140" s="302" t="s">
        <v>483</v>
      </c>
      <c r="C140" s="303"/>
      <c r="D140" s="303"/>
      <c r="E140" s="303"/>
      <c r="F140" s="303"/>
      <c r="G140" s="303"/>
      <c r="H140" s="303"/>
      <c r="I140" s="303"/>
      <c r="J140" s="303"/>
      <c r="K140" s="303"/>
      <c r="L140" s="303"/>
      <c r="M140" s="303"/>
      <c r="N140" s="303"/>
      <c r="O140" s="303"/>
      <c r="P140" s="303"/>
      <c r="Q140" s="303"/>
      <c r="R140" s="303"/>
      <c r="S140" s="304"/>
      <c r="T140" s="304"/>
      <c r="U140" s="301"/>
      <c r="V140" s="301"/>
      <c r="W140" s="301"/>
      <c r="X140" s="301"/>
      <c r="Y140" s="301"/>
      <c r="Z140" s="301"/>
    </row>
    <row r="141" spans="1:26" ht="15.75" customHeight="1">
      <c r="A141" s="296"/>
      <c r="B141" s="297"/>
      <c r="C141" s="305" t="s">
        <v>484</v>
      </c>
      <c r="D141" s="306">
        <f t="array" ref="D141">IF(SUMPRODUCT(ABS(G141:R141))&lt;1,0,SUMPRODUCT(ABS(G141:R141)))</f>
        <v>0</v>
      </c>
      <c r="E141" s="306"/>
      <c r="F141" s="306"/>
      <c r="G141" s="306">
        <f t="array" ref="G141">G45-IF(G$8=1,IFERROR(INDEX('Expense Assumptions'!$F$82:$Q$82,MATCH((2000+VALUE(RIGHT(G$6,2))-1),'Expense Assumptions'!$F$21:$Q$21,0))*Scenarios!$B$7,0),0)</f>
        <v>0</v>
      </c>
      <c r="H141" s="306">
        <f t="array" ref="H141">H45-IF(H$8=1,IFERROR(INDEX('Expense Assumptions'!$F$82:$Q$82,MATCH((2000+VALUE(RIGHT(H$6,2))-1),'Expense Assumptions'!$F$21:$Q$21,0))*Scenarios!$B$7,0),0)</f>
        <v>0</v>
      </c>
      <c r="I141" s="306">
        <f t="array" ref="I141">I45-IF(I$8=1,IFERROR(INDEX('Expense Assumptions'!$F$82:$Q$82,MATCH((2000+VALUE(RIGHT(I$6,2))-1),'Expense Assumptions'!$F$21:$Q$21,0))*Scenarios!$B$7,0),0)</f>
        <v>0</v>
      </c>
      <c r="J141" s="306">
        <f t="array" ref="J141">J45-IF(J$8=1,IFERROR(INDEX('Expense Assumptions'!$F$82:$Q$82,MATCH((2000+VALUE(RIGHT(J$6,2))),'Expense Assumptions'!$F$21:$Q$21,0))*Scenarios!$B$7,0),0)</f>
        <v>0</v>
      </c>
      <c r="K141" s="306">
        <f t="array" ref="K141">K45-IF(K$8=1,IFERROR(INDEX('Expense Assumptions'!$F$82:$Q$82,MATCH((2000+VALUE(RIGHT(K$6,2))),'Expense Assumptions'!$F$21:$Q$21,0))*Scenarios!$B$7,0),0)</f>
        <v>0</v>
      </c>
      <c r="L141" s="306">
        <f t="array" ref="L141">L45-IF(L$8=1,IFERROR(INDEX('Expense Assumptions'!$F$82:$Q$82,MATCH((2000+VALUE(RIGHT(L$6,2))),'Expense Assumptions'!$F$21:$Q$21,0))*Scenarios!$B$7,0),0)</f>
        <v>0</v>
      </c>
      <c r="M141" s="306">
        <f t="array" ref="M141">M45-IF(M$8=1,IFERROR(INDEX('Expense Assumptions'!$F$82:$Q$82,MATCH((2000+VALUE(RIGHT(M$6,2))),'Expense Assumptions'!$F$21:$Q$21,0))*Scenarios!$B$7,0),0)</f>
        <v>0</v>
      </c>
      <c r="N141" s="306">
        <f t="array" ref="N141">N45-IF(N$8=1,IFERROR(INDEX('Expense Assumptions'!$F$82:$Q$82,MATCH((2000+VALUE(RIGHT(N$6,2))),'Expense Assumptions'!$F$21:$Q$21,0))*Scenarios!$B$7,0),0)</f>
        <v>0</v>
      </c>
      <c r="O141" s="306">
        <f t="array" ref="O141">O45-IF(O$8=1,IFERROR(INDEX('Expense Assumptions'!$F$82:$Q$82,MATCH((2000+VALUE(RIGHT(O$6,2))),'Expense Assumptions'!$F$21:$Q$21,0))*Scenarios!$B$7,0),0)</f>
        <v>0</v>
      </c>
      <c r="P141" s="306">
        <f t="array" ref="P141">P45-IF(P$8=1,IFERROR(INDEX('Expense Assumptions'!$F$82:$Q$82,MATCH((2000+VALUE(RIGHT(P$6,2))),'Expense Assumptions'!$F$21:$Q$21,0))*Scenarios!$B$7,0),0)</f>
        <v>0</v>
      </c>
      <c r="Q141" s="306">
        <f t="array" ref="Q141">Q45-IF(Q$8=1,IFERROR(INDEX('Expense Assumptions'!$F$82:$Q$82,MATCH((2000+VALUE(RIGHT(Q$6,2))),'Expense Assumptions'!$F$21:$Q$21,0))*Scenarios!$B$7,0),0)</f>
        <v>0</v>
      </c>
      <c r="R141" s="306">
        <f t="array" ref="R141">R45-IF(R$8=1,IFERROR(INDEX('Expense Assumptions'!$F$82:$Q$82,MATCH((2000+VALUE(RIGHT(R$6,2))),'Expense Assumptions'!$F$21:$Q$21,0))*Scenarios!$B$7,0),0)</f>
        <v>0</v>
      </c>
      <c r="S141" s="306">
        <f t="array" ref="S141">S45-IF(S$8=1,IFERROR(INDEX('Expense Assumptions'!$F$82:$Q$82,MATCH((2000+VALUE(RIGHT(S$6,2))),'Expense Assumptions'!$F$21:$Q$21,0))*Scenarios!$B$7,0),0)</f>
        <v>0</v>
      </c>
      <c r="T141" s="306">
        <f t="array" ref="T141">T45-IF(T$8=1,IFERROR(INDEX('Expense Assumptions'!$F$82:$Q$82,MATCH((2000+VALUE(RIGHT(T$6,2))),'Expense Assumptions'!$F$21:$Q$21,0))*Scenarios!$B$7,0),0)</f>
        <v>0</v>
      </c>
      <c r="U141" s="301"/>
      <c r="V141" s="301"/>
      <c r="W141" s="301"/>
      <c r="X141" s="301"/>
      <c r="Y141" s="301"/>
      <c r="Z141" s="301"/>
    </row>
    <row r="142" spans="1:26" ht="15.75" customHeight="1">
      <c r="A142" s="296"/>
      <c r="B142" s="297"/>
      <c r="C142" s="305" t="s">
        <v>305</v>
      </c>
      <c r="D142" s="306">
        <f t="array" ref="D142">IF(SUMPRODUCT(ABS(G142:R142))&lt;1,0,SUMPRODUCT(ABS(G142:R142)))</f>
        <v>0</v>
      </c>
      <c r="E142" s="306"/>
      <c r="F142" s="306"/>
      <c r="G142" s="306">
        <f>G46-IF(G$8=1,Inputs!$E$403*(1+Inputs!$E$537)^((2000+VALUE(RIGHT(G$6,2)))-2028)*Scenarios!$B$7,0)</f>
        <v>0</v>
      </c>
      <c r="H142" s="306">
        <f>H46-IF(H$8=1,Inputs!$E$403*(1+Inputs!$E$537)^((2000+VALUE(RIGHT(H$6,2)))-2028)*Scenarios!$B$7,0)</f>
        <v>0</v>
      </c>
      <c r="I142" s="306">
        <f>I46-IF(I$8=1,Inputs!$E$403*(1+Inputs!$E$537)^((2000+VALUE(RIGHT(I$6,2)))-2028)*Scenarios!$B$7,0)</f>
        <v>0</v>
      </c>
      <c r="J142" s="306">
        <f>J46-IF(J$8=1,Inputs!$E$403*(1+Inputs!$E$537)^((2000+VALUE(RIGHT(J$6,2)))-2028)*Scenarios!$B$7,0)</f>
        <v>0</v>
      </c>
      <c r="K142" s="306">
        <f>K46-IF(K$8=1,Inputs!$E$403*(1+Inputs!$E$537)^((2000+VALUE(RIGHT(K$6,2)))-2028)*Scenarios!$B$7,0)</f>
        <v>0</v>
      </c>
      <c r="L142" s="306">
        <f>L46-IF(L$8=1,Inputs!$E$403*(1+Inputs!$E$537)^((2000+VALUE(RIGHT(L$6,2)))-2028)*Scenarios!$B$7,0)</f>
        <v>0</v>
      </c>
      <c r="M142" s="306">
        <f>M46-IF(M$8=1,Inputs!$E$403*(1+Inputs!$E$537)^((2000+VALUE(RIGHT(M$6,2)))-2028)*Scenarios!$B$7,0)</f>
        <v>0</v>
      </c>
      <c r="N142" s="306">
        <f>N46-IF(N$8=1,Inputs!$E$403*(1+Inputs!$E$537)^((2000+VALUE(RIGHT(N$6,2)))-2028)*Scenarios!$B$7,0)</f>
        <v>0</v>
      </c>
      <c r="O142" s="306">
        <f>O46-IF(O$8=1,Inputs!$E$403*(1+Inputs!$E$537)^((2000+VALUE(RIGHT(O$6,2)))-2028)*Scenarios!$B$7,0)</f>
        <v>0</v>
      </c>
      <c r="P142" s="306">
        <f>P46-IF(P$8=1,Inputs!$E$403*(1+Inputs!$E$537)^((2000+VALUE(RIGHT(P$6,2)))-2028)*Scenarios!$B$7,0)</f>
        <v>0</v>
      </c>
      <c r="Q142" s="306">
        <f>Q46-IF(Q$8=1,Inputs!$E$403*(1+Inputs!$E$537)^((2000+VALUE(RIGHT(Q$6,2)))-2028)*Scenarios!$B$7,0)</f>
        <v>0</v>
      </c>
      <c r="R142" s="306">
        <f>R46-IF(R$8=1,Inputs!$E$403*(1+Inputs!$E$537)^((2000+VALUE(RIGHT(R$6,2)))-2028)*Scenarios!$B$7,0)</f>
        <v>0</v>
      </c>
      <c r="S142" s="306">
        <f>S46-IF(S$8=1,Inputs!$E$403*(1+Inputs!$E$537)^((2000+VALUE(RIGHT(S$6,2)))-2028)*Scenarios!$B$7,0)</f>
        <v>0</v>
      </c>
      <c r="T142" s="306">
        <f>T46-IF(T$8=1,Inputs!$E$403*(1+Inputs!$E$537)^((2000+VALUE(RIGHT(T$6,2)))-2028)*Scenarios!$B$7,0)</f>
        <v>0</v>
      </c>
      <c r="U142" s="301"/>
      <c r="V142" s="301"/>
      <c r="W142" s="301"/>
      <c r="X142" s="301"/>
      <c r="Y142" s="301"/>
      <c r="Z142" s="301"/>
    </row>
    <row r="143" spans="1:26" ht="15.75" customHeight="1">
      <c r="A143" s="296"/>
      <c r="B143" s="297"/>
      <c r="C143" s="305" t="s">
        <v>309</v>
      </c>
      <c r="D143" s="306">
        <f t="array" ref="D143">IF(SUMPRODUCT(ABS(G143:R143))&lt;1,0,SUMPRODUCT(ABS(G143:R143)))</f>
        <v>0</v>
      </c>
      <c r="E143" s="306"/>
      <c r="F143" s="306"/>
      <c r="G143" s="306">
        <f>G48-IF(G$8=1,Inputs!$E$404*(1+Inputs!$E$535)^((2000+VALUE(RIGHT(G$6,2)))-2028)*Scenarios!$B$7,0)</f>
        <v>0</v>
      </c>
      <c r="H143" s="306">
        <f>H48-IF(H$8=1,Inputs!$E$404*(1+Inputs!$E$535)^((2000+VALUE(RIGHT(H$6,2)))-2028)*Scenarios!$B$7,0)</f>
        <v>0</v>
      </c>
      <c r="I143" s="306">
        <f>I48-IF(I$8=1,Inputs!$E$404*(1+Inputs!$E$535)^((2000+VALUE(RIGHT(I$6,2)))-2028)*Scenarios!$B$7,0)-'Expense Assumptions'!F55</f>
        <v>0</v>
      </c>
      <c r="J143" s="306">
        <f>J48-IF(J$8=1,Inputs!$E$404*(1+Inputs!$E$535)^((2000+VALUE(RIGHT(J$6,2)))-2028)*Scenarios!$B$7,0)</f>
        <v>0</v>
      </c>
      <c r="K143" s="306">
        <f>K48-IF(K$8=1,Inputs!$E$404*(1+Inputs!$E$535)^((2000+VALUE(RIGHT(K$6,2)))-2028)*Scenarios!$B$7,0)</f>
        <v>0</v>
      </c>
      <c r="L143" s="306">
        <f>L48-IF(L$8=1,Inputs!$E$404*(1+Inputs!$E$535)^((2000+VALUE(RIGHT(L$6,2)))-2028)*Scenarios!$B$7,0)</f>
        <v>0</v>
      </c>
      <c r="M143" s="306">
        <f>M48-IF(M$8=1,Inputs!$E$404*(1+Inputs!$E$535)^((2000+VALUE(RIGHT(M$6,2)))-2028)*Scenarios!$B$7,0)</f>
        <v>0</v>
      </c>
      <c r="N143" s="306">
        <f>N48-IF(N$8=1,Inputs!$E$404*(1+Inputs!$E$535)^((2000+VALUE(RIGHT(N$6,2)))-2028)*Scenarios!$B$7,0)</f>
        <v>0</v>
      </c>
      <c r="O143" s="306">
        <f>O48-IF(O$8=1,Inputs!$E$404*(1+Inputs!$E$535)^((2000+VALUE(RIGHT(O$6,2)))-2028)*Scenarios!$B$7,0)</f>
        <v>0</v>
      </c>
      <c r="P143" s="306">
        <f>P48-IF(P$8=1,Inputs!$E$404*(1+Inputs!$E$535)^((2000+VALUE(RIGHT(P$6,2)))-2028)*Scenarios!$B$7,0)</f>
        <v>0</v>
      </c>
      <c r="Q143" s="306">
        <f>Q48-IF(Q$8=1,Inputs!$E$404*(1+Inputs!$E$535)^((2000+VALUE(RIGHT(Q$6,2)))-2028)*Scenarios!$B$7,0)</f>
        <v>0</v>
      </c>
      <c r="R143" s="306">
        <f>R48-IF(R$8=1,Inputs!$E$404*(1+Inputs!$E$535)^((2000+VALUE(RIGHT(R$6,2)))-2028)*Scenarios!$B$7,0)</f>
        <v>0</v>
      </c>
      <c r="S143" s="306">
        <f>S48-IF(S$8=1,Inputs!$E$404*(1+Inputs!$E$535)^((2000+VALUE(RIGHT(S$6,2)))-2028)*Scenarios!$B$7,0)</f>
        <v>0</v>
      </c>
      <c r="T143" s="306">
        <f>T48-IF(T$8=1,Inputs!$E$404*(1+Inputs!$E$535)^((2000+VALUE(RIGHT(T$6,2)))-2028)*Scenarios!$B$7,0)</f>
        <v>0</v>
      </c>
      <c r="U143" s="301"/>
      <c r="V143" s="301"/>
      <c r="W143" s="301"/>
      <c r="X143" s="301"/>
      <c r="Y143" s="301"/>
      <c r="Z143" s="301"/>
    </row>
    <row r="144" spans="1:26" ht="15.75" customHeight="1">
      <c r="A144" s="296"/>
      <c r="B144" s="297"/>
      <c r="C144" s="305" t="s">
        <v>432</v>
      </c>
      <c r="D144" s="307">
        <f t="array" ref="D144">IF(SUMPRODUCT(ABS(G144:R144))&lt;1,0,SUMPRODUCT(ABS(G144:R144)))</f>
        <v>0</v>
      </c>
      <c r="E144" s="307"/>
      <c r="F144" s="307"/>
      <c r="G144" s="307">
        <f t="array" ref="G144">G62-IF(G$8=1,IFERROR(INDEX('Expense Assumptions'!$F$113:$Q$113,MATCH((2000+VALUE(RIGHT(G$6,2))-1),'Expense Assumptions'!$F$21:$Q$21,0))*Scenarios!$B$7,0),0)</f>
        <v>0</v>
      </c>
      <c r="H144" s="307">
        <f t="array" ref="H144">H62-IF(H$8=1,IFERROR(INDEX('Expense Assumptions'!$F$113:$Q$113,MATCH((2000+VALUE(RIGHT(H$6,2))-1),'Expense Assumptions'!$F$21:$Q$21,0))*Scenarios!$B$7,0),0)</f>
        <v>0</v>
      </c>
      <c r="I144" s="307">
        <f t="array" ref="I144">I62-IF(I$8=1,IFERROR(INDEX('Expense Assumptions'!$F$113:$Q$113,MATCH((2000+VALUE(RIGHT(I$6,2))-1),'Expense Assumptions'!$F$21:$Q$21,0))*Scenarios!$B$7,0),0)-'Expense Assumptions'!F56</f>
        <v>0</v>
      </c>
      <c r="J144" s="307">
        <f t="array" ref="J144">J62-IF(J$8=1,IFERROR(INDEX('Expense Assumptions'!$F$113:$Q$113,MATCH((2000+VALUE(RIGHT(J$6,2))),'Expense Assumptions'!$F$21:$Q$21,0))*Scenarios!$B$7,0),0)</f>
        <v>0</v>
      </c>
      <c r="K144" s="307">
        <f t="array" ref="K144">K62-IF(K$8=1,IFERROR(INDEX('Expense Assumptions'!$F$113:$Q$113,MATCH((2000+VALUE(RIGHT(K$6,2))),'Expense Assumptions'!$F$21:$Q$21,0))*Scenarios!$B$7,0),0)</f>
        <v>0</v>
      </c>
      <c r="L144" s="307">
        <f t="array" ref="L144">L62-IF(L$8=1,IFERROR(INDEX('Expense Assumptions'!$F$113:$Q$113,MATCH((2000+VALUE(RIGHT(L$6,2))),'Expense Assumptions'!$F$21:$Q$21,0))*Scenarios!$B$7,0),0)</f>
        <v>0</v>
      </c>
      <c r="M144" s="307">
        <f t="array" ref="M144">M62-IF(M$8=1,IFERROR(INDEX('Expense Assumptions'!$F$113:$Q$113,MATCH((2000+VALUE(RIGHT(M$6,2))),'Expense Assumptions'!$F$21:$Q$21,0))*Scenarios!$B$7,0),0)</f>
        <v>0</v>
      </c>
      <c r="N144" s="307">
        <f t="array" ref="N144">N62-IF(N$8=1,IFERROR(INDEX('Expense Assumptions'!$F$113:$Q$113,MATCH((2000+VALUE(RIGHT(N$6,2))),'Expense Assumptions'!$F$21:$Q$21,0))*Scenarios!$B$7,0),0)</f>
        <v>0</v>
      </c>
      <c r="O144" s="307">
        <f t="array" ref="O144">O62-IF(O$8=1,IFERROR(INDEX('Expense Assumptions'!$F$113:$Q$113,MATCH((2000+VALUE(RIGHT(O$6,2))),'Expense Assumptions'!$F$21:$Q$21,0))*Scenarios!$B$7,0),0)</f>
        <v>0</v>
      </c>
      <c r="P144" s="307">
        <f t="array" ref="P144">P62-IF(P$8=1,IFERROR(INDEX('Expense Assumptions'!$F$113:$Q$113,MATCH((2000+VALUE(RIGHT(P$6,2))),'Expense Assumptions'!$F$21:$Q$21,0))*Scenarios!$B$7,0),0)</f>
        <v>0</v>
      </c>
      <c r="Q144" s="307">
        <f t="array" ref="Q144">Q62-IF(Q$8=1,IFERROR(INDEX('Expense Assumptions'!$F$113:$Q$113,MATCH((2000+VALUE(RIGHT(Q$6,2))),'Expense Assumptions'!$F$21:$Q$21,0))*Scenarios!$B$7,0),0)</f>
        <v>0</v>
      </c>
      <c r="R144" s="307">
        <f t="array" ref="R144">R62-IF(R$8=1,IFERROR(INDEX('Expense Assumptions'!$F$113:$Q$113,MATCH((2000+VALUE(RIGHT(R$6,2))),'Expense Assumptions'!$F$21:$Q$21,0))*Scenarios!$B$7,0),0)</f>
        <v>0</v>
      </c>
      <c r="S144" s="307">
        <f t="array" ref="S144">S62-IF(S$8=1,IFERROR(INDEX('Expense Assumptions'!$F$113:$Q$113,MATCH((2000+VALUE(RIGHT(S$6,2))),'Expense Assumptions'!$F$21:$Q$21,0))*Scenarios!$B$7,0),0)</f>
        <v>0</v>
      </c>
      <c r="T144" s="307">
        <f t="array" ref="T144">T62-IF(T$8=1,IFERROR(INDEX('Expense Assumptions'!$F$113:$Q$113,MATCH((2000+VALUE(RIGHT(T$6,2))),'Expense Assumptions'!$F$21:$Q$21,0))*Scenarios!$B$7,0),0)</f>
        <v>0</v>
      </c>
      <c r="U144" s="301"/>
      <c r="V144" s="301"/>
      <c r="W144" s="301"/>
      <c r="X144" s="301"/>
      <c r="Y144" s="301"/>
      <c r="Z144" s="301"/>
    </row>
    <row r="145" spans="1:26" ht="15.75" customHeight="1">
      <c r="A145" s="296"/>
      <c r="B145" s="297"/>
      <c r="C145" s="305" t="s">
        <v>485</v>
      </c>
      <c r="D145" s="307">
        <f t="array" ref="D145">IF(SUMPRODUCT(ABS(G145:R145))&lt;1,0,SUMPRODUCT(ABS(G145:R145)))</f>
        <v>0</v>
      </c>
      <c r="E145" s="307"/>
      <c r="F145" s="307"/>
      <c r="G145" s="307">
        <f>G60-IF(G$8=1,Inputs!$E$406*(1+Inputs!$E$535)^((2000+VALUE(RIGHT(G$6,2)))-2028)*Scenarios!$B$7,0)</f>
        <v>0</v>
      </c>
      <c r="H145" s="307">
        <f>H60-IF(H$8=1,Inputs!$E$406*(1+Inputs!$E$535)^((2000+VALUE(RIGHT(H$6,2)))-2028)*Scenarios!$B$7,0)</f>
        <v>0</v>
      </c>
      <c r="I145" s="307">
        <f>I60-IF(I$8=1,Inputs!$E$406*(1+Inputs!$E$535)^((2000+VALUE(RIGHT(I$6,2)))-2028)*Scenarios!$B$7,0)-'Expense Assumptions'!F54</f>
        <v>0</v>
      </c>
      <c r="J145" s="307">
        <f>J60-IF(J$8=1,Inputs!$E$406*(1+Inputs!$E$535)^((2000+VALUE(RIGHT(J$6,2)))-2028)*Scenarios!$B$7,0)</f>
        <v>0</v>
      </c>
      <c r="K145" s="307">
        <f>K60-IF(K$8=1,Inputs!$E$406*(1+Inputs!$E$535)^((2000+VALUE(RIGHT(K$6,2)))-2028)*Scenarios!$B$7,0)</f>
        <v>0</v>
      </c>
      <c r="L145" s="307">
        <f>L60-IF(L$8=1,Inputs!$E$406*(1+Inputs!$E$535)^((2000+VALUE(RIGHT(L$6,2)))-2028)*Scenarios!$B$7,0)</f>
        <v>0</v>
      </c>
      <c r="M145" s="307">
        <f>M60-IF(M$8=1,Inputs!$E$406*(1+Inputs!$E$535)^((2000+VALUE(RIGHT(M$6,2)))-2028)*Scenarios!$B$7,0)</f>
        <v>0</v>
      </c>
      <c r="N145" s="307">
        <f>N60-IF(N$8=1,Inputs!$E$406*(1+Inputs!$E$535)^((2000+VALUE(RIGHT(N$6,2)))-2028)*Scenarios!$B$7,0)</f>
        <v>0</v>
      </c>
      <c r="O145" s="307">
        <f>O60-IF(O$8=1,Inputs!$E$406*(1+Inputs!$E$535)^((2000+VALUE(RIGHT(O$6,2)))-2028)*Scenarios!$B$7,0)</f>
        <v>0</v>
      </c>
      <c r="P145" s="307">
        <f>P60-IF(P$8=1,Inputs!$E$406*(1+Inputs!$E$535)^((2000+VALUE(RIGHT(P$6,2)))-2028)*Scenarios!$B$7,0)</f>
        <v>0</v>
      </c>
      <c r="Q145" s="307">
        <f>Q60-IF(Q$8=1,Inputs!$E$406*(1+Inputs!$E$535)^((2000+VALUE(RIGHT(Q$6,2)))-2028)*Scenarios!$B$7,0)</f>
        <v>0</v>
      </c>
      <c r="R145" s="307">
        <f>R60-IF(R$8=1,Inputs!$E$406*(1+Inputs!$E$535)^((2000+VALUE(RIGHT(R$6,2)))-2028)*Scenarios!$B$7,0)</f>
        <v>0</v>
      </c>
      <c r="S145" s="307">
        <f>S60-IF(S$8=1,Inputs!$E$406*(1+Inputs!$E$535)^((2000+VALUE(RIGHT(S$6,2)))-2028)*Scenarios!$B$7,0)</f>
        <v>0</v>
      </c>
      <c r="T145" s="307">
        <f>T60-IF(T$8=1,Inputs!$E$406*(1+Inputs!$E$535)^((2000+VALUE(RIGHT(T$6,2)))-2028)*Scenarios!$B$7,0)</f>
        <v>0</v>
      </c>
      <c r="U145" s="301"/>
      <c r="V145" s="301"/>
      <c r="W145" s="301"/>
      <c r="X145" s="301"/>
      <c r="Y145" s="301"/>
      <c r="Z145" s="301"/>
    </row>
    <row r="146" spans="1:26" ht="15.75" customHeight="1">
      <c r="A146" s="296"/>
      <c r="B146" s="297"/>
      <c r="C146" s="305" t="s">
        <v>431</v>
      </c>
      <c r="D146" s="307">
        <f t="array" ref="D146">IF(SUMPRODUCT(ABS(G146:R146))&lt;1,0,SUMPRODUCT(ABS(G146:R146)))</f>
        <v>0</v>
      </c>
      <c r="E146" s="307"/>
      <c r="F146" s="307"/>
      <c r="G146" s="307">
        <f>G61-IF(G$8=1,Inputs!$E$406*(1+Inputs!$E$535)^((2000+VALUE(RIGHT(G$6,2)))-2028)*Scenarios!$B$7,0)</f>
        <v>0</v>
      </c>
      <c r="H146" s="307">
        <f>H61-IF(H$8=1,Inputs!$E$406*(1+Inputs!$E$535)^((2000+VALUE(RIGHT(H$6,2)))-2028)*Scenarios!$B$7,0)</f>
        <v>0</v>
      </c>
      <c r="I146" s="307">
        <f>I61-IF(I$8=1,Inputs!$E$406*(1+Inputs!$E$535)^((2000+VALUE(RIGHT(I$6,2)))-2028)*Scenarios!$B$7,0)</f>
        <v>0</v>
      </c>
      <c r="J146" s="307">
        <f>'Expense Assumptions'!G104-J61</f>
        <v>0</v>
      </c>
      <c r="K146" s="307">
        <f>'Expense Assumptions'!H104-K61</f>
        <v>0</v>
      </c>
      <c r="L146" s="307">
        <f>'Expense Assumptions'!I104-L61</f>
        <v>0</v>
      </c>
      <c r="M146" s="307">
        <f>'Expense Assumptions'!J104-M61</f>
        <v>0</v>
      </c>
      <c r="N146" s="307">
        <f>'Expense Assumptions'!K104-N61</f>
        <v>0</v>
      </c>
      <c r="O146" s="307">
        <f>'Expense Assumptions'!L104-O61</f>
        <v>0</v>
      </c>
      <c r="P146" s="307">
        <f>'Expense Assumptions'!M104-P61</f>
        <v>0</v>
      </c>
      <c r="Q146" s="307">
        <f>'Expense Assumptions'!N104-Q61</f>
        <v>0</v>
      </c>
      <c r="R146" s="307">
        <f>'Expense Assumptions'!O104-R61</f>
        <v>0</v>
      </c>
      <c r="S146" s="307">
        <f>'Expense Assumptions'!P104-S61</f>
        <v>0</v>
      </c>
      <c r="T146" s="307">
        <f>'Expense Assumptions'!Q104-T61</f>
        <v>0</v>
      </c>
      <c r="U146" s="301"/>
      <c r="V146" s="301"/>
      <c r="W146" s="301"/>
      <c r="X146" s="301"/>
      <c r="Y146" s="301"/>
      <c r="Z146" s="301"/>
    </row>
    <row r="147" spans="1:26" ht="15.75" customHeight="1">
      <c r="A147" s="296"/>
      <c r="B147" s="297"/>
      <c r="C147" s="305" t="s">
        <v>486</v>
      </c>
      <c r="D147" s="307">
        <f t="array" ref="D147">IF(SUMPRODUCT(ABS(G147:R147))&lt;1,0,SUMPRODUCT(ABS(G147:R147)))</f>
        <v>0</v>
      </c>
      <c r="E147" s="307"/>
      <c r="F147" s="307"/>
      <c r="G147" s="307">
        <f>G55-IF(G$8=1,Inputs!$E$352*G24,0)</f>
        <v>0</v>
      </c>
      <c r="H147" s="307">
        <f>H55-IF(H$8=1,Inputs!$E$352*H24,0)</f>
        <v>0</v>
      </c>
      <c r="I147" s="307">
        <f>I55-IF(I$8=1,Inputs!$E$352*I24,0)</f>
        <v>0</v>
      </c>
      <c r="J147" s="307">
        <f>J55-IF(J$8=1,Inputs!$E$352*J24,0)</f>
        <v>0</v>
      </c>
      <c r="K147" s="307">
        <f>K55-IF(K$8=1,Inputs!$E$352*K24,0)</f>
        <v>0</v>
      </c>
      <c r="L147" s="307">
        <f>L55-IF(L$8=1,Inputs!$E$352*L24,0)</f>
        <v>0</v>
      </c>
      <c r="M147" s="307">
        <f>M55-IF(M$8=1,Inputs!$E$352*M24,0)</f>
        <v>0</v>
      </c>
      <c r="N147" s="307">
        <f>N55-IF(N$8=1,Inputs!$E$352*N24,0)</f>
        <v>0</v>
      </c>
      <c r="O147" s="307">
        <f>O55-IF(O$8=1,Inputs!$E$352*O24,0)</f>
        <v>0</v>
      </c>
      <c r="P147" s="307">
        <f>P55-IF(P$8=1,Inputs!$E$352*P24,0)</f>
        <v>0</v>
      </c>
      <c r="Q147" s="307">
        <f>Q55-IF(Q$8=1,Inputs!$E$352*Q24,0)</f>
        <v>0</v>
      </c>
      <c r="R147" s="307">
        <f>R55-IF(R$8=1,Inputs!$E$352*R24,0)</f>
        <v>0</v>
      </c>
      <c r="S147" s="307">
        <f>S55-IF(S$8=1,Inputs!$E$352*S24,0)</f>
        <v>0</v>
      </c>
      <c r="T147" s="307">
        <f>T55-IF(T$8=1,Inputs!$E$352*T24,0)</f>
        <v>0</v>
      </c>
      <c r="U147" s="301"/>
      <c r="V147" s="301"/>
      <c r="W147" s="301"/>
      <c r="X147" s="301"/>
      <c r="Y147" s="301"/>
      <c r="Z147" s="301"/>
    </row>
    <row r="148" spans="1:26" ht="15.75" customHeight="1">
      <c r="A148" s="296"/>
      <c r="B148" s="297"/>
      <c r="C148" s="305" t="s">
        <v>487</v>
      </c>
      <c r="D148" s="307">
        <f t="array" ref="D148">IF(SUMPRODUCT(ABS(G148:R148))&lt;1,0,SUMPRODUCT(ABS(G148:R148)))</f>
        <v>0</v>
      </c>
      <c r="E148" s="307"/>
      <c r="F148" s="307"/>
      <c r="G148" s="307">
        <f>G56-IF(G$8=1,Inputs!$E$353*G24,0)</f>
        <v>0</v>
      </c>
      <c r="H148" s="307">
        <f>H56-IF(H$8=1,Inputs!$E$353*H24,0)</f>
        <v>0</v>
      </c>
      <c r="I148" s="307">
        <f>I56-IF(I$8=1,Inputs!$E$353*I24,0)</f>
        <v>0</v>
      </c>
      <c r="J148" s="307">
        <f>J56-IF(J$8=1,Inputs!$E$353*J24,0)</f>
        <v>0</v>
      </c>
      <c r="K148" s="307">
        <f>K56-IF(K$8=1,Inputs!$E$353*K24,0)</f>
        <v>0</v>
      </c>
      <c r="L148" s="307">
        <f>L56-IF(L$8=1,Inputs!$E$353*L24,0)</f>
        <v>0</v>
      </c>
      <c r="M148" s="307">
        <f>M56-IF(M$8=1,Inputs!$E$353*M24,0)</f>
        <v>0</v>
      </c>
      <c r="N148" s="307">
        <f>N56-IF(N$8=1,Inputs!$E$353*N24,0)</f>
        <v>0</v>
      </c>
      <c r="O148" s="307">
        <f>O56-IF(O$8=1,Inputs!$E$353*O24,0)</f>
        <v>0</v>
      </c>
      <c r="P148" s="307">
        <f>P56-IF(P$8=1,Inputs!$E$353*P24,0)</f>
        <v>0</v>
      </c>
      <c r="Q148" s="307">
        <f>Q56-IF(Q$8=1,Inputs!$E$353*Q24,0)</f>
        <v>0</v>
      </c>
      <c r="R148" s="307">
        <f>R56-IF(R$8=1,Inputs!$E$353*R24,0)</f>
        <v>0</v>
      </c>
      <c r="S148" s="307">
        <f>S56-IF(S$8=1,Inputs!$E$353*S24,0)</f>
        <v>0</v>
      </c>
      <c r="T148" s="307">
        <f>T56-IF(T$8=1,Inputs!$E$353*T24,0)</f>
        <v>0</v>
      </c>
      <c r="U148" s="301"/>
      <c r="V148" s="301"/>
      <c r="W148" s="301"/>
      <c r="X148" s="301"/>
      <c r="Y148" s="301"/>
      <c r="Z148" s="301"/>
    </row>
    <row r="149" spans="1:26" ht="15.75" customHeight="1">
      <c r="A149" s="296"/>
      <c r="B149" s="297"/>
      <c r="C149" s="305" t="s">
        <v>488</v>
      </c>
      <c r="D149" s="307">
        <f t="array" ref="D149">IF(SUMPRODUCT(ABS(G149:R149))&lt;1,0,SUMPRODUCT(ABS(G149:R149)))</f>
        <v>0</v>
      </c>
      <c r="E149" s="307"/>
      <c r="F149" s="307"/>
      <c r="G149" s="307">
        <f>G63-IF(G$8=1,G28*Inputs!$E$460*Scenarios!$B$7,0)</f>
        <v>0</v>
      </c>
      <c r="H149" s="307">
        <f>H63-IF(H$8=1,H28*Inputs!$E$460*Scenarios!$B$7,0)</f>
        <v>0</v>
      </c>
      <c r="I149" s="307">
        <f>I63-IF(I$8=1,I28*Inputs!$E$460*Scenarios!$B$7,0)</f>
        <v>0</v>
      </c>
      <c r="J149" s="307">
        <f>J63-IF(J$8=1,J28*Inputs!$E$460*Scenarios!$B$7,0)</f>
        <v>0</v>
      </c>
      <c r="K149" s="307">
        <f>K63-IF(K$8=1,K28*Inputs!$E$460*Scenarios!$B$7,0)</f>
        <v>0</v>
      </c>
      <c r="L149" s="307">
        <f>L63-IF(L$8=1,L28*Inputs!$E$460*Scenarios!$B$7,0)</f>
        <v>0</v>
      </c>
      <c r="M149" s="307">
        <f>M63-IF(M$8=1,M28*Inputs!$E$460*Scenarios!$B$7,0)</f>
        <v>0</v>
      </c>
      <c r="N149" s="307">
        <f>N63-IF(N$8=1,N28*Inputs!$E$460*Scenarios!$B$7,0)</f>
        <v>0</v>
      </c>
      <c r="O149" s="307">
        <f>O63-IF(O$8=1,O28*Inputs!$E$460*Scenarios!$B$7,0)</f>
        <v>0</v>
      </c>
      <c r="P149" s="307">
        <f>P63-IF(P$8=1,P28*Inputs!$E$460*Scenarios!$B$7,0)</f>
        <v>0</v>
      </c>
      <c r="Q149" s="307">
        <f>Q63-IF(Q$8=1,Q28*Inputs!$E$460*Scenarios!$B$7,0)</f>
        <v>0</v>
      </c>
      <c r="R149" s="307">
        <f>R63-IF(R$8=1,R28*Inputs!$E$460*Scenarios!$B$7,0)</f>
        <v>0</v>
      </c>
      <c r="S149" s="307">
        <f>S63-IF(S$8=1,S28*Inputs!$E$460*Scenarios!$B$7,0)</f>
        <v>0</v>
      </c>
      <c r="T149" s="307">
        <f>T63-IF(T$8=1,T28*Inputs!$E$460*Scenarios!$B$7,0)</f>
        <v>0</v>
      </c>
      <c r="U149" s="301"/>
      <c r="V149" s="301"/>
      <c r="W149" s="301"/>
      <c r="X149" s="301"/>
      <c r="Y149" s="301"/>
      <c r="Z149" s="301"/>
    </row>
    <row r="150" spans="1:26" ht="15.75" customHeight="1">
      <c r="A150" s="296"/>
      <c r="B150" s="297"/>
      <c r="C150" s="305" t="s">
        <v>439</v>
      </c>
      <c r="D150" s="307">
        <f t="array" ref="D150">IF(SUMPRODUCT(ABS(G150:R150))&lt;1,0,SUMPRODUCT(ABS(G150:R150)))</f>
        <v>0</v>
      </c>
      <c r="E150" s="307"/>
      <c r="F150" s="307"/>
      <c r="G150" s="307">
        <f>G70-IF(G$8=1,Inputs!$E$461*(G68+G69),0)</f>
        <v>0</v>
      </c>
      <c r="H150" s="307">
        <f>H70-IF(H$8=1,Inputs!$E$461*(H68+H69),0)</f>
        <v>0</v>
      </c>
      <c r="I150" s="307">
        <f>I70-IF(I$8=1,Inputs!$E$461*(I68+I69),0)</f>
        <v>0</v>
      </c>
      <c r="J150" s="307">
        <f>J70-IF(J8=1,Inputs!$E$461*(J68+J69),0)</f>
        <v>0</v>
      </c>
      <c r="K150" s="307">
        <f>K70-IF(K8=1,Inputs!$E$461*(K68+K69),0)</f>
        <v>0</v>
      </c>
      <c r="L150" s="307">
        <f>L70-IF(L8=1,Inputs!$E$461*(L68+L69),0)</f>
        <v>0</v>
      </c>
      <c r="M150" s="307">
        <f>M70-IF(M8=1,Inputs!$E$461*(M68+M69),0)</f>
        <v>0</v>
      </c>
      <c r="N150" s="307">
        <f>N70-IF(N8=1,Inputs!$E$461*(N68+N69),0)</f>
        <v>0</v>
      </c>
      <c r="O150" s="307">
        <f>O70-IF(O8=1,Inputs!$E$461*(O68+O69),0)</f>
        <v>0</v>
      </c>
      <c r="P150" s="307">
        <f>P70-IF(P8=1,Inputs!$E$461*(P68+P69),0)</f>
        <v>0</v>
      </c>
      <c r="Q150" s="307">
        <f>Q70-IF(Q8=1,Inputs!$E$461*(Q68+Q69),0)</f>
        <v>0</v>
      </c>
      <c r="R150" s="307">
        <f>R70-IF(R8=1,Inputs!$E$461*(R68+R69),0)</f>
        <v>0</v>
      </c>
      <c r="S150" s="307">
        <f>S70-IF(S8=1,Inputs!$E$461*(S68+S69),0)</f>
        <v>0</v>
      </c>
      <c r="T150" s="307">
        <f>T70-IF(T8=1,Inputs!$E$461*(T68+T69),0)</f>
        <v>0</v>
      </c>
      <c r="U150" s="301"/>
      <c r="V150" s="301"/>
      <c r="W150" s="301"/>
      <c r="X150" s="301"/>
      <c r="Y150" s="301"/>
      <c r="Z150" s="301"/>
    </row>
    <row r="151" spans="1:26" ht="15.75" customHeight="1">
      <c r="A151" s="296"/>
      <c r="B151" s="302" t="s">
        <v>489</v>
      </c>
      <c r="C151" s="303"/>
      <c r="D151" s="303"/>
      <c r="E151" s="303"/>
      <c r="F151" s="303"/>
      <c r="G151" s="303"/>
      <c r="H151" s="303"/>
      <c r="I151" s="303"/>
      <c r="J151" s="303"/>
      <c r="K151" s="303"/>
      <c r="L151" s="303"/>
      <c r="M151" s="303"/>
      <c r="N151" s="303"/>
      <c r="O151" s="303"/>
      <c r="P151" s="303"/>
      <c r="Q151" s="303"/>
      <c r="R151" s="303"/>
      <c r="S151" s="304"/>
      <c r="T151" s="304"/>
      <c r="U151" s="301"/>
      <c r="V151" s="301"/>
      <c r="W151" s="301"/>
      <c r="X151" s="301"/>
      <c r="Y151" s="301"/>
      <c r="Z151" s="301"/>
    </row>
    <row r="152" spans="1:26" ht="15.75" customHeight="1">
      <c r="A152" s="301"/>
      <c r="B152" s="311"/>
      <c r="C152" s="312" t="s">
        <v>356</v>
      </c>
      <c r="D152" s="311"/>
      <c r="E152" s="311"/>
      <c r="F152" s="311"/>
      <c r="G152" s="311"/>
      <c r="H152" s="313">
        <f t="shared" ref="H152:T152" si="32">H74+H35+H77-H58-H59</f>
        <v>0</v>
      </c>
      <c r="I152" s="313">
        <f t="shared" si="32"/>
        <v>920383.09</v>
      </c>
      <c r="J152" s="313">
        <f t="shared" si="32"/>
        <v>8531980.2332712486</v>
      </c>
      <c r="K152" s="313">
        <f t="shared" si="32"/>
        <v>9023210.4300282653</v>
      </c>
      <c r="L152" s="313">
        <f t="shared" si="32"/>
        <v>9402844.5404857527</v>
      </c>
      <c r="M152" s="313">
        <f t="shared" si="32"/>
        <v>9702415.8948519882</v>
      </c>
      <c r="N152" s="313">
        <f t="shared" si="32"/>
        <v>9954966.0079964865</v>
      </c>
      <c r="O152" s="313">
        <f t="shared" si="32"/>
        <v>10284660.126351487</v>
      </c>
      <c r="P152" s="313">
        <f t="shared" si="32"/>
        <v>10646402.948321987</v>
      </c>
      <c r="Q152" s="313">
        <f t="shared" si="32"/>
        <v>10926347.830098007</v>
      </c>
      <c r="R152" s="313">
        <f t="shared" si="32"/>
        <v>11214704.157573851</v>
      </c>
      <c r="S152" s="313">
        <f t="shared" si="32"/>
        <v>11603059.136356089</v>
      </c>
      <c r="T152" s="313">
        <f t="shared" si="32"/>
        <v>11139414.42710915</v>
      </c>
      <c r="U152" s="301"/>
      <c r="V152" s="301"/>
      <c r="W152" s="301"/>
      <c r="X152" s="301"/>
      <c r="Y152" s="301"/>
      <c r="Z152" s="301"/>
    </row>
    <row r="153" spans="1:26" ht="15.75" customHeight="1">
      <c r="A153" s="301"/>
      <c r="B153" s="311"/>
      <c r="C153" s="312" t="s">
        <v>490</v>
      </c>
      <c r="D153" s="311"/>
      <c r="E153" s="311"/>
      <c r="F153" s="311"/>
      <c r="G153" s="311"/>
      <c r="H153" s="314">
        <f>Cashflow!E29</f>
        <v>0</v>
      </c>
      <c r="I153" s="314">
        <f>Cashflow!F29</f>
        <v>-920383.09</v>
      </c>
      <c r="J153" s="314">
        <f>Cashflow!G29</f>
        <v>-8531980.2332712486</v>
      </c>
      <c r="K153" s="314">
        <f>Cashflow!H29</f>
        <v>-9023210.4300282653</v>
      </c>
      <c r="L153" s="314">
        <f>Cashflow!I29</f>
        <v>-9402844.5404857527</v>
      </c>
      <c r="M153" s="314">
        <f>Cashflow!J29</f>
        <v>-9702415.8948519863</v>
      </c>
      <c r="N153" s="314">
        <f>Cashflow!K29</f>
        <v>-9954966.0079964846</v>
      </c>
      <c r="O153" s="314">
        <f>Cashflow!L29</f>
        <v>-10284660.126351487</v>
      </c>
      <c r="P153" s="314">
        <f>Cashflow!M29</f>
        <v>-10646402.948321987</v>
      </c>
      <c r="Q153" s="314">
        <f>Cashflow!N29</f>
        <v>-10926347.830098007</v>
      </c>
      <c r="R153" s="314">
        <f>Cashflow!O29</f>
        <v>-11214704.157573851</v>
      </c>
      <c r="S153" s="314">
        <f>Cashflow!P29</f>
        <v>-11603059.136356089</v>
      </c>
      <c r="T153" s="314">
        <f>Cashflow!Q29</f>
        <v>-11139414.42710915</v>
      </c>
      <c r="U153" s="301"/>
      <c r="V153" s="301"/>
      <c r="W153" s="301"/>
      <c r="X153" s="301"/>
      <c r="Y153" s="301"/>
      <c r="Z153" s="301"/>
    </row>
    <row r="154" spans="1:26" ht="15.75" customHeight="1">
      <c r="A154" s="301"/>
      <c r="B154" s="311"/>
      <c r="C154" s="312" t="s">
        <v>491</v>
      </c>
      <c r="D154" s="311"/>
      <c r="E154" s="311"/>
      <c r="F154" s="311"/>
      <c r="G154" s="311"/>
      <c r="H154" s="313">
        <f t="shared" ref="H154:T154" si="33">H152+H153</f>
        <v>0</v>
      </c>
      <c r="I154" s="313">
        <f t="shared" si="33"/>
        <v>0</v>
      </c>
      <c r="J154" s="313">
        <f t="shared" si="33"/>
        <v>0</v>
      </c>
      <c r="K154" s="313">
        <f t="shared" si="33"/>
        <v>0</v>
      </c>
      <c r="L154" s="313">
        <f t="shared" si="33"/>
        <v>0</v>
      </c>
      <c r="M154" s="313">
        <f t="shared" si="33"/>
        <v>0</v>
      </c>
      <c r="N154" s="313">
        <f t="shared" si="33"/>
        <v>0</v>
      </c>
      <c r="O154" s="313">
        <f t="shared" si="33"/>
        <v>0</v>
      </c>
      <c r="P154" s="313">
        <f t="shared" si="33"/>
        <v>0</v>
      </c>
      <c r="Q154" s="313">
        <f t="shared" si="33"/>
        <v>0</v>
      </c>
      <c r="R154" s="313">
        <f t="shared" si="33"/>
        <v>0</v>
      </c>
      <c r="S154" s="313">
        <f t="shared" si="33"/>
        <v>0</v>
      </c>
      <c r="T154" s="313">
        <f t="shared" si="33"/>
        <v>0</v>
      </c>
      <c r="U154" s="301"/>
      <c r="V154" s="301"/>
      <c r="W154" s="301"/>
      <c r="X154" s="301"/>
      <c r="Y154" s="301"/>
      <c r="Z154" s="301"/>
    </row>
    <row r="155" spans="1:26" ht="15.75" customHeight="1">
      <c r="A155" s="301"/>
      <c r="B155" s="301"/>
      <c r="C155" s="301"/>
      <c r="D155" s="301"/>
      <c r="E155" s="301"/>
      <c r="F155" s="301"/>
      <c r="G155" s="301"/>
      <c r="H155" s="301"/>
      <c r="I155" s="301"/>
      <c r="J155" s="301"/>
      <c r="K155" s="301"/>
      <c r="L155" s="301"/>
      <c r="M155" s="301"/>
      <c r="N155" s="301"/>
      <c r="O155" s="301"/>
      <c r="P155" s="301"/>
      <c r="Q155" s="301"/>
      <c r="R155" s="301"/>
      <c r="S155" s="301"/>
      <c r="T155" s="301"/>
      <c r="U155" s="301"/>
      <c r="V155" s="301"/>
      <c r="W155" s="301"/>
      <c r="X155" s="301"/>
      <c r="Y155" s="301"/>
      <c r="Z155" s="301"/>
    </row>
    <row r="156" spans="1:26" ht="15.75" customHeight="1">
      <c r="A156" s="301"/>
      <c r="B156" s="301"/>
      <c r="C156" s="301"/>
      <c r="D156" s="301"/>
      <c r="E156" s="301"/>
      <c r="F156" s="301"/>
      <c r="G156" s="301"/>
      <c r="H156" s="301"/>
      <c r="I156" s="301"/>
      <c r="J156" s="301"/>
      <c r="K156" s="301"/>
      <c r="L156" s="301"/>
      <c r="M156" s="301"/>
      <c r="N156" s="301"/>
      <c r="O156" s="301"/>
      <c r="P156" s="301"/>
      <c r="Q156" s="301"/>
      <c r="R156" s="301"/>
      <c r="S156" s="301"/>
      <c r="T156" s="301"/>
      <c r="U156" s="301"/>
      <c r="V156" s="301"/>
      <c r="W156" s="301"/>
      <c r="X156" s="301"/>
      <c r="Y156" s="301"/>
      <c r="Z156" s="301"/>
    </row>
    <row r="157" spans="1:26" ht="15.75" customHeight="1">
      <c r="A157" s="301"/>
      <c r="B157" s="301"/>
      <c r="C157" s="301"/>
      <c r="D157" s="301"/>
      <c r="E157" s="301"/>
      <c r="F157" s="301"/>
      <c r="G157" s="301"/>
      <c r="H157" s="301"/>
      <c r="I157" s="301"/>
      <c r="J157" s="301"/>
      <c r="K157" s="301"/>
      <c r="L157" s="301"/>
      <c r="M157" s="301"/>
      <c r="N157" s="301"/>
      <c r="O157" s="301"/>
      <c r="P157" s="301"/>
      <c r="Q157" s="301"/>
      <c r="R157" s="301"/>
      <c r="S157" s="301"/>
      <c r="T157" s="301"/>
      <c r="U157" s="301"/>
      <c r="V157" s="301"/>
      <c r="W157" s="301"/>
      <c r="X157" s="301"/>
      <c r="Y157" s="301"/>
      <c r="Z157" s="301"/>
    </row>
    <row r="158" spans="1:26" ht="15.75" customHeight="1"/>
    <row r="159" spans="1:26" ht="15.75" customHeight="1"/>
    <row r="160" spans="1:26"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conditionalFormatting sqref="D122:T130 D132:T134 D136:T139 D141:T150">
    <cfRule type="expression" dxfId="4" priority="1">
      <formula>AND(ISNUMBER(D122),ABS(D122)&gt;=1)</formula>
    </cfRule>
  </conditionalFormatting>
  <pageMargins left="0.25" right="0.25" top="0.35" bottom="0.35" header="0" footer="0"/>
  <pageSetup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6E0B4"/>
    <pageSetUpPr fitToPage="1"/>
  </sheetPr>
  <dimension ref="A1:Z1002"/>
  <sheetViews>
    <sheetView showGridLines="0" workbookViewId="0">
      <pane xSplit="5" ySplit="6" topLeftCell="F7" activePane="bottomRight" state="frozen"/>
      <selection pane="topRight" activeCell="F1" sqref="F1"/>
      <selection pane="bottomLeft" activeCell="A7" sqref="A7"/>
      <selection pane="bottomRight" activeCell="F7" sqref="F7"/>
    </sheetView>
  </sheetViews>
  <sheetFormatPr defaultColWidth="12.6328125" defaultRowHeight="15" customHeight="1"/>
  <cols>
    <col min="1" max="1" width="8.6328125" customWidth="1"/>
    <col min="2" max="2" width="3.453125" customWidth="1"/>
    <col min="3" max="3" width="2.6328125" customWidth="1"/>
    <col min="4" max="4" width="38" customWidth="1"/>
    <col min="5" max="5" width="16.7265625" customWidth="1"/>
    <col min="6" max="6" width="15.453125" customWidth="1"/>
    <col min="7" max="7" width="13.6328125" customWidth="1"/>
    <col min="8" max="16" width="14.6328125" customWidth="1"/>
    <col min="17" max="17" width="15.6328125" customWidth="1"/>
  </cols>
  <sheetData>
    <row r="1" spans="1:26" ht="24" customHeight="1">
      <c r="A1" s="315" t="s">
        <v>25</v>
      </c>
      <c r="B1" s="137"/>
      <c r="C1" s="137"/>
      <c r="D1" s="137"/>
      <c r="E1" s="137"/>
      <c r="F1" s="137"/>
      <c r="G1" s="137"/>
      <c r="H1" s="137"/>
      <c r="I1" s="137"/>
      <c r="J1" s="137"/>
      <c r="K1" s="137"/>
      <c r="L1" s="137"/>
      <c r="M1" s="137"/>
      <c r="N1" s="137"/>
      <c r="O1" s="137"/>
      <c r="P1" s="137"/>
      <c r="Q1" s="137"/>
      <c r="R1" s="137"/>
      <c r="S1" s="137"/>
    </row>
    <row r="2" spans="1:26" ht="16.5" customHeight="1">
      <c r="A2" s="139" t="s">
        <v>334</v>
      </c>
      <c r="B2" s="139"/>
      <c r="C2" s="139"/>
      <c r="D2" s="139"/>
      <c r="E2" s="139"/>
      <c r="F2" s="139"/>
      <c r="G2" s="139"/>
      <c r="H2" s="139"/>
      <c r="I2" s="139"/>
      <c r="J2" s="139"/>
      <c r="K2" s="139"/>
      <c r="L2" s="139"/>
      <c r="M2" s="139"/>
      <c r="N2" s="139"/>
      <c r="O2" s="139"/>
      <c r="P2" s="139"/>
      <c r="Q2" s="139"/>
      <c r="R2" s="139"/>
      <c r="S2" s="139"/>
    </row>
    <row r="3" spans="1:26" ht="17.25" hidden="1" customHeight="1">
      <c r="A3" s="26"/>
      <c r="B3" s="316"/>
      <c r="C3" s="316"/>
      <c r="D3" s="316"/>
      <c r="E3" s="316"/>
      <c r="F3" s="316"/>
      <c r="G3" s="155"/>
      <c r="H3" s="155"/>
      <c r="I3" s="155"/>
      <c r="J3" s="155"/>
      <c r="K3" s="155"/>
      <c r="L3" s="155"/>
      <c r="M3" s="155"/>
      <c r="N3" s="155"/>
      <c r="O3" s="155"/>
      <c r="P3" s="155"/>
      <c r="Q3" s="155"/>
      <c r="R3" s="155"/>
      <c r="S3" s="155"/>
    </row>
    <row r="4" spans="1:26" ht="18" customHeight="1">
      <c r="A4" s="26"/>
      <c r="B4" s="250" t="s">
        <v>337</v>
      </c>
      <c r="C4" s="250"/>
      <c r="D4" s="250"/>
      <c r="E4" s="250"/>
      <c r="F4" s="317">
        <f>'P&amp;L'!G4</f>
        <v>45689</v>
      </c>
      <c r="G4" s="317">
        <f>'P&amp;L'!H4</f>
        <v>45839</v>
      </c>
      <c r="H4" s="317">
        <f>'P&amp;L'!I4</f>
        <v>46204</v>
      </c>
      <c r="I4" s="317">
        <f>'P&amp;L'!J4</f>
        <v>46569</v>
      </c>
      <c r="J4" s="317">
        <f>'P&amp;L'!K4</f>
        <v>46935</v>
      </c>
      <c r="K4" s="317">
        <f>'P&amp;L'!L4</f>
        <v>47300</v>
      </c>
      <c r="L4" s="317">
        <f>'P&amp;L'!M4</f>
        <v>47665</v>
      </c>
      <c r="M4" s="317">
        <f>'P&amp;L'!N4</f>
        <v>48030</v>
      </c>
      <c r="N4" s="317">
        <f>'P&amp;L'!O4</f>
        <v>48396</v>
      </c>
      <c r="O4" s="317">
        <f>'P&amp;L'!P4</f>
        <v>48761</v>
      </c>
      <c r="P4" s="317">
        <f>'P&amp;L'!Q4</f>
        <v>49126</v>
      </c>
      <c r="Q4" s="317">
        <f>'P&amp;L'!R4</f>
        <v>49491</v>
      </c>
      <c r="R4" s="317">
        <f>'P&amp;L'!S4</f>
        <v>49857</v>
      </c>
      <c r="S4" s="317">
        <f>'P&amp;L'!T4</f>
        <v>50222</v>
      </c>
    </row>
    <row r="5" spans="1:26" ht="18" customHeight="1">
      <c r="A5" s="26"/>
      <c r="B5" s="250" t="s">
        <v>338</v>
      </c>
      <c r="C5" s="250"/>
      <c r="D5" s="250"/>
      <c r="E5" s="250"/>
      <c r="F5" s="317">
        <f>'P&amp;L'!G5</f>
        <v>45838</v>
      </c>
      <c r="G5" s="317">
        <f>'P&amp;L'!H5</f>
        <v>46203</v>
      </c>
      <c r="H5" s="317">
        <f>'P&amp;L'!I5</f>
        <v>46568</v>
      </c>
      <c r="I5" s="317">
        <f>'P&amp;L'!J5</f>
        <v>46934</v>
      </c>
      <c r="J5" s="317">
        <f>'P&amp;L'!K5</f>
        <v>47299</v>
      </c>
      <c r="K5" s="317">
        <f>'P&amp;L'!L5</f>
        <v>47664</v>
      </c>
      <c r="L5" s="317">
        <f>'P&amp;L'!M5</f>
        <v>48029</v>
      </c>
      <c r="M5" s="317">
        <f>'P&amp;L'!N5</f>
        <v>48395</v>
      </c>
      <c r="N5" s="317">
        <f>'P&amp;L'!O5</f>
        <v>48760</v>
      </c>
      <c r="O5" s="317">
        <f>'P&amp;L'!P5</f>
        <v>49125</v>
      </c>
      <c r="P5" s="317">
        <f>'P&amp;L'!Q5</f>
        <v>49490</v>
      </c>
      <c r="Q5" s="317">
        <f>'P&amp;L'!R5</f>
        <v>49856</v>
      </c>
      <c r="R5" s="317">
        <f>'P&amp;L'!S5</f>
        <v>50221</v>
      </c>
      <c r="S5" s="317">
        <f>'P&amp;L'!T5</f>
        <v>50586</v>
      </c>
    </row>
    <row r="6" spans="1:26" ht="18" customHeight="1">
      <c r="A6" s="26"/>
      <c r="B6" s="250" t="s">
        <v>339</v>
      </c>
      <c r="C6" s="250"/>
      <c r="D6" s="250"/>
      <c r="E6" s="250"/>
      <c r="F6" s="249" t="str">
        <f>'P&amp;L'!G6</f>
        <v>FY25</v>
      </c>
      <c r="G6" s="249" t="str">
        <f>'P&amp;L'!H6</f>
        <v>FY26</v>
      </c>
      <c r="H6" s="249" t="str">
        <f>'P&amp;L'!I6</f>
        <v>FY27</v>
      </c>
      <c r="I6" s="249" t="str">
        <f>'P&amp;L'!J6</f>
        <v>FY28</v>
      </c>
      <c r="J6" s="249" t="str">
        <f>'P&amp;L'!K6</f>
        <v>FY29</v>
      </c>
      <c r="K6" s="249" t="str">
        <f>'P&amp;L'!L6</f>
        <v>FY30</v>
      </c>
      <c r="L6" s="249" t="str">
        <f>'P&amp;L'!M6</f>
        <v>FY31</v>
      </c>
      <c r="M6" s="249" t="str">
        <f>'P&amp;L'!N6</f>
        <v>FY32</v>
      </c>
      <c r="N6" s="249" t="str">
        <f>'P&amp;L'!O6</f>
        <v>FY33</v>
      </c>
      <c r="O6" s="249" t="str">
        <f>'P&amp;L'!P6</f>
        <v>FY34</v>
      </c>
      <c r="P6" s="249" t="str">
        <f>'P&amp;L'!Q6</f>
        <v>FY35</v>
      </c>
      <c r="Q6" s="249" t="str">
        <f>'P&amp;L'!R6</f>
        <v>FY36</v>
      </c>
      <c r="R6" s="249" t="str">
        <f>'P&amp;L'!S6</f>
        <v>FY37</v>
      </c>
      <c r="S6" s="249" t="str">
        <f>'P&amp;L'!T6</f>
        <v>FY38</v>
      </c>
    </row>
    <row r="7" spans="1:26" ht="15" hidden="1" customHeight="1">
      <c r="A7" s="26"/>
      <c r="B7" s="26"/>
      <c r="C7" s="26"/>
      <c r="D7" s="26"/>
      <c r="E7" s="26"/>
      <c r="F7" s="165"/>
      <c r="G7" s="165"/>
      <c r="H7" s="165"/>
      <c r="I7" s="165"/>
      <c r="J7" s="165"/>
      <c r="K7" s="165"/>
      <c r="L7" s="165"/>
      <c r="M7" s="165"/>
      <c r="N7" s="165"/>
      <c r="O7" s="165"/>
      <c r="P7" s="165"/>
      <c r="Q7" s="165"/>
      <c r="R7" s="165"/>
      <c r="S7" s="165"/>
    </row>
    <row r="8" spans="1:26" ht="15" customHeight="1">
      <c r="A8" s="26"/>
      <c r="B8" s="147" t="s">
        <v>492</v>
      </c>
      <c r="C8" s="140"/>
      <c r="D8" s="140"/>
      <c r="E8" s="140"/>
      <c r="F8" s="165"/>
      <c r="G8" s="165"/>
      <c r="H8" s="165"/>
      <c r="I8" s="165"/>
      <c r="J8" s="165"/>
      <c r="K8" s="165"/>
      <c r="L8" s="165"/>
      <c r="M8" s="165"/>
      <c r="N8" s="165"/>
      <c r="O8" s="165"/>
      <c r="P8" s="165"/>
      <c r="Q8" s="165"/>
      <c r="R8" s="165"/>
      <c r="S8" s="165"/>
    </row>
    <row r="9" spans="1:26" ht="15" customHeight="1">
      <c r="A9" s="26"/>
      <c r="B9" s="140"/>
      <c r="C9" s="318" t="s">
        <v>493</v>
      </c>
      <c r="D9" s="140"/>
      <c r="E9" s="140"/>
      <c r="F9" s="165"/>
      <c r="G9" s="165"/>
      <c r="H9" s="165"/>
      <c r="I9" s="165"/>
      <c r="J9" s="165"/>
      <c r="K9" s="165"/>
      <c r="L9" s="165"/>
      <c r="M9" s="165"/>
      <c r="N9" s="165"/>
      <c r="O9" s="165"/>
      <c r="P9" s="165"/>
      <c r="Q9" s="165"/>
      <c r="R9" s="165"/>
      <c r="S9" s="165"/>
    </row>
    <row r="10" spans="1:26" ht="15" customHeight="1">
      <c r="A10" s="26"/>
      <c r="B10" s="26"/>
      <c r="C10" s="140"/>
      <c r="D10" s="140" t="s">
        <v>494</v>
      </c>
      <c r="E10" s="140"/>
      <c r="F10" s="165">
        <f>Cashflow!D38</f>
        <v>0</v>
      </c>
      <c r="G10" s="165">
        <f>Cashflow!E38</f>
        <v>0</v>
      </c>
      <c r="H10" s="165">
        <f>Cashflow!F38</f>
        <v>452228.39999999851</v>
      </c>
      <c r="I10" s="165">
        <f>Cashflow!G38</f>
        <v>1724785.5788420234</v>
      </c>
      <c r="J10" s="165">
        <f>Cashflow!H38</f>
        <v>2184190.0265896698</v>
      </c>
      <c r="K10" s="165">
        <f>Cashflow!I38</f>
        <v>2729888.0048414734</v>
      </c>
      <c r="L10" s="165">
        <f>Cashflow!J38</f>
        <v>3408438.9677277789</v>
      </c>
      <c r="M10" s="165">
        <f>Cashflow!K38</f>
        <v>4135811.3744280911</v>
      </c>
      <c r="N10" s="165">
        <f>Cashflow!L38</f>
        <v>4833789.0215595746</v>
      </c>
      <c r="O10" s="165">
        <f>Cashflow!M38</f>
        <v>5560495.5688160015</v>
      </c>
      <c r="P10" s="165">
        <f>Cashflow!N38</f>
        <v>6335431.2849013144</v>
      </c>
      <c r="Q10" s="165">
        <f>Cashflow!O38</f>
        <v>7159432.279050706</v>
      </c>
      <c r="R10" s="165">
        <f>Cashflow!P38</f>
        <v>9596186.910685651</v>
      </c>
      <c r="S10" s="165">
        <f>Cashflow!Q38</f>
        <v>12278575.461596355</v>
      </c>
    </row>
    <row r="11" spans="1:26" ht="15" customHeight="1">
      <c r="A11" s="26"/>
      <c r="B11" s="26"/>
      <c r="C11" s="140"/>
      <c r="D11" s="140" t="s">
        <v>495</v>
      </c>
      <c r="E11" s="140"/>
      <c r="F11" s="165">
        <v>0</v>
      </c>
      <c r="G11" s="165">
        <f>F11</f>
        <v>0</v>
      </c>
      <c r="H11" s="165">
        <f t="array" ref="H11">G11-INDEX(Cashflow!$D$34:$O$34,MATCH(H$6,Cashflow!$D$7:$O$7,0))</f>
        <v>0</v>
      </c>
      <c r="I11" s="165">
        <f t="array" ref="I11">H11-INDEX(Cashflow!$D$34:$O$34,MATCH(I$6,Cashflow!$D$7:$O$7,0))</f>
        <v>101622.77499999999</v>
      </c>
      <c r="J11" s="165">
        <f t="array" ref="J11">I11-INDEX(Cashflow!$D$34:$O$34,MATCH(J$6,Cashflow!$D$7:$O$7,0))</f>
        <v>205402.905</v>
      </c>
      <c r="K11" s="165">
        <f t="array" ref="K11">J11-INDEX(Cashflow!$D$34:$O$34,MATCH(K$6,Cashflow!$D$7:$O$7,0))</f>
        <v>311340.39</v>
      </c>
      <c r="L11" s="165">
        <f t="array" ref="L11">K11-INDEX(Cashflow!$D$34:$O$34,MATCH(L$6,Cashflow!$D$7:$O$7,0))</f>
        <v>424885.39</v>
      </c>
      <c r="M11" s="165">
        <f t="array" ref="M11">L11-INDEX(Cashflow!$D$34:$O$34,MATCH(M$6,Cashflow!$D$7:$O$7,0))</f>
        <v>538430.39</v>
      </c>
      <c r="N11" s="165">
        <f t="array" ref="N11">M11-INDEX(Cashflow!$D$34:$O$34,MATCH(N$6,Cashflow!$D$7:$O$7,0))</f>
        <v>651975.39</v>
      </c>
      <c r="O11" s="165">
        <f t="array" ref="O11">N11-INDEX(Cashflow!$D$34:$O$34,MATCH(O$6,Cashflow!$D$7:$O$7,0))</f>
        <v>765520.39</v>
      </c>
      <c r="P11" s="165">
        <f t="array" ref="P11">O11-INDEX(Cashflow!$D$34:$O$34,MATCH(P$6,Cashflow!$D$7:$O$7,0))</f>
        <v>879065.39</v>
      </c>
      <c r="Q11" s="165">
        <f t="array" ref="Q11">P11-INDEX(Cashflow!$D$34:$O$34,MATCH(Q$6,Cashflow!$D$7:$O$7,0))</f>
        <v>992610.39</v>
      </c>
      <c r="R11" s="165">
        <f t="array" ref="R11">Q11-INDEX(Cashflow!$D$34:$Q$34,MATCH(R$6,Cashflow!$D$7:$Q$7,0))</f>
        <v>1106155.3900000001</v>
      </c>
      <c r="S11" s="165">
        <f t="array" ref="S11">R11-INDEX(Cashflow!$D$34:$Q$34,MATCH(S$6,Cashflow!$D$7:$Q$7,0))</f>
        <v>1219700.3900000001</v>
      </c>
    </row>
    <row r="12" spans="1:26" ht="15" customHeight="1">
      <c r="A12" s="26"/>
      <c r="B12" s="26"/>
      <c r="C12" s="140"/>
      <c r="D12" s="140" t="s">
        <v>372</v>
      </c>
      <c r="E12" s="140"/>
      <c r="F12" s="165">
        <f t="array" ref="F12">INDEX(Cashflow!$D$53:$O$53,MATCH(F$6,Cashflow!$D$43:$O$43,0))</f>
        <v>0</v>
      </c>
      <c r="G12" s="165">
        <f t="array" ref="G12">INDEX(Cashflow!$D$53:$O$53,MATCH(G$6,Cashflow!$D$43:$O$43,0))</f>
        <v>0</v>
      </c>
      <c r="H12" s="165">
        <f t="array" ref="H12">INDEX(Cashflow!$D$53:$O$53,MATCH(H$6,Cashflow!$D$43:$O$43,0))</f>
        <v>0</v>
      </c>
      <c r="I12" s="165">
        <f t="array" ref="I12">INDEX(Cashflow!$D$53:$O$53,MATCH(I$6,Cashflow!$D$43:$O$43,0))</f>
        <v>1542931.5135616437</v>
      </c>
      <c r="J12" s="165">
        <f t="array" ref="J12">INDEX(Cashflow!$D$53:$O$53,MATCH(J$6,Cashflow!$D$43:$O$43,0))</f>
        <v>1617246.7634745203</v>
      </c>
      <c r="K12" s="165">
        <f t="array" ref="K12">INDEX(Cashflow!$D$53:$O$53,MATCH(K$6,Cashflow!$D$43:$O$43,0))</f>
        <v>1694426.4560928415</v>
      </c>
      <c r="L12" s="165">
        <f t="array" ref="L12">INDEX(Cashflow!$D$53:$O$53,MATCH(L$6,Cashflow!$D$43:$O$43,0))</f>
        <v>1792490.5113258082</v>
      </c>
      <c r="M12" s="165">
        <f t="array" ref="M12">INDEX(Cashflow!$D$53:$O$53,MATCH(M$6,Cashflow!$D$43:$O$43,0))</f>
        <v>1832938.906213956</v>
      </c>
      <c r="N12" s="165">
        <f t="array" ref="N12">INDEX(Cashflow!$D$53:$O$53,MATCH(N$6,Cashflow!$D$43:$O$43,0))</f>
        <v>1874573.9228826626</v>
      </c>
      <c r="O12" s="165">
        <f t="array" ref="O12">INDEX(Cashflow!$D$53:$O$53,MATCH(O$6,Cashflow!$D$43:$O$43,0))</f>
        <v>1917430.4892336933</v>
      </c>
      <c r="P12" s="165">
        <f t="array" ref="P12">INDEX(Cashflow!$D$53:$O$53,MATCH(P$6,Cashflow!$D$43:$O$43,0))</f>
        <v>1961544.5642370738</v>
      </c>
      <c r="Q12" s="165">
        <f t="array" ref="Q12">INDEX(Cashflow!$D$53:$O$53,MATCH(Q$6,Cashflow!$D$43:$O$43,0))</f>
        <v>2006953.168443921</v>
      </c>
      <c r="R12" s="165">
        <f t="array" ref="R12">INDEX(Cashflow!$D$53:$Q$53,MATCH(R$6,Cashflow!$D$43:$Q$43,0))</f>
        <v>2053694.4154041728</v>
      </c>
      <c r="S12" s="165">
        <f t="array" ref="S12">INDEX(Cashflow!$D$53:$Q$53,MATCH(S$6,Cashflow!$D$43:$Q$43,0))</f>
        <v>2101807.5440161098</v>
      </c>
    </row>
    <row r="13" spans="1:26" ht="15" customHeight="1">
      <c r="A13" s="26"/>
      <c r="B13" s="26"/>
      <c r="C13" s="140"/>
      <c r="D13" s="140" t="s">
        <v>373</v>
      </c>
      <c r="E13" s="140"/>
      <c r="F13" s="165">
        <f t="array" ref="F13">INDEX(Cashflow!$D$54:$O$54,MATCH(F$6,Cashflow!$D$43:$O$43,0))</f>
        <v>0</v>
      </c>
      <c r="G13" s="165">
        <f t="array" ref="G13">INDEX(Cashflow!$D$54:$O$54,MATCH(G$6,Cashflow!$D$43:$O$43,0))</f>
        <v>0</v>
      </c>
      <c r="H13" s="165">
        <f t="array" ref="H13">INDEX(Cashflow!$D$54:$O$54,MATCH(H$6,Cashflow!$D$43:$O$43,0))</f>
        <v>0</v>
      </c>
      <c r="I13" s="165">
        <f t="array" ref="I13">INDEX(Cashflow!$D$54:$O$54,MATCH(I$6,Cashflow!$D$43:$O$43,0))</f>
        <v>178272.37726027396</v>
      </c>
      <c r="J13" s="165">
        <f t="array" ref="J13">INDEX(Cashflow!$D$54:$O$54,MATCH(J$6,Cashflow!$D$43:$O$43,0))</f>
        <v>191170.00375890403</v>
      </c>
      <c r="K13" s="165">
        <f t="array" ref="K13">INDEX(Cashflow!$D$54:$O$54,MATCH(K$6,Cashflow!$D$43:$O$43,0))</f>
        <v>204653.3183013699</v>
      </c>
      <c r="L13" s="165">
        <f t="array" ref="L13">INDEX(Cashflow!$D$54:$O$54,MATCH(L$6,Cashflow!$D$43:$O$43,0))</f>
        <v>208514.5002739726</v>
      </c>
      <c r="M13" s="165">
        <f t="array" ref="M13">INDEX(Cashflow!$D$54:$O$54,MATCH(M$6,Cashflow!$D$43:$O$43,0))</f>
        <v>214612.41802191781</v>
      </c>
      <c r="N13" s="165">
        <f t="array" ref="N13">INDEX(Cashflow!$D$54:$O$54,MATCH(N$6,Cashflow!$D$43:$O$43,0))</f>
        <v>220893.27330230144</v>
      </c>
      <c r="O13" s="165">
        <f t="array" ref="O13">INDEX(Cashflow!$D$54:$O$54,MATCH(O$6,Cashflow!$D$43:$O$43,0))</f>
        <v>227362.55424109648</v>
      </c>
      <c r="P13" s="165">
        <f t="array" ref="P13">INDEX(Cashflow!$D$54:$O$54,MATCH(P$6,Cashflow!$D$43:$O$43,0))</f>
        <v>234025.91360805545</v>
      </c>
      <c r="Q13" s="165">
        <f t="array" ref="Q13">INDEX(Cashflow!$D$54:$O$54,MATCH(Q$6,Cashflow!$D$43:$O$43,0))</f>
        <v>240889.17375602305</v>
      </c>
      <c r="R13" s="165">
        <f t="array" ref="R13">INDEX(Cashflow!$D$54:$Q$54,MATCH(R$6,Cashflow!$D$43:$Q$43,0))</f>
        <v>247958.33170842991</v>
      </c>
      <c r="S13" s="165">
        <f t="array" ref="S13">INDEX(Cashflow!$D$54:$Q$54,MATCH(S$6,Cashflow!$D$43:$Q$43,0))</f>
        <v>255239.56439940882</v>
      </c>
    </row>
    <row r="14" spans="1:26" ht="15" customHeight="1">
      <c r="A14" s="26"/>
      <c r="B14" s="26"/>
      <c r="C14" s="140"/>
      <c r="D14" s="140"/>
      <c r="E14" s="140"/>
      <c r="F14" s="165"/>
      <c r="G14" s="165"/>
      <c r="H14" s="165"/>
      <c r="I14" s="165"/>
      <c r="J14" s="165"/>
      <c r="K14" s="165"/>
      <c r="L14" s="165"/>
      <c r="M14" s="165"/>
      <c r="N14" s="165"/>
      <c r="O14" s="165"/>
      <c r="P14" s="165"/>
      <c r="Q14" s="165"/>
      <c r="R14" s="165"/>
      <c r="S14" s="165"/>
    </row>
    <row r="15" spans="1:26" ht="15" customHeight="1">
      <c r="A15" s="260"/>
      <c r="B15" s="260"/>
      <c r="C15" s="319" t="s">
        <v>496</v>
      </c>
      <c r="D15" s="260"/>
      <c r="E15" s="285"/>
      <c r="F15" s="320">
        <f t="shared" ref="F15:S15" si="0">SUM(F10:F13)</f>
        <v>0</v>
      </c>
      <c r="G15" s="320">
        <f t="shared" si="0"/>
        <v>0</v>
      </c>
      <c r="H15" s="320">
        <f t="shared" si="0"/>
        <v>452228.39999999851</v>
      </c>
      <c r="I15" s="320">
        <f t="shared" si="0"/>
        <v>3547612.2446639407</v>
      </c>
      <c r="J15" s="320">
        <f t="shared" si="0"/>
        <v>4198009.6988230934</v>
      </c>
      <c r="K15" s="320">
        <f t="shared" si="0"/>
        <v>4940308.1692356858</v>
      </c>
      <c r="L15" s="320">
        <f t="shared" si="0"/>
        <v>5834329.3693275601</v>
      </c>
      <c r="M15" s="320">
        <f t="shared" si="0"/>
        <v>6721793.0886639655</v>
      </c>
      <c r="N15" s="320">
        <f t="shared" si="0"/>
        <v>7581231.6077445392</v>
      </c>
      <c r="O15" s="320">
        <f t="shared" si="0"/>
        <v>8470809.0022907909</v>
      </c>
      <c r="P15" s="320">
        <f t="shared" si="0"/>
        <v>9410067.1527464427</v>
      </c>
      <c r="Q15" s="320">
        <f t="shared" si="0"/>
        <v>10399885.011250651</v>
      </c>
      <c r="R15" s="320">
        <f t="shared" si="0"/>
        <v>13003995.047798254</v>
      </c>
      <c r="S15" s="320">
        <f t="shared" si="0"/>
        <v>15855322.960011873</v>
      </c>
      <c r="T15" s="265"/>
      <c r="U15" s="265"/>
      <c r="V15" s="265"/>
      <c r="W15" s="265"/>
      <c r="X15" s="265"/>
      <c r="Y15" s="265"/>
      <c r="Z15" s="265"/>
    </row>
    <row r="16" spans="1:26" ht="15" customHeight="1">
      <c r="A16" s="26"/>
      <c r="B16" s="140"/>
      <c r="C16" s="140"/>
      <c r="D16" s="140"/>
      <c r="E16" s="140"/>
      <c r="F16" s="165"/>
      <c r="G16" s="165"/>
      <c r="H16" s="165"/>
      <c r="I16" s="165"/>
      <c r="J16" s="165"/>
      <c r="K16" s="165"/>
      <c r="L16" s="165"/>
      <c r="M16" s="165"/>
      <c r="N16" s="165"/>
      <c r="O16" s="165"/>
      <c r="P16" s="165"/>
      <c r="Q16" s="165"/>
      <c r="R16" s="165"/>
      <c r="S16" s="165"/>
    </row>
    <row r="17" spans="1:26" ht="15" customHeight="1">
      <c r="A17" s="26"/>
      <c r="B17" s="140"/>
      <c r="C17" s="318" t="s">
        <v>497</v>
      </c>
      <c r="D17" s="140"/>
      <c r="E17" s="140"/>
      <c r="F17" s="165"/>
      <c r="G17" s="165"/>
      <c r="H17" s="165"/>
      <c r="I17" s="165"/>
      <c r="J17" s="165"/>
      <c r="K17" s="165"/>
      <c r="L17" s="165"/>
      <c r="M17" s="165"/>
      <c r="N17" s="165"/>
      <c r="O17" s="165"/>
      <c r="P17" s="165"/>
      <c r="Q17" s="165"/>
      <c r="R17" s="165"/>
      <c r="S17" s="165"/>
    </row>
    <row r="18" spans="1:26" ht="15" customHeight="1">
      <c r="A18" s="26"/>
      <c r="B18" s="140"/>
      <c r="C18" s="318"/>
      <c r="D18" s="140" t="s">
        <v>498</v>
      </c>
      <c r="E18" s="140"/>
      <c r="F18" s="165">
        <f>'Construction Timeline'!D225</f>
        <v>0</v>
      </c>
      <c r="G18" s="165">
        <f>'Construction Timeline'!E225</f>
        <v>0</v>
      </c>
      <c r="H18" s="165">
        <f>'Construction Timeline'!F225</f>
        <v>819000</v>
      </c>
      <c r="I18" s="165">
        <f>'Construction Timeline'!G225</f>
        <v>819000</v>
      </c>
      <c r="J18" s="165">
        <f>'Construction Timeline'!H225</f>
        <v>819000</v>
      </c>
      <c r="K18" s="165">
        <f>'Construction Timeline'!I225</f>
        <v>819000</v>
      </c>
      <c r="L18" s="165">
        <f>'Construction Timeline'!J225</f>
        <v>819000</v>
      </c>
      <c r="M18" s="165">
        <f>'Construction Timeline'!K225</f>
        <v>819000</v>
      </c>
      <c r="N18" s="165">
        <f>'Construction Timeline'!L225</f>
        <v>819000</v>
      </c>
      <c r="O18" s="165">
        <f>'Construction Timeline'!M225</f>
        <v>819000</v>
      </c>
      <c r="P18" s="165">
        <f>'Construction Timeline'!N225</f>
        <v>819000</v>
      </c>
      <c r="Q18" s="165">
        <f>'Construction Timeline'!O225</f>
        <v>819000</v>
      </c>
      <c r="R18" s="165">
        <f>'Construction Timeline'!S225</f>
        <v>819000</v>
      </c>
      <c r="S18" s="165">
        <f>'Construction Timeline'!T225</f>
        <v>819000</v>
      </c>
    </row>
    <row r="19" spans="1:26" ht="15" customHeight="1">
      <c r="A19" s="26"/>
      <c r="B19" s="140"/>
      <c r="C19" s="318"/>
      <c r="D19" s="140" t="s">
        <v>499</v>
      </c>
      <c r="E19" s="140"/>
      <c r="F19" s="165">
        <f>'Construction Timeline'!D221</f>
        <v>0</v>
      </c>
      <c r="G19" s="165">
        <f>'Construction Timeline'!E221</f>
        <v>0</v>
      </c>
      <c r="H19" s="165">
        <f>'Construction Timeline'!F221</f>
        <v>19761525</v>
      </c>
      <c r="I19" s="165">
        <f>'Construction Timeline'!G221</f>
        <v>0</v>
      </c>
      <c r="J19" s="165">
        <f>'Construction Timeline'!H221</f>
        <v>0</v>
      </c>
      <c r="K19" s="165">
        <f>'Construction Timeline'!I221</f>
        <v>0</v>
      </c>
      <c r="L19" s="165">
        <f>'Construction Timeline'!J221</f>
        <v>0</v>
      </c>
      <c r="M19" s="165">
        <f>'Construction Timeline'!K221</f>
        <v>0</v>
      </c>
      <c r="N19" s="165">
        <f>'Construction Timeline'!L221</f>
        <v>0</v>
      </c>
      <c r="O19" s="165">
        <f>'Construction Timeline'!M221</f>
        <v>0</v>
      </c>
      <c r="P19" s="165">
        <f>'Construction Timeline'!N221</f>
        <v>0</v>
      </c>
      <c r="Q19" s="165">
        <f>'Construction Timeline'!O221</f>
        <v>0</v>
      </c>
      <c r="R19" s="165">
        <f>'Construction Timeline'!S221</f>
        <v>0</v>
      </c>
      <c r="S19" s="165">
        <f>'Construction Timeline'!T221</f>
        <v>0</v>
      </c>
    </row>
    <row r="20" spans="1:26" ht="15" customHeight="1">
      <c r="A20" s="26"/>
      <c r="B20" s="140"/>
      <c r="C20" s="318"/>
      <c r="D20" s="140" t="s">
        <v>500</v>
      </c>
      <c r="E20" s="140"/>
      <c r="F20" s="165">
        <f>'Construction Timeline'!D232</f>
        <v>0</v>
      </c>
      <c r="G20" s="165">
        <f>'Construction Timeline'!E232</f>
        <v>0</v>
      </c>
      <c r="H20" s="165">
        <f>'Construction Timeline'!F232</f>
        <v>0</v>
      </c>
      <c r="I20" s="165">
        <f>H19</f>
        <v>19761525</v>
      </c>
      <c r="J20" s="165">
        <f>'Construction Timeline'!H232</f>
        <v>19761525</v>
      </c>
      <c r="K20" s="165">
        <f>'Construction Timeline'!I232</f>
        <v>19761525</v>
      </c>
      <c r="L20" s="165">
        <f>'Construction Timeline'!J232</f>
        <v>19761525</v>
      </c>
      <c r="M20" s="165">
        <f>'Construction Timeline'!K232</f>
        <v>19761525</v>
      </c>
      <c r="N20" s="165">
        <f>'Construction Timeline'!L232</f>
        <v>19761525</v>
      </c>
      <c r="O20" s="165">
        <f>'Construction Timeline'!M232</f>
        <v>19761525</v>
      </c>
      <c r="P20" s="165">
        <f>'Construction Timeline'!N232</f>
        <v>19761525</v>
      </c>
      <c r="Q20" s="165">
        <f>'Construction Timeline'!O232</f>
        <v>19761525</v>
      </c>
      <c r="R20" s="165">
        <f>'Construction Timeline'!S232</f>
        <v>19761525</v>
      </c>
      <c r="S20" s="165">
        <f>'Construction Timeline'!T232</f>
        <v>19761525</v>
      </c>
    </row>
    <row r="21" spans="1:26" ht="15.75" customHeight="1">
      <c r="A21" s="26"/>
      <c r="B21" s="140"/>
      <c r="C21" s="318"/>
      <c r="D21" s="140" t="s">
        <v>501</v>
      </c>
      <c r="E21" s="140"/>
      <c r="F21" s="165">
        <v>0</v>
      </c>
      <c r="G21" s="165">
        <f>F21</f>
        <v>0</v>
      </c>
      <c r="H21" s="165">
        <v>0</v>
      </c>
      <c r="I21" s="165">
        <f t="array" ref="I21">H21-INDEX('P&amp;L'!$G$83:$R$83,MATCH(I$6,'P&amp;L'!$G$6:$R$6,0))</f>
        <v>-988076.25</v>
      </c>
      <c r="J21" s="165">
        <f t="array" ref="J21">I21-INDEX('P&amp;L'!$G$83:$R$83,MATCH(J$6,'P&amp;L'!$G$6:$R$6,0))</f>
        <v>-1976152.5</v>
      </c>
      <c r="K21" s="165">
        <f t="array" ref="K21">J21-INDEX('P&amp;L'!$G$83:$R$83,MATCH(K$6,'P&amp;L'!$G$6:$R$6,0))</f>
        <v>-2964228.75</v>
      </c>
      <c r="L21" s="165">
        <f t="array" ref="L21">K21-INDEX('P&amp;L'!$G$83:$R$83,MATCH(L$6,'P&amp;L'!$G$6:$R$6,0))</f>
        <v>-3952305</v>
      </c>
      <c r="M21" s="165">
        <f t="array" ref="M21">L21-INDEX('P&amp;L'!$G$83:$R$83,MATCH(M$6,'P&amp;L'!$G$6:$R$6,0))</f>
        <v>-4940381.25</v>
      </c>
      <c r="N21" s="165">
        <f t="array" ref="N21">M21-INDEX('P&amp;L'!$G$83:$R$83,MATCH(N$6,'P&amp;L'!$G$6:$R$6,0))</f>
        <v>-5928457.5</v>
      </c>
      <c r="O21" s="165">
        <f t="array" ref="O21">N21-INDEX('P&amp;L'!$G$83:$R$83,MATCH(O$6,'P&amp;L'!$G$6:$R$6,0))</f>
        <v>-6916533.75</v>
      </c>
      <c r="P21" s="165">
        <f t="array" ref="P21">O21-INDEX('P&amp;L'!$G$83:$R$83,MATCH(P$6,'P&amp;L'!$G$6:$R$6,0))</f>
        <v>-7904610</v>
      </c>
      <c r="Q21" s="165">
        <f t="array" ref="Q21">P21-INDEX('P&amp;L'!$G$83:$R$83,MATCH(Q$6,'P&amp;L'!$G$6:$R$6,0))</f>
        <v>-8892686.25</v>
      </c>
      <c r="R21" s="165">
        <f t="array" ref="R21">Q21-INDEX('P&amp;L'!$G$83:$T$83,MATCH(R$6,'P&amp;L'!$G$6:$T$6,0))</f>
        <v>-9880762.5</v>
      </c>
      <c r="S21" s="165">
        <f t="array" ref="S21">R21-INDEX('P&amp;L'!$G$83:$T$83,MATCH(S$6,'P&amp;L'!$G$6:$T$6,0))</f>
        <v>-10868838.75</v>
      </c>
    </row>
    <row r="22" spans="1:26" ht="15.75" customHeight="1">
      <c r="A22" s="26"/>
      <c r="B22" s="140"/>
      <c r="C22" s="318"/>
      <c r="D22" s="140" t="s">
        <v>502</v>
      </c>
      <c r="E22" s="140"/>
      <c r="F22" s="165">
        <f>'Construction Timeline'!D238</f>
        <v>0</v>
      </c>
      <c r="G22" s="165">
        <f>'Construction Timeline'!E238</f>
        <v>0</v>
      </c>
      <c r="H22" s="165">
        <f>'Construction Timeline'!F238</f>
        <v>0</v>
      </c>
      <c r="I22" s="165">
        <f t="shared" ref="I22:S22" si="1">I20+I21</f>
        <v>18773448.75</v>
      </c>
      <c r="J22" s="165">
        <f t="shared" si="1"/>
        <v>17785372.5</v>
      </c>
      <c r="K22" s="165">
        <f t="shared" si="1"/>
        <v>16797296.25</v>
      </c>
      <c r="L22" s="165">
        <f t="shared" si="1"/>
        <v>15809220</v>
      </c>
      <c r="M22" s="165">
        <f t="shared" si="1"/>
        <v>14821143.75</v>
      </c>
      <c r="N22" s="165">
        <f t="shared" si="1"/>
        <v>13833067.5</v>
      </c>
      <c r="O22" s="165">
        <f t="shared" si="1"/>
        <v>12844991.25</v>
      </c>
      <c r="P22" s="165">
        <f t="shared" si="1"/>
        <v>11856915</v>
      </c>
      <c r="Q22" s="165">
        <f t="shared" si="1"/>
        <v>10868838.75</v>
      </c>
      <c r="R22" s="165">
        <f t="shared" si="1"/>
        <v>9880762.5</v>
      </c>
      <c r="S22" s="165">
        <f t="shared" si="1"/>
        <v>8892686.25</v>
      </c>
    </row>
    <row r="23" spans="1:26" ht="15.75" customHeight="1">
      <c r="A23" s="260"/>
      <c r="B23" s="285"/>
      <c r="C23" s="319" t="s">
        <v>503</v>
      </c>
      <c r="D23" s="285"/>
      <c r="E23" s="285" t="s">
        <v>190</v>
      </c>
      <c r="F23" s="320">
        <f t="shared" ref="F23:S23" si="2">F18+F19+F22</f>
        <v>0</v>
      </c>
      <c r="G23" s="320">
        <f t="shared" si="2"/>
        <v>0</v>
      </c>
      <c r="H23" s="320">
        <f t="shared" si="2"/>
        <v>20580525</v>
      </c>
      <c r="I23" s="320">
        <f t="shared" si="2"/>
        <v>19592448.75</v>
      </c>
      <c r="J23" s="320">
        <f t="shared" si="2"/>
        <v>18604372.5</v>
      </c>
      <c r="K23" s="320">
        <f t="shared" si="2"/>
        <v>17616296.25</v>
      </c>
      <c r="L23" s="320">
        <f t="shared" si="2"/>
        <v>16628220</v>
      </c>
      <c r="M23" s="320">
        <f t="shared" si="2"/>
        <v>15640143.75</v>
      </c>
      <c r="N23" s="320">
        <f t="shared" si="2"/>
        <v>14652067.5</v>
      </c>
      <c r="O23" s="320">
        <f t="shared" si="2"/>
        <v>13663991.25</v>
      </c>
      <c r="P23" s="320">
        <f t="shared" si="2"/>
        <v>12675915</v>
      </c>
      <c r="Q23" s="320">
        <f t="shared" si="2"/>
        <v>11687838.75</v>
      </c>
      <c r="R23" s="320">
        <f t="shared" si="2"/>
        <v>10699762.5</v>
      </c>
      <c r="S23" s="320">
        <f t="shared" si="2"/>
        <v>9711686.25</v>
      </c>
      <c r="T23" s="265"/>
      <c r="U23" s="265"/>
      <c r="V23" s="265"/>
      <c r="W23" s="265"/>
      <c r="X23" s="265"/>
      <c r="Y23" s="265"/>
      <c r="Z23" s="265"/>
    </row>
    <row r="24" spans="1:26" ht="15.75" customHeight="1">
      <c r="A24" s="26"/>
      <c r="B24" s="140"/>
      <c r="C24" s="318"/>
      <c r="D24" s="140"/>
      <c r="E24" s="140"/>
      <c r="F24" s="165"/>
      <c r="G24" s="165"/>
      <c r="H24" s="165"/>
      <c r="I24" s="165"/>
      <c r="J24" s="165"/>
      <c r="K24" s="165"/>
      <c r="L24" s="165"/>
      <c r="M24" s="165"/>
      <c r="N24" s="165"/>
      <c r="O24" s="165"/>
      <c r="P24" s="165"/>
      <c r="Q24" s="165"/>
      <c r="R24" s="165"/>
      <c r="S24" s="165"/>
    </row>
    <row r="25" spans="1:26" ht="15" customHeight="1">
      <c r="A25" s="260"/>
      <c r="B25" s="260"/>
      <c r="C25" s="321" t="s">
        <v>504</v>
      </c>
      <c r="D25" s="285"/>
      <c r="E25" s="285"/>
      <c r="F25" s="322">
        <f t="shared" ref="F25:S25" si="3">F15+F23</f>
        <v>0</v>
      </c>
      <c r="G25" s="322">
        <f t="shared" si="3"/>
        <v>0</v>
      </c>
      <c r="H25" s="322">
        <f t="shared" si="3"/>
        <v>21032753.399999999</v>
      </c>
      <c r="I25" s="322">
        <f t="shared" si="3"/>
        <v>23140060.994663939</v>
      </c>
      <c r="J25" s="322">
        <f t="shared" si="3"/>
        <v>22802382.198823094</v>
      </c>
      <c r="K25" s="322">
        <f t="shared" si="3"/>
        <v>22556604.419235684</v>
      </c>
      <c r="L25" s="322">
        <f t="shared" si="3"/>
        <v>22462549.36932756</v>
      </c>
      <c r="M25" s="322">
        <f t="shared" si="3"/>
        <v>22361936.838663965</v>
      </c>
      <c r="N25" s="322">
        <f t="shared" si="3"/>
        <v>22233299.107744537</v>
      </c>
      <c r="O25" s="322">
        <f t="shared" si="3"/>
        <v>22134800.252290793</v>
      </c>
      <c r="P25" s="322">
        <f t="shared" si="3"/>
        <v>22085982.152746443</v>
      </c>
      <c r="Q25" s="322">
        <f t="shared" si="3"/>
        <v>22087723.761250652</v>
      </c>
      <c r="R25" s="322">
        <f t="shared" si="3"/>
        <v>23703757.547798254</v>
      </c>
      <c r="S25" s="322">
        <f t="shared" si="3"/>
        <v>25567009.210011873</v>
      </c>
      <c r="T25" s="265"/>
      <c r="U25" s="265"/>
      <c r="V25" s="265"/>
      <c r="W25" s="265"/>
      <c r="X25" s="265"/>
      <c r="Y25" s="265"/>
      <c r="Z25" s="265"/>
    </row>
    <row r="26" spans="1:26" ht="15" customHeight="1">
      <c r="A26" s="26"/>
      <c r="B26" s="26"/>
      <c r="C26" s="140" t="s">
        <v>505</v>
      </c>
      <c r="D26" s="140"/>
      <c r="E26" s="140"/>
      <c r="F26" s="165">
        <f t="array" ref="F26">F12+F13-IFERROR(INDEX(Cashflow!$D$55:$O$55,MATCH(F$6,Cashflow!$D$43:$O$43,0)),0)-F33</f>
        <v>0</v>
      </c>
      <c r="G26" s="165">
        <f t="array" ref="G26">G12+G13-IFERROR(INDEX(Cashflow!$D$55:$O$55,MATCH(G$6,Cashflow!$D$43:$O$43,0)),0)-G33</f>
        <v>0</v>
      </c>
      <c r="H26" s="165">
        <f t="array" ref="H26">H12+H13-IFERROR(INDEX(Cashflow!$D$55:$O$55,MATCH(H$6,Cashflow!$D$43:$O$43,0)),0)-H33</f>
        <v>0</v>
      </c>
      <c r="I26" s="165">
        <f t="array" ref="I26">I12+I13-IFERROR(INDEX(Cashflow!$D$55:$O$55,MATCH(I$6,Cashflow!$D$43:$O$43,0)),0)-I33</f>
        <v>1096726.5820212327</v>
      </c>
      <c r="J26" s="165">
        <f t="array" ref="J26">J12+J13-IFERROR(INDEX(Cashflow!$D$55:$O$55,MATCH(J$6,Cashflow!$D$43:$O$43,0)),0)-J33</f>
        <v>1109567.1764790653</v>
      </c>
      <c r="K26" s="165">
        <f t="array" ref="K26">K12+K13-IFERROR(INDEX(Cashflow!$D$55:$O$55,MATCH(K$6,Cashflow!$D$43:$O$43,0)),0)-K33</f>
        <v>1168369.5924939937</v>
      </c>
      <c r="L26" s="165">
        <f t="array" ref="L26">L12+L13-IFERROR(INDEX(Cashflow!$D$55:$O$55,MATCH(L$6,Cashflow!$D$43:$O$43,0)),0)-L33</f>
        <v>1244391.7850408847</v>
      </c>
      <c r="M26" s="165">
        <f t="array" ref="M26">M12+M13-IFERROR(INDEX(Cashflow!$D$55:$O$55,MATCH(M$6,Cashflow!$D$43:$O$43,0)),0)-M33</f>
        <v>1268733.4382960727</v>
      </c>
      <c r="N26" s="165">
        <f t="array" ref="N26">N12+N13-IFERROR(INDEX(Cashflow!$D$55:$O$55,MATCH(N$6,Cashflow!$D$43:$O$43,0)),0)-N33</f>
        <v>1247338.5359039544</v>
      </c>
      <c r="O26" s="165">
        <f t="array" ref="O26">O12+O13-IFERROR(INDEX(Cashflow!$D$55:$O$55,MATCH(O$6,Cashflow!$D$43:$O$43,0)),0)-O33</f>
        <v>1260255.5384425218</v>
      </c>
      <c r="P26" s="165">
        <f t="array" ref="P26">P12+P13-IFERROR(INDEX(Cashflow!$D$55:$O$55,MATCH(P$6,Cashflow!$D$43:$O$43,0)),0)-P33</f>
        <v>1284814.9180612729</v>
      </c>
      <c r="Q26" s="165">
        <f t="array" ref="Q26">Q12+Q13-IFERROR(INDEX(Cashflow!$D$55:$O$55,MATCH(Q$6,Cashflow!$D$43:$O$43,0)),0)-Q33</f>
        <v>1310065.064939619</v>
      </c>
      <c r="R26" s="165">
        <f t="array" ref="R26">R12+R13-IFERROR(INDEX(Cashflow!$D$55:$Q$55,MATCH(R$6,Cashflow!$D$43:$Q$43,0)),0)-R33</f>
        <v>1328518.4432357978</v>
      </c>
      <c r="S26" s="165">
        <f t="array" ref="S26">S12+S13-IFERROR(INDEX(Cashflow!$D$55:$Q$55,MATCH(S$6,Cashflow!$D$43:$Q$43,0)),0)-S33</f>
        <v>1407270.5407210686</v>
      </c>
    </row>
    <row r="27" spans="1:26" ht="28.5" customHeight="1">
      <c r="A27" s="26"/>
      <c r="B27" s="140"/>
      <c r="C27" s="140"/>
      <c r="D27" s="140"/>
      <c r="E27" s="140"/>
      <c r="F27" s="165"/>
      <c r="G27" s="165"/>
      <c r="H27" s="165"/>
      <c r="I27" s="165"/>
      <c r="J27" s="165"/>
      <c r="K27" s="165"/>
      <c r="L27" s="165"/>
      <c r="M27" s="165"/>
      <c r="N27" s="165"/>
      <c r="O27" s="165"/>
      <c r="P27" s="165"/>
      <c r="Q27" s="165"/>
      <c r="R27" s="165"/>
      <c r="S27" s="165"/>
    </row>
    <row r="28" spans="1:26" ht="15.75" customHeight="1">
      <c r="A28" s="26"/>
      <c r="B28" s="147" t="s">
        <v>506</v>
      </c>
      <c r="C28" s="140"/>
      <c r="D28" s="140"/>
      <c r="E28" s="140"/>
      <c r="F28" s="165"/>
      <c r="G28" s="165"/>
      <c r="H28" s="165"/>
      <c r="I28" s="165"/>
      <c r="J28" s="165"/>
      <c r="K28" s="165"/>
      <c r="L28" s="165"/>
      <c r="M28" s="165"/>
      <c r="N28" s="165"/>
      <c r="O28" s="165"/>
      <c r="P28" s="165"/>
      <c r="Q28" s="165"/>
      <c r="R28" s="165"/>
      <c r="S28" s="165"/>
    </row>
    <row r="29" spans="1:26" ht="15" customHeight="1">
      <c r="A29" s="26"/>
      <c r="B29" s="140"/>
      <c r="C29" s="318" t="s">
        <v>507</v>
      </c>
      <c r="D29" s="140"/>
      <c r="E29" s="140"/>
      <c r="F29" s="165"/>
      <c r="G29" s="165"/>
      <c r="H29" s="165"/>
      <c r="I29" s="165"/>
      <c r="J29" s="165"/>
      <c r="K29" s="165"/>
      <c r="L29" s="165"/>
      <c r="M29" s="165"/>
      <c r="N29" s="165"/>
      <c r="O29" s="165"/>
      <c r="P29" s="165"/>
      <c r="Q29" s="165"/>
      <c r="R29" s="165"/>
      <c r="S29" s="165"/>
    </row>
    <row r="30" spans="1:26" ht="15.75" customHeight="1">
      <c r="A30" s="26"/>
      <c r="B30" s="140"/>
      <c r="C30" s="26"/>
      <c r="D30" s="140" t="s">
        <v>508</v>
      </c>
      <c r="E30" s="140"/>
      <c r="F30" s="165">
        <f t="array" ref="F30">IFERROR(INDEX(Cashflow!$D$55:$O$55,MATCH(F$6,Cashflow!$D$43:$O$43,0)),0)</f>
        <v>0</v>
      </c>
      <c r="G30" s="165">
        <f t="array" ref="G30">IFERROR(INDEX(Cashflow!$D$55:$O$55,MATCH(G$6,Cashflow!$D$43:$O$43,0)),0)</f>
        <v>0</v>
      </c>
      <c r="H30" s="165">
        <f t="array" ref="H30">IFERROR(INDEX(Cashflow!$D$55:$O$55,MATCH(H$6,Cashflow!$D$43:$O$43,0)),0)</f>
        <v>0</v>
      </c>
      <c r="I30" s="165">
        <f t="array" ref="I30">IFERROR(INDEX(Cashflow!$D$55:$O$55,MATCH(I$6,Cashflow!$D$43:$O$43,0)),0)</f>
        <v>624477.30880068487</v>
      </c>
      <c r="J30" s="165">
        <f t="array" ref="J30">IFERROR(INDEX(Cashflow!$D$55:$O$55,MATCH(J$6,Cashflow!$D$43:$O$43,0)),0)</f>
        <v>698849.59075435891</v>
      </c>
      <c r="K30" s="165">
        <f t="array" ref="K30">IFERROR(INDEX(Cashflow!$D$55:$O$55,MATCH(K$6,Cashflow!$D$43:$O$43,0)),0)</f>
        <v>730710.18190021766</v>
      </c>
      <c r="L30" s="165">
        <f t="array" ref="L30">IFERROR(INDEX(Cashflow!$D$55:$O$55,MATCH(L$6,Cashflow!$D$43:$O$43,0)),0)</f>
        <v>756613.22655889613</v>
      </c>
      <c r="M30" s="165">
        <f t="array" ref="M30">IFERROR(INDEX(Cashflow!$D$55:$O$55,MATCH(M$6,Cashflow!$D$43:$O$43,0)),0)</f>
        <v>778817.88593980111</v>
      </c>
      <c r="N30" s="165">
        <f t="array" ref="N30">IFERROR(INDEX(Cashflow!$D$55:$O$55,MATCH(N$6,Cashflow!$D$43:$O$43,0)),0)</f>
        <v>848128.66028100974</v>
      </c>
      <c r="O30" s="165">
        <f t="array" ref="O30">IFERROR(INDEX(Cashflow!$D$55:$O$55,MATCH(O$6,Cashflow!$D$43:$O$43,0)),0)</f>
        <v>884537.50503226777</v>
      </c>
      <c r="P30" s="165">
        <f t="array" ref="P30">IFERROR(INDEX(Cashflow!$D$55:$O$55,MATCH(P$6,Cashflow!$D$43:$O$43,0)),0)</f>
        <v>910755.55978385615</v>
      </c>
      <c r="Q30" s="165">
        <f t="array" ref="Q30">IFERROR(INDEX(Cashflow!$D$55:$O$55,MATCH(Q$6,Cashflow!$D$43:$O$43,0)),0)</f>
        <v>937777.27726032503</v>
      </c>
      <c r="R30" s="165">
        <f t="array" ref="R30">IFERROR(INDEX(Cashflow!$D$55:$Q$55,MATCH(R$6,Cashflow!$D$43:$Q$43,0)),0)</f>
        <v>973134.30387680512</v>
      </c>
      <c r="S30" s="165">
        <f t="array" ref="S30">IFERROR(INDEX(Cashflow!$D$55:$Q$55,MATCH(S$6,Cashflow!$D$43:$Q$43,0)),0)</f>
        <v>949776.5676944498</v>
      </c>
    </row>
    <row r="31" spans="1:26" ht="15.75" customHeight="1">
      <c r="A31" s="26"/>
      <c r="B31" s="140"/>
      <c r="C31" s="26"/>
      <c r="D31" s="140" t="s">
        <v>509</v>
      </c>
      <c r="E31" s="140"/>
      <c r="F31" s="165">
        <f t="array" ref="F31">INDEX(Debt!$H$49:$S$49, MATCH(F$6, Debt!$H$14:$S$14,0))</f>
        <v>0</v>
      </c>
      <c r="G31" s="165">
        <f t="array" ref="G31">INDEX(Debt!$H$49:$S$49, MATCH(G$6, Debt!$H$14:$S$14,0))</f>
        <v>0</v>
      </c>
      <c r="H31" s="165">
        <f t="array" ref="H31">INDEX(Debt!$H$49:$S$49,MATCH(H$6,Debt!$H$14:$S$14,0))+IFERROR(INDEX(Debt!$H$84:$S$84,MATCH(H$6,Debt!$H$74:$S$74,0)),0)</f>
        <v>850000</v>
      </c>
      <c r="I31" s="165">
        <f t="array" ref="I31">INDEX(Debt!$H$49:$S$49,MATCH(I$6,Debt!$H$14:$S$14,0))+IFERROR(INDEX(Debt!$H$84:$S$84,MATCH(I$6,Debt!$H$74:$S$74,0)),0)</f>
        <v>1584489.375</v>
      </c>
      <c r="J31" s="165">
        <f t="array" ref="J31">INDEX(Debt!$H$49:$S$49,MATCH(J$6,Debt!$H$14:$S$14,0))+IFERROR(INDEX(Debt!$H$84:$S$84,MATCH(J$6,Debt!$H$74:$S$74,0)),0)</f>
        <v>1584489.375</v>
      </c>
      <c r="K31" s="165">
        <f t="array" ref="K31">INDEX(Debt!$H$49:$S$49,MATCH(K$6,Debt!$H$14:$S$14,0))+IFERROR(INDEX(Debt!$H$84:$S$84,MATCH(K$6,Debt!$H$74:$S$74,0)),0)</f>
        <v>1584489.375</v>
      </c>
      <c r="L31" s="165">
        <f t="array" ref="L31">INDEX(Debt!$H$49:$S$49,MATCH(L$6,Debt!$H$14:$S$14,0))+IFERROR(INDEX(Debt!$H$84:$S$84,MATCH(L$6,Debt!$H$74:$S$74,0)),0)</f>
        <v>1584489.375</v>
      </c>
      <c r="M31" s="165">
        <f t="array" ref="M31">INDEX(Debt!$H$49:$S$49,MATCH(M$6,Debt!$H$14:$S$14,0))+IFERROR(INDEX(Debt!$H$84:$S$84,MATCH(M$6,Debt!$H$74:$S$74,0)),0)</f>
        <v>1584489.375</v>
      </c>
      <c r="N31" s="165">
        <f t="array" ref="N31">INDEX(Debt!$H$49:$S$49,MATCH(N$6,Debt!$H$14:$S$14,0))+IFERROR(INDEX(Debt!$H$84:$S$84,MATCH(N$6,Debt!$H$74:$S$74,0)),0)</f>
        <v>1584489.375</v>
      </c>
      <c r="O31" s="165">
        <f t="array" ref="O31">INDEX(Debt!$H$49:$S$49,MATCH(O$6,Debt!$H$14:$S$14,0))+IFERROR(INDEX(Debt!$H$84:$S$84,MATCH(O$6,Debt!$H$74:$S$74,0)),0)</f>
        <v>1584489.375</v>
      </c>
      <c r="P31" s="165">
        <f t="array" ref="P31">INDEX(Debt!$H$49:$S$49,MATCH(P$6,Debt!$H$14:$S$14,0))+IFERROR(INDEX(Debt!$H$84:$S$84,MATCH(P$6,Debt!$H$74:$S$74,0)),0)</f>
        <v>1584489.375</v>
      </c>
      <c r="Q31" s="165">
        <f t="array" ref="Q31">INDEX(Debt!$H$49:$S$49,MATCH(Q$6,Debt!$H$14:$S$14,0))+IFERROR(INDEX(Debt!$H$84:$S$84,MATCH(Q$6,Debt!$H$74:$S$74,0)),0)</f>
        <v>0</v>
      </c>
      <c r="R31" s="165">
        <f t="array" ref="R31">INDEX(Debt!$H$49:$U$49,MATCH(R$6,Debt!$H$14:$U$14,0))+IFERROR(INDEX(Debt!$H$84:$U$84,MATCH(R$6,Debt!$H$74:$U$74,0)),0)</f>
        <v>0</v>
      </c>
      <c r="S31" s="165">
        <f t="array" ref="S31">INDEX(Debt!$H$49:$U$49,MATCH(S$6,Debt!$H$14:$U$14,0))+IFERROR(INDEX(Debt!$H$84:$U$84,MATCH(S$6,Debt!$H$74:$U$74,0)),0)</f>
        <v>0</v>
      </c>
    </row>
    <row r="32" spans="1:26" ht="15.75" customHeight="1">
      <c r="A32" s="26"/>
      <c r="B32" s="140"/>
      <c r="C32" s="26"/>
      <c r="D32" s="140" t="s">
        <v>510</v>
      </c>
      <c r="E32" s="140"/>
      <c r="F32" s="165">
        <v>0</v>
      </c>
      <c r="G32" s="165">
        <v>0</v>
      </c>
      <c r="H32" s="165">
        <v>0</v>
      </c>
      <c r="I32" s="165">
        <v>0</v>
      </c>
      <c r="J32" s="165">
        <v>0</v>
      </c>
      <c r="K32" s="165">
        <v>0</v>
      </c>
      <c r="L32" s="165">
        <v>0</v>
      </c>
      <c r="M32" s="165">
        <v>0</v>
      </c>
      <c r="N32" s="165">
        <v>0</v>
      </c>
      <c r="O32" s="165">
        <v>0</v>
      </c>
      <c r="P32" s="165">
        <v>0</v>
      </c>
      <c r="Q32" s="165">
        <v>0</v>
      </c>
      <c r="R32" s="165">
        <f>Q32+'P&amp;L'!S87+Cashflow!P31</f>
        <v>0</v>
      </c>
      <c r="S32" s="165">
        <f>R32+'P&amp;L'!T87+Cashflow!Q31</f>
        <v>0</v>
      </c>
    </row>
    <row r="33" spans="1:26" ht="15.75" customHeight="1">
      <c r="A33" s="26"/>
      <c r="B33" s="140"/>
      <c r="C33" s="26"/>
      <c r="D33" s="140" t="s">
        <v>511</v>
      </c>
      <c r="E33" s="140"/>
      <c r="F33" s="165">
        <f t="array" ref="F33">INDEX(Cashflow!$D$21:$O$21, MATCH(F$6,Cashflow!$D$7:$O$7,0))-IF(F$6=Inputs!$E$488,Inputs!$H$533*SUM(Cashflow!$D$21:$O$21),0)</f>
        <v>0</v>
      </c>
      <c r="G33" s="165">
        <f t="array" ref="G33">F33+INDEX(Cashflow!$D$21:$O$21, MATCH(G$6,Cashflow!$D$7:$O$7,0))-IF(G$6=Inputs!$E$488,Inputs!$H$533*SUM(Cashflow!$D$21:$O$21),0)</f>
        <v>0</v>
      </c>
      <c r="H33" s="165">
        <f t="array" ref="H33">G33+INDEX(Cashflow!$D$21:$O$21, MATCH(H$6,Cashflow!$D$7:$O$7,0))-IF(H$6=Inputs!$E$488,Inputs!$H$533*SUM(Cashflow!$D$21:$O$21),0)</f>
        <v>0</v>
      </c>
      <c r="I33" s="165">
        <f t="array" ref="I33">H33+INDEX(Cashflow!$D$21:$O$21, MATCH(I$6,Cashflow!$D$7:$O$7,0))-IF(I$6=Inputs!$E$488,Inputs!$H$533*SUM(Cashflow!$D$21:$O$21),0)</f>
        <v>0</v>
      </c>
      <c r="J33" s="165">
        <f t="array" ref="J33">I33+INDEX(Cashflow!$D$21:$O$21, MATCH(J$6,Cashflow!$D$7:$O$7,0))-IF(J$6=Inputs!$E$488,Inputs!$H$533*SUM(Cashflow!$D$21:$O$21),0)</f>
        <v>0</v>
      </c>
      <c r="K33" s="165">
        <f t="array" ref="K33">J33+INDEX(Cashflow!$D$21:$O$21, MATCH(K$6,Cashflow!$D$7:$O$7,0))-IF(K$6=Inputs!$E$488,Inputs!$H$533*SUM(Cashflow!$D$21:$O$21),0)</f>
        <v>0</v>
      </c>
      <c r="L33" s="165">
        <f t="array" ref="L33">K33+INDEX(Cashflow!$D$21:$O$21, MATCH(L$6,Cashflow!$D$7:$O$7,0))-IF(L$6=Inputs!$E$488,Inputs!$H$533*SUM(Cashflow!$D$21:$O$21),0)</f>
        <v>0</v>
      </c>
      <c r="M33" s="165">
        <f t="array" ref="M33">L33+INDEX(Cashflow!$D$21:$O$21, MATCH(M$6,Cashflow!$D$7:$O$7,0))-IF(M$6=Inputs!$E$488,Inputs!$H$533*SUM(Cashflow!$D$21:$O$21),0)</f>
        <v>0</v>
      </c>
      <c r="N33" s="165">
        <f t="array" ref="N33">M33+INDEX(Cashflow!$D$21:$O$21, MATCH(N$6,Cashflow!$D$7:$O$7,0))-IF(N$6=Inputs!$E$488,Inputs!$H$533*SUM(Cashflow!$D$21:$O$21),0)</f>
        <v>0</v>
      </c>
      <c r="O33" s="165">
        <f t="array" ref="O33">N33+INDEX(Cashflow!$D$21:$O$21, MATCH(O$6,Cashflow!$D$7:$O$7,0))-IF(O$6=Inputs!$E$488,Inputs!$H$533*SUM(Cashflow!$D$21:$O$21),0)</f>
        <v>0</v>
      </c>
      <c r="P33" s="165">
        <f t="array" ref="P33">O33+INDEX(Cashflow!$D$21:$O$21, MATCH(P$6,Cashflow!$D$7:$O$7,0))-IF(P$6=Inputs!$E$488,Inputs!$H$533*SUM(Cashflow!$D$21:$O$21),0)</f>
        <v>0</v>
      </c>
      <c r="Q33" s="165">
        <f t="array" ref="Q33">P33+INDEX(Cashflow!$D$21:$O$21, MATCH(Q$6,Cashflow!$D$7:$O$7,0))-IF(Q$6=Inputs!$E$488,Inputs!$H$533*SUM(Cashflow!$D$21:$O$21),0)</f>
        <v>0</v>
      </c>
      <c r="R33" s="165">
        <f t="array" ref="R33">Q33+INDEX(Cashflow!$D$21:$Q$21,MATCH(R$6,Cashflow!$D$7:$Q$7,0))-IF(R$6=Inputs!$E$488,Inputs!$H$533*SUM(Cashflow!$D$21:$Q$21),0)</f>
        <v>0</v>
      </c>
      <c r="S33" s="165">
        <f t="array" ref="S33">R33+INDEX(Cashflow!$D$21:$Q$21,MATCH(S$6,Cashflow!$D$7:$Q$7,0))-IF(S$6=Inputs!$E$488,Inputs!$H$533*SUM(Cashflow!$D$21:$Q$21),0)</f>
        <v>0</v>
      </c>
    </row>
    <row r="34" spans="1:26" ht="15.75" customHeight="1">
      <c r="A34" s="260"/>
      <c r="B34" s="260"/>
      <c r="C34" s="319" t="str">
        <f>"Total "&amp;C29</f>
        <v>Total Current Liabilities</v>
      </c>
      <c r="D34" s="260"/>
      <c r="E34" s="260"/>
      <c r="F34" s="323">
        <f t="shared" ref="F34:S34" si="4">F30+F31+F32+F33</f>
        <v>0</v>
      </c>
      <c r="G34" s="323">
        <f t="shared" si="4"/>
        <v>0</v>
      </c>
      <c r="H34" s="323">
        <f t="shared" si="4"/>
        <v>850000</v>
      </c>
      <c r="I34" s="323">
        <f t="shared" si="4"/>
        <v>2208966.6838006848</v>
      </c>
      <c r="J34" s="323">
        <f t="shared" si="4"/>
        <v>2283338.965754359</v>
      </c>
      <c r="K34" s="323">
        <f t="shared" si="4"/>
        <v>2315199.5569002177</v>
      </c>
      <c r="L34" s="323">
        <f t="shared" si="4"/>
        <v>2341102.6015588962</v>
      </c>
      <c r="M34" s="323">
        <f t="shared" si="4"/>
        <v>2363307.2609398011</v>
      </c>
      <c r="N34" s="323">
        <f t="shared" si="4"/>
        <v>2432618.03528101</v>
      </c>
      <c r="O34" s="323">
        <f t="shared" si="4"/>
        <v>2469026.8800322679</v>
      </c>
      <c r="P34" s="323">
        <f t="shared" si="4"/>
        <v>2495244.9347838564</v>
      </c>
      <c r="Q34" s="323">
        <f t="shared" si="4"/>
        <v>937777.27726032503</v>
      </c>
      <c r="R34" s="323">
        <f t="shared" si="4"/>
        <v>973134.30387680512</v>
      </c>
      <c r="S34" s="323">
        <f t="shared" si="4"/>
        <v>949776.5676944498</v>
      </c>
      <c r="T34" s="265"/>
      <c r="U34" s="265"/>
      <c r="V34" s="265"/>
      <c r="W34" s="265"/>
      <c r="X34" s="265"/>
      <c r="Y34" s="265"/>
      <c r="Z34" s="265"/>
    </row>
    <row r="35" spans="1:26" ht="15.75" customHeight="1">
      <c r="A35" s="26"/>
      <c r="B35" s="26"/>
      <c r="C35" s="26"/>
      <c r="D35" s="26"/>
      <c r="E35" s="26"/>
      <c r="F35" s="165"/>
      <c r="G35" s="165"/>
      <c r="H35" s="165"/>
      <c r="I35" s="165"/>
      <c r="J35" s="165"/>
      <c r="K35" s="165"/>
      <c r="L35" s="165"/>
      <c r="M35" s="165"/>
      <c r="N35" s="165"/>
      <c r="O35" s="165"/>
      <c r="P35" s="165"/>
      <c r="Q35" s="165"/>
      <c r="R35" s="165"/>
      <c r="S35" s="165"/>
    </row>
    <row r="36" spans="1:26" ht="15.75" customHeight="1">
      <c r="A36" s="26"/>
      <c r="B36" s="26"/>
      <c r="C36" s="318" t="s">
        <v>512</v>
      </c>
      <c r="D36" s="26"/>
      <c r="E36" s="26"/>
      <c r="F36" s="165"/>
      <c r="G36" s="165"/>
      <c r="H36" s="165"/>
      <c r="I36" s="165"/>
      <c r="J36" s="165"/>
      <c r="K36" s="165"/>
      <c r="L36" s="165"/>
      <c r="M36" s="165"/>
      <c r="N36" s="165"/>
      <c r="O36" s="165"/>
      <c r="P36" s="165"/>
      <c r="Q36" s="165"/>
      <c r="R36" s="165"/>
      <c r="S36" s="165"/>
    </row>
    <row r="37" spans="1:26" ht="15.75" customHeight="1">
      <c r="A37" s="26"/>
      <c r="B37" s="26"/>
      <c r="C37" s="26"/>
      <c r="D37" s="140" t="s">
        <v>513</v>
      </c>
      <c r="E37" s="140"/>
      <c r="F37" s="165">
        <f t="array" ref="F37">INDEX(Debt!$H$50:$S$50, MATCH(F$6, Debt!$H$14:$S$14,0))</f>
        <v>0</v>
      </c>
      <c r="G37" s="165">
        <f t="array" ref="G37">INDEX(Debt!$H$50:$S$50, MATCH(G$6, Debt!$H$14:$S$14,0))</f>
        <v>0</v>
      </c>
      <c r="H37" s="165">
        <f t="array" ref="H37">INDEX(Debt!$H$50:$S$50,MATCH(H$6,Debt!$H$14:$S$14,0))+IFERROR(INDEX(Debt!$H$85:$S$85,MATCH(H$6,Debt!$H$74:$S$74,0)),0)</f>
        <v>12675915</v>
      </c>
      <c r="I37" s="165">
        <f t="array" ref="I37">INDEX(Debt!$H$50:$S$50,MATCH(I$6,Debt!$H$14:$S$14,0))+IFERROR(INDEX(Debt!$H$85:$S$85,MATCH(I$6,Debt!$H$74:$S$74,0)),0)</f>
        <v>11091425.625</v>
      </c>
      <c r="J37" s="165">
        <f t="array" ref="J37">INDEX(Debt!$H$50:$S$50,MATCH(J$6,Debt!$H$14:$S$14,0))+IFERROR(INDEX(Debt!$H$85:$S$85,MATCH(J$6,Debt!$H$74:$S$74,0)),0)</f>
        <v>9506936.25</v>
      </c>
      <c r="K37" s="165">
        <f t="array" ref="K37">INDEX(Debt!$H$50:$S$50,MATCH(K$6,Debt!$H$14:$S$14,0))+IFERROR(INDEX(Debt!$H$85:$S$85,MATCH(K$6,Debt!$H$74:$S$74,0)),0)</f>
        <v>7922446.875</v>
      </c>
      <c r="L37" s="165">
        <f t="array" ref="L37">INDEX(Debt!$H$50:$S$50,MATCH(L$6,Debt!$H$14:$S$14,0))+IFERROR(INDEX(Debt!$H$85:$S$85,MATCH(L$6,Debt!$H$74:$S$74,0)),0)</f>
        <v>6337957.5</v>
      </c>
      <c r="M37" s="165">
        <f t="array" ref="M37">INDEX(Debt!$H$50:$S$50,MATCH(M$6,Debt!$H$14:$S$14,0))+IFERROR(INDEX(Debt!$H$85:$S$85,MATCH(M$6,Debt!$H$74:$S$74,0)),0)</f>
        <v>4753468.125</v>
      </c>
      <c r="N37" s="165">
        <f t="array" ref="N37">INDEX(Debt!$H$50:$S$50,MATCH(N$6,Debt!$H$14:$S$14,0))+IFERROR(INDEX(Debt!$H$85:$S$85,MATCH(N$6,Debt!$H$74:$S$74,0)),0)</f>
        <v>3168978.75</v>
      </c>
      <c r="O37" s="165">
        <f t="array" ref="O37">INDEX(Debt!$H$50:$S$50,MATCH(O$6,Debt!$H$14:$S$14,0))+IFERROR(INDEX(Debt!$H$85:$S$85,MATCH(O$6,Debt!$H$74:$S$74,0)),0)</f>
        <v>1584489.375</v>
      </c>
      <c r="P37" s="165">
        <f t="array" ref="P37">INDEX(Debt!$H$50:$S$50,MATCH(P$6,Debt!$H$14:$S$14,0))+IFERROR(INDEX(Debt!$H$85:$S$85,MATCH(P$6,Debt!$H$74:$S$74,0)),0)</f>
        <v>0</v>
      </c>
      <c r="Q37" s="165">
        <f t="array" ref="Q37">INDEX(Debt!$H$50:$S$50,MATCH(Q$6,Debt!$H$14:$S$14,0))+IFERROR(INDEX(Debt!$H$85:$S$85,MATCH(Q$6,Debt!$H$74:$S$74,0)),0)</f>
        <v>0</v>
      </c>
      <c r="R37" s="165">
        <f t="array" ref="R37">INDEX(Debt!$H$50:$U$50,MATCH(R$6,Debt!$H$14:$U$14,0))+IFERROR(INDEX(Debt!$H$85:$U$85,MATCH(R$6,Debt!$H$74:$U$74,0)),0)</f>
        <v>0</v>
      </c>
      <c r="S37" s="165">
        <f t="array" ref="S37">INDEX(Debt!$H$50:$U$50,MATCH(S$6,Debt!$H$14:$U$14,0))+IFERROR(INDEX(Debt!$H$85:$U$85,MATCH(S$6,Debt!$H$74:$U$74,0)),0)</f>
        <v>0</v>
      </c>
    </row>
    <row r="38" spans="1:26" ht="15.75" customHeight="1">
      <c r="A38" s="260"/>
      <c r="B38" s="260"/>
      <c r="C38" s="319" t="str">
        <f>"Total " &amp;C36</f>
        <v>Total Non-Current Liabilities</v>
      </c>
      <c r="D38" s="260"/>
      <c r="E38" s="260"/>
      <c r="F38" s="323">
        <f t="shared" ref="F38:S38" si="5">SUM(F37)</f>
        <v>0</v>
      </c>
      <c r="G38" s="323">
        <f t="shared" si="5"/>
        <v>0</v>
      </c>
      <c r="H38" s="323">
        <f t="shared" si="5"/>
        <v>12675915</v>
      </c>
      <c r="I38" s="323">
        <f t="shared" si="5"/>
        <v>11091425.625</v>
      </c>
      <c r="J38" s="323">
        <f t="shared" si="5"/>
        <v>9506936.25</v>
      </c>
      <c r="K38" s="323">
        <f t="shared" si="5"/>
        <v>7922446.875</v>
      </c>
      <c r="L38" s="323">
        <f t="shared" si="5"/>
        <v>6337957.5</v>
      </c>
      <c r="M38" s="323">
        <f t="shared" si="5"/>
        <v>4753468.125</v>
      </c>
      <c r="N38" s="323">
        <f t="shared" si="5"/>
        <v>3168978.75</v>
      </c>
      <c r="O38" s="323">
        <f t="shared" si="5"/>
        <v>1584489.375</v>
      </c>
      <c r="P38" s="323">
        <f t="shared" si="5"/>
        <v>0</v>
      </c>
      <c r="Q38" s="323">
        <f t="shared" si="5"/>
        <v>0</v>
      </c>
      <c r="R38" s="323">
        <f t="shared" si="5"/>
        <v>0</v>
      </c>
      <c r="S38" s="323">
        <f t="shared" si="5"/>
        <v>0</v>
      </c>
      <c r="T38" s="265"/>
      <c r="U38" s="265"/>
      <c r="V38" s="265"/>
      <c r="W38" s="265"/>
      <c r="X38" s="265"/>
      <c r="Y38" s="265"/>
      <c r="Z38" s="265"/>
    </row>
    <row r="39" spans="1:26" ht="15" customHeight="1">
      <c r="A39" s="26"/>
      <c r="B39" s="26"/>
      <c r="C39" s="140" t="s">
        <v>514</v>
      </c>
      <c r="D39" s="140"/>
      <c r="E39" s="140"/>
      <c r="F39" s="324">
        <f t="shared" ref="F39:S39" si="6">F34+F38</f>
        <v>0</v>
      </c>
      <c r="G39" s="324">
        <f t="shared" si="6"/>
        <v>0</v>
      </c>
      <c r="H39" s="324">
        <f t="shared" si="6"/>
        <v>13525915</v>
      </c>
      <c r="I39" s="324">
        <f t="shared" si="6"/>
        <v>13300392.308800684</v>
      </c>
      <c r="J39" s="324">
        <f t="shared" si="6"/>
        <v>11790275.21575436</v>
      </c>
      <c r="K39" s="324">
        <f t="shared" si="6"/>
        <v>10237646.431900218</v>
      </c>
      <c r="L39" s="324">
        <f t="shared" si="6"/>
        <v>8679060.1015588958</v>
      </c>
      <c r="M39" s="324">
        <f t="shared" si="6"/>
        <v>7116775.3859398011</v>
      </c>
      <c r="N39" s="324">
        <f t="shared" si="6"/>
        <v>5601596.78528101</v>
      </c>
      <c r="O39" s="324">
        <f t="shared" si="6"/>
        <v>4053516.2550322679</v>
      </c>
      <c r="P39" s="324">
        <f t="shared" si="6"/>
        <v>2495244.9347838564</v>
      </c>
      <c r="Q39" s="324">
        <f t="shared" si="6"/>
        <v>937777.27726032503</v>
      </c>
      <c r="R39" s="324">
        <f t="shared" si="6"/>
        <v>973134.30387680512</v>
      </c>
      <c r="S39" s="324">
        <f t="shared" si="6"/>
        <v>949776.5676944498</v>
      </c>
    </row>
    <row r="40" spans="1:26" ht="15.75" customHeight="1">
      <c r="A40" s="26"/>
      <c r="B40" s="26"/>
      <c r="C40" s="26"/>
      <c r="D40" s="26"/>
      <c r="E40" s="26"/>
      <c r="F40" s="165"/>
      <c r="G40" s="165"/>
      <c r="H40" s="165"/>
      <c r="I40" s="165"/>
      <c r="J40" s="165"/>
      <c r="K40" s="165"/>
      <c r="L40" s="165"/>
      <c r="M40" s="165"/>
      <c r="N40" s="165"/>
      <c r="O40" s="165"/>
      <c r="P40" s="165"/>
      <c r="Q40" s="165"/>
      <c r="R40" s="165"/>
      <c r="S40" s="165"/>
    </row>
    <row r="41" spans="1:26" ht="15.75" customHeight="1">
      <c r="A41" s="26"/>
      <c r="B41" s="140" t="s">
        <v>515</v>
      </c>
      <c r="C41" s="140"/>
      <c r="D41" s="140"/>
      <c r="E41" s="140"/>
      <c r="F41" s="165"/>
      <c r="G41" s="165"/>
      <c r="H41" s="165"/>
      <c r="I41" s="165"/>
      <c r="J41" s="165"/>
      <c r="K41" s="165"/>
      <c r="L41" s="165"/>
      <c r="M41" s="165"/>
      <c r="N41" s="165"/>
      <c r="O41" s="165"/>
      <c r="P41" s="165"/>
      <c r="Q41" s="165"/>
      <c r="R41" s="165"/>
      <c r="S41" s="165"/>
    </row>
    <row r="42" spans="1:26" ht="15.75" customHeight="1">
      <c r="A42" s="26"/>
      <c r="B42" s="26"/>
      <c r="C42" s="140" t="s">
        <v>516</v>
      </c>
      <c r="D42" s="140"/>
      <c r="E42" s="140"/>
      <c r="F42" s="165">
        <f t="array" ref="F42">INDEX(Cashflow!$D$89:$O$89,MATCH(F$6,Cashflow!$D$7:$O$7,0))</f>
        <v>0</v>
      </c>
      <c r="G42" s="165">
        <f t="array" ref="G42">INDEX(Cashflow!$D$89:$O$89,MATCH(G$6,Cashflow!$D$7:$O$7,0))</f>
        <v>0</v>
      </c>
      <c r="H42" s="165">
        <f t="array" ref="H42">INDEX(Cashflow!$D$89:$O$89,MATCH(H$6,Cashflow!$D$7:$O$7,0))</f>
        <v>8970383.0899999999</v>
      </c>
      <c r="I42" s="165">
        <f t="array" ref="I42">INDEX(Cashflow!$D$89:$O$89,MATCH(I$6,Cashflow!$D$7:$O$7,0))</f>
        <v>8970383.0899999999</v>
      </c>
      <c r="J42" s="165">
        <f t="array" ref="J42">INDEX(Cashflow!$D$89:$O$89,MATCH(J$6,Cashflow!$D$7:$O$7,0))</f>
        <v>8970383.0899999999</v>
      </c>
      <c r="K42" s="165">
        <f t="array" ref="K42">INDEX(Cashflow!$D$89:$O$89,MATCH(K$6,Cashflow!$D$7:$O$7,0))</f>
        <v>8970383.0899999999</v>
      </c>
      <c r="L42" s="165">
        <f t="array" ref="L42">INDEX(Cashflow!$D$89:$O$89,MATCH(L$6,Cashflow!$D$7:$O$7,0))</f>
        <v>8970383.0899999999</v>
      </c>
      <c r="M42" s="165">
        <f t="array" ref="M42">INDEX(Cashflow!$D$89:$O$89,MATCH(M$6,Cashflow!$D$7:$O$7,0))</f>
        <v>8970383.0899999999</v>
      </c>
      <c r="N42" s="165">
        <f t="array" ref="N42">INDEX(Cashflow!$D$89:$O$89,MATCH(N$6,Cashflow!$D$7:$O$7,0))</f>
        <v>8970383.0899999999</v>
      </c>
      <c r="O42" s="165">
        <f t="array" ref="O42">INDEX(Cashflow!$D$89:$O$89,MATCH(O$6,Cashflow!$D$7:$O$7,0))</f>
        <v>8970383.0899999999</v>
      </c>
      <c r="P42" s="165">
        <f t="array" ref="P42">INDEX(Cashflow!$D$89:$O$89,MATCH(P$6,Cashflow!$D$7:$O$7,0))</f>
        <v>8970383.0899999999</v>
      </c>
      <c r="Q42" s="165">
        <f t="array" ref="Q42">INDEX(Cashflow!$D$89:$O$89,MATCH(Q$6,Cashflow!$D$7:$O$7,0))</f>
        <v>8970383.0899999999</v>
      </c>
      <c r="R42" s="165">
        <f t="array" ref="R42">INDEX(Cashflow!$D$89:$Q$89,MATCH(R$6,Cashflow!$D$7:$Q$7,0))</f>
        <v>8970383.0899999999</v>
      </c>
      <c r="S42" s="165">
        <f t="array" ref="S42">INDEX(Cashflow!$D$89:$Q$89,MATCH(S$6,Cashflow!$D$7:$Q$7,0))</f>
        <v>8970383.0899999999</v>
      </c>
    </row>
    <row r="43" spans="1:26" ht="15.75" customHeight="1">
      <c r="A43" s="26"/>
      <c r="B43" s="26"/>
      <c r="C43" s="140" t="s">
        <v>517</v>
      </c>
      <c r="D43" s="140"/>
      <c r="E43" s="140"/>
      <c r="F43" s="165">
        <f t="array" ref="F43">INDEX('P&amp;L'!$G$95:$R$95,MATCH(F$6,'P&amp;L'!$G$6:$R$6,0))-INDEX('P&amp;L'!$G$104:$R$104,MATCH(F$6,'P&amp;L'!$G$6:$R$6,0))</f>
        <v>0</v>
      </c>
      <c r="G43" s="165">
        <f t="array" ref="G43">F43+INDEX('P&amp;L'!$G$95:$T$95,MATCH(G$6,'P&amp;L'!$G$6:$T$6,0))-INDEX('P&amp;L'!$G$105:$T$105,MATCH(G$6,'P&amp;L'!$G$6:$T$6,0))</f>
        <v>0</v>
      </c>
      <c r="H43" s="165">
        <f t="array" ref="H43">G43+INDEX('P&amp;L'!$G$95:$T$95,MATCH(H$6,'P&amp;L'!$G$6:$T$6,0))-INDEX('P&amp;L'!$G$105:$T$105,MATCH(H$6,'P&amp;L'!$G$6:$T$6,0))</f>
        <v>-1463544.69</v>
      </c>
      <c r="I43" s="165">
        <f t="array" ref="I43">H43+INDEX('P&amp;L'!$G$95:$T$95,MATCH(I$6,'P&amp;L'!$G$6:$T$6,0))-INDEX('P&amp;L'!$G$105:$T$105,MATCH(I$6,'P&amp;L'!$G$6:$T$6,0))</f>
        <v>869285.59586325753</v>
      </c>
      <c r="J43" s="165">
        <f t="array" ref="J43">I43+INDEX('P&amp;L'!$G$95:$T$95,MATCH(J$6,'P&amp;L'!$G$6:$T$6,0))-INDEX('P&amp;L'!$G$105:$T$105,MATCH(J$6,'P&amp;L'!$G$6:$T$6,0))</f>
        <v>2041723.8930687327</v>
      </c>
      <c r="K43" s="165">
        <f t="array" ref="K43">J43+INDEX('P&amp;L'!$G$95:$T$95,MATCH(K$6,'P&amp;L'!$G$6:$T$6,0))-INDEX('P&amp;L'!$G$105:$T$105,MATCH(K$6,'P&amp;L'!$G$6:$T$6,0))</f>
        <v>3348574.8973354623</v>
      </c>
      <c r="L43" s="165">
        <f t="array" ref="L43">K43+INDEX('P&amp;L'!$G$95:$T$95,MATCH(L$6,'P&amp;L'!$G$6:$T$6,0))-INDEX('P&amp;L'!$G$105:$T$105,MATCH(L$6,'P&amp;L'!$G$6:$T$6,0))</f>
        <v>4813106.1777686607</v>
      </c>
      <c r="M43" s="165">
        <f t="array" ref="M43">L43+INDEX('P&amp;L'!$G$95:$T$95,MATCH(M$6,'P&amp;L'!$G$6:$T$6,0))-INDEX('P&amp;L'!$G$105:$T$105,MATCH(M$6,'P&amp;L'!$G$6:$T$6,0))</f>
        <v>6274778.3627241589</v>
      </c>
      <c r="N43" s="165">
        <f t="array" ref="N43">M43+INDEX('P&amp;L'!$G$95:$T$95,MATCH(N$6,'P&amp;L'!$G$6:$T$6,0))-INDEX('P&amp;L'!$G$105:$T$105,MATCH(N$6,'P&amp;L'!$G$6:$T$6,0))</f>
        <v>7661319.2324635219</v>
      </c>
      <c r="O43" s="165">
        <f t="array" ref="O43">N43+INDEX('P&amp;L'!$G$95:$T$95,MATCH(O$6,'P&amp;L'!$G$6:$T$6,0))-INDEX('P&amp;L'!$G$105:$T$105,MATCH(O$6,'P&amp;L'!$G$6:$T$6,0))</f>
        <v>9110900.907258518</v>
      </c>
      <c r="P43" s="165">
        <f t="array" ref="P43">O43+INDEX('P&amp;L'!$G$95:$T$95,MATCH(P$6,'P&amp;L'!$G$6:$T$6,0))-INDEX('P&amp;L'!$G$105:$T$105,MATCH(P$6,'P&amp;L'!$G$6:$T$6,0))</f>
        <v>10620354.127962582</v>
      </c>
      <c r="Q43" s="165">
        <f t="array" ref="Q43">P43+INDEX('P&amp;L'!$G$95:$T$95,MATCH(Q$6,'P&amp;L'!$G$6:$T$6,0))-INDEX('P&amp;L'!$G$105:$T$105,MATCH(Q$6,'P&amp;L'!$G$6:$T$6,0))</f>
        <v>12179563.393990319</v>
      </c>
      <c r="R43" s="165">
        <f t="array" ref="R43">Q43+INDEX('P&amp;L'!$G$95:$T$95,MATCH(R$6,'P&amp;L'!$G$6:$T$6,0))-INDEX('P&amp;L'!$G$105:$T$105,MATCH(R$6,'P&amp;L'!$G$6:$T$6,0))</f>
        <v>13760240.153921448</v>
      </c>
      <c r="S43" s="165">
        <f t="array" ref="S43">R43+INDEX('P&amp;L'!$G$95:$T$95,MATCH(S$6,'P&amp;L'!$G$6:$T$6,0))-INDEX('P&amp;L'!$G$105:$T$105,MATCH(S$6,'P&amp;L'!$G$6:$T$6,0))</f>
        <v>15646849.552317418</v>
      </c>
    </row>
    <row r="44" spans="1:26" ht="15.75" customHeight="1">
      <c r="A44" s="26"/>
      <c r="B44" s="26"/>
      <c r="C44" s="26"/>
      <c r="D44" s="26"/>
      <c r="E44" s="26"/>
      <c r="F44" s="165"/>
      <c r="G44" s="165"/>
      <c r="H44" s="165"/>
      <c r="I44" s="165"/>
      <c r="J44" s="165"/>
      <c r="K44" s="165"/>
      <c r="L44" s="165"/>
      <c r="M44" s="165"/>
      <c r="N44" s="165"/>
      <c r="O44" s="165"/>
      <c r="P44" s="165"/>
      <c r="Q44" s="165"/>
      <c r="R44" s="165"/>
      <c r="S44" s="165"/>
    </row>
    <row r="45" spans="1:26" ht="15" customHeight="1">
      <c r="A45" s="260"/>
      <c r="B45" s="285" t="s">
        <v>518</v>
      </c>
      <c r="C45" s="285"/>
      <c r="D45" s="285"/>
      <c r="E45" s="285"/>
      <c r="F45" s="325">
        <f t="shared" ref="F45:S45" si="7">SUM(F42:F43)</f>
        <v>0</v>
      </c>
      <c r="G45" s="325">
        <f t="shared" si="7"/>
        <v>0</v>
      </c>
      <c r="H45" s="325">
        <f t="shared" si="7"/>
        <v>7506838.4000000004</v>
      </c>
      <c r="I45" s="325">
        <f t="shared" si="7"/>
        <v>9839668.6858632565</v>
      </c>
      <c r="J45" s="325">
        <f t="shared" si="7"/>
        <v>11012106.983068733</v>
      </c>
      <c r="K45" s="325">
        <f t="shared" si="7"/>
        <v>12318957.987335462</v>
      </c>
      <c r="L45" s="325">
        <f t="shared" si="7"/>
        <v>13783489.267768661</v>
      </c>
      <c r="M45" s="325">
        <f t="shared" si="7"/>
        <v>15245161.452724159</v>
      </c>
      <c r="N45" s="325">
        <f t="shared" si="7"/>
        <v>16631702.322463522</v>
      </c>
      <c r="O45" s="325">
        <f t="shared" si="7"/>
        <v>18081283.997258518</v>
      </c>
      <c r="P45" s="325">
        <f t="shared" si="7"/>
        <v>19590737.217962582</v>
      </c>
      <c r="Q45" s="325">
        <f t="shared" si="7"/>
        <v>21149946.483990319</v>
      </c>
      <c r="R45" s="325">
        <f t="shared" si="7"/>
        <v>22730623.243921448</v>
      </c>
      <c r="S45" s="325">
        <f t="shared" si="7"/>
        <v>24617232.642317418</v>
      </c>
      <c r="T45" s="265"/>
      <c r="U45" s="265"/>
      <c r="V45" s="265"/>
      <c r="W45" s="265"/>
      <c r="X45" s="265"/>
      <c r="Y45" s="265"/>
      <c r="Z45" s="265"/>
    </row>
    <row r="46" spans="1:26" ht="15.75" customHeight="1">
      <c r="A46" s="147"/>
      <c r="B46" s="26"/>
      <c r="C46" s="26"/>
      <c r="D46" s="26"/>
      <c r="E46" s="26"/>
      <c r="F46" s="165"/>
      <c r="G46" s="165"/>
      <c r="H46" s="165"/>
      <c r="I46" s="165"/>
      <c r="J46" s="165"/>
      <c r="K46" s="165"/>
      <c r="L46" s="165"/>
      <c r="M46" s="165"/>
      <c r="N46" s="165"/>
      <c r="O46" s="165"/>
      <c r="P46" s="165"/>
      <c r="Q46" s="165"/>
      <c r="R46" s="165"/>
      <c r="S46" s="165"/>
    </row>
    <row r="47" spans="1:26" ht="15.75" customHeight="1">
      <c r="A47" s="147"/>
      <c r="B47" s="26"/>
      <c r="C47" s="26"/>
      <c r="D47" s="26"/>
      <c r="E47" s="26"/>
      <c r="F47" s="165"/>
      <c r="G47" s="165"/>
      <c r="H47" s="165"/>
      <c r="I47" s="165"/>
      <c r="J47" s="165"/>
      <c r="K47" s="165"/>
      <c r="L47" s="165"/>
      <c r="M47" s="165"/>
      <c r="N47" s="165"/>
      <c r="O47" s="165"/>
      <c r="P47" s="165"/>
      <c r="Q47" s="165"/>
      <c r="R47" s="165"/>
      <c r="S47" s="165"/>
    </row>
    <row r="48" spans="1:26" ht="15.75" customHeight="1">
      <c r="A48" s="147" t="s">
        <v>477</v>
      </c>
      <c r="B48" s="26"/>
      <c r="C48" s="26"/>
      <c r="D48" s="26"/>
      <c r="E48" s="26"/>
      <c r="F48" s="165"/>
      <c r="G48" s="165"/>
      <c r="H48" s="165"/>
      <c r="I48" s="165"/>
      <c r="J48" s="165"/>
      <c r="K48" s="165"/>
      <c r="L48" s="165"/>
      <c r="M48" s="165"/>
      <c r="N48" s="165"/>
      <c r="O48" s="165"/>
      <c r="P48" s="165"/>
      <c r="Q48" s="165"/>
      <c r="R48" s="165"/>
      <c r="S48" s="165"/>
    </row>
    <row r="49" spans="1:26" ht="15.75" customHeight="1">
      <c r="A49" s="326"/>
      <c r="B49" s="327" t="s">
        <v>519</v>
      </c>
      <c r="C49" s="327"/>
      <c r="D49" s="327"/>
      <c r="E49" s="327"/>
      <c r="F49" s="328">
        <f t="shared" ref="F49:S49" si="8">F25-F39-F45</f>
        <v>0</v>
      </c>
      <c r="G49" s="328">
        <f t="shared" si="8"/>
        <v>0</v>
      </c>
      <c r="H49" s="328">
        <f t="shared" si="8"/>
        <v>0</v>
      </c>
      <c r="I49" s="328">
        <f t="shared" si="8"/>
        <v>0</v>
      </c>
      <c r="J49" s="328">
        <f t="shared" si="8"/>
        <v>0</v>
      </c>
      <c r="K49" s="328">
        <f t="shared" si="8"/>
        <v>0</v>
      </c>
      <c r="L49" s="328">
        <f t="shared" si="8"/>
        <v>0</v>
      </c>
      <c r="M49" s="328">
        <f t="shared" si="8"/>
        <v>0</v>
      </c>
      <c r="N49" s="328">
        <f t="shared" si="8"/>
        <v>0</v>
      </c>
      <c r="O49" s="328">
        <f t="shared" si="8"/>
        <v>0</v>
      </c>
      <c r="P49" s="328">
        <f t="shared" si="8"/>
        <v>0</v>
      </c>
      <c r="Q49" s="328">
        <f t="shared" si="8"/>
        <v>0</v>
      </c>
      <c r="R49" s="328">
        <f t="shared" si="8"/>
        <v>0</v>
      </c>
      <c r="S49" s="328">
        <f t="shared" si="8"/>
        <v>0</v>
      </c>
      <c r="T49" s="329"/>
      <c r="U49" s="329"/>
      <c r="V49" s="329"/>
      <c r="W49" s="329"/>
      <c r="X49" s="329"/>
      <c r="Y49" s="329"/>
      <c r="Z49" s="329"/>
    </row>
    <row r="50" spans="1:26" ht="15.75" customHeight="1">
      <c r="A50" s="326"/>
      <c r="B50" s="327" t="s">
        <v>520</v>
      </c>
      <c r="C50" s="327"/>
      <c r="D50" s="327"/>
      <c r="E50" s="327" t="s">
        <v>521</v>
      </c>
      <c r="F50" s="328" t="str">
        <f>IF(F6=Inputs!$E$488,"N/A (Exit Yr)",IF(ABS(F49)&lt;1,"OK","CHECK"))</f>
        <v>OK</v>
      </c>
      <c r="G50" s="328" t="str">
        <f>IF(G6=Inputs!$E$488,"N/A (Exit Yr)",IF(ABS(G49)&lt;1,"OK","CHECK"))</f>
        <v>OK</v>
      </c>
      <c r="H50" s="328" t="str">
        <f>IF(H6=Inputs!$E$488,"N/A (Exit Yr)",IF(ABS(H49)&lt;1,"OK","CHECK"))</f>
        <v>OK</v>
      </c>
      <c r="I50" s="328" t="str">
        <f>IF(I6=Inputs!$E$488,"N/A (Exit Yr)",IF(ABS(I49)&lt;1,"OK","CHECK"))</f>
        <v>OK</v>
      </c>
      <c r="J50" s="328" t="str">
        <f>IF(J6=Inputs!$E$488,"N/A (Exit Yr)",IF(ABS(J49)&lt;1,"OK","CHECK"))</f>
        <v>OK</v>
      </c>
      <c r="K50" s="328" t="str">
        <f>IF(K6=Inputs!$E$488,"N/A (Exit Yr)",IF(ABS(K49)&lt;1,"OK","CHECK"))</f>
        <v>OK</v>
      </c>
      <c r="L50" s="328" t="str">
        <f>IF(L6=Inputs!$E$488,"N/A (Exit Yr)",IF(ABS(L49)&lt;1,"OK","CHECK"))</f>
        <v>OK</v>
      </c>
      <c r="M50" s="328" t="str">
        <f>IF(M6=Inputs!$E$488,"N/A (Exit Yr)",IF(ABS(M49)&lt;1,"OK","CHECK"))</f>
        <v>OK</v>
      </c>
      <c r="N50" s="328" t="str">
        <f>IF(N6=Inputs!$E$488,"N/A (Exit Yr)",IF(ABS(N49)&lt;1,"OK","CHECK"))</f>
        <v>OK</v>
      </c>
      <c r="O50" s="328" t="str">
        <f>IF(O6=Inputs!$E$488,"N/A (Exit Yr)",IF(ABS(O49)&lt;1,"OK","CHECK"))</f>
        <v>OK</v>
      </c>
      <c r="P50" s="328" t="str">
        <f>IF(P6=Inputs!$E$488,"N/A (Exit Yr)",IF(ABS(P49)&lt;1,"OK","CHECK"))</f>
        <v>OK</v>
      </c>
      <c r="Q50" s="328" t="str">
        <f>IF(Q6=Inputs!$E$488,"N/A (Exit Yr)",IF(ABS(Q49)&lt;1,"OK","CHECK"))</f>
        <v>OK</v>
      </c>
      <c r="R50" s="328" t="str">
        <f>IF(R6=Inputs!$E$488,"N/A (Exit Yr)",IF(ABS(R49)&lt;1,"OK","CHECK"))</f>
        <v>OK</v>
      </c>
      <c r="S50" s="328" t="str">
        <f>IF(S6=Inputs!$E$488,"N/A (Exit Yr)",IF(ABS(S49)&lt;1,"OK","CHECK"))</f>
        <v>N/A (Exit Yr)</v>
      </c>
      <c r="T50" s="329"/>
      <c r="U50" s="329"/>
      <c r="V50" s="329"/>
      <c r="W50" s="329"/>
      <c r="X50" s="329"/>
      <c r="Y50" s="329"/>
      <c r="Z50" s="329"/>
    </row>
    <row r="51" spans="1:26" ht="15.75" customHeight="1">
      <c r="A51" s="326"/>
      <c r="B51" s="326"/>
      <c r="C51" s="326"/>
      <c r="D51" s="326"/>
      <c r="E51" s="326"/>
      <c r="F51" s="330"/>
      <c r="G51" s="330"/>
      <c r="H51" s="330"/>
      <c r="I51" s="330"/>
      <c r="J51" s="330"/>
      <c r="K51" s="330"/>
      <c r="L51" s="330"/>
      <c r="M51" s="330"/>
      <c r="N51" s="330"/>
      <c r="O51" s="330"/>
      <c r="P51" s="330"/>
      <c r="Q51" s="330"/>
      <c r="R51" s="330"/>
      <c r="S51" s="330"/>
      <c r="T51" s="329"/>
      <c r="U51" s="329"/>
      <c r="V51" s="329"/>
      <c r="W51" s="329"/>
      <c r="X51" s="329"/>
      <c r="Y51" s="329"/>
      <c r="Z51" s="329"/>
    </row>
    <row r="52" spans="1:26" ht="15.75" customHeight="1">
      <c r="A52" s="326"/>
      <c r="B52" s="331" t="s">
        <v>522</v>
      </c>
      <c r="C52" s="326"/>
      <c r="D52" s="326"/>
      <c r="E52" s="326"/>
      <c r="F52" s="330"/>
      <c r="G52" s="330"/>
      <c r="H52" s="330"/>
      <c r="I52" s="330"/>
      <c r="J52" s="330"/>
      <c r="K52" s="330"/>
      <c r="L52" s="330"/>
      <c r="M52" s="330"/>
      <c r="N52" s="330"/>
      <c r="O52" s="330"/>
      <c r="P52" s="330"/>
      <c r="Q52" s="330"/>
      <c r="R52" s="330"/>
      <c r="S52" s="330"/>
      <c r="T52" s="329"/>
      <c r="U52" s="329"/>
      <c r="V52" s="329"/>
      <c r="W52" s="329"/>
      <c r="X52" s="329"/>
      <c r="Y52" s="329"/>
      <c r="Z52" s="329"/>
    </row>
    <row r="53" spans="1:26" ht="15.75" customHeight="1">
      <c r="A53" s="326"/>
      <c r="B53" s="326"/>
      <c r="C53" s="326"/>
      <c r="D53" s="326"/>
      <c r="E53" s="326"/>
      <c r="F53" s="330"/>
      <c r="G53" s="330"/>
      <c r="H53" s="330"/>
      <c r="I53" s="330"/>
      <c r="J53" s="330"/>
      <c r="K53" s="330"/>
      <c r="L53" s="330"/>
      <c r="M53" s="330"/>
      <c r="N53" s="330"/>
      <c r="O53" s="330"/>
      <c r="P53" s="330"/>
      <c r="Q53" s="330"/>
      <c r="R53" s="330"/>
      <c r="S53" s="330"/>
      <c r="T53" s="329"/>
      <c r="U53" s="329"/>
      <c r="V53" s="329"/>
      <c r="W53" s="329"/>
      <c r="X53" s="329"/>
      <c r="Y53" s="329"/>
      <c r="Z53" s="329"/>
    </row>
    <row r="54" spans="1:26" ht="15.75" customHeight="1">
      <c r="A54" s="326"/>
      <c r="B54" s="326" t="s">
        <v>478</v>
      </c>
      <c r="C54" s="326"/>
      <c r="D54" s="326"/>
      <c r="E54" s="326" t="s">
        <v>150</v>
      </c>
      <c r="F54" s="330" t="s">
        <v>151</v>
      </c>
      <c r="G54" s="330" t="s">
        <v>152</v>
      </c>
      <c r="H54" s="330" t="s">
        <v>153</v>
      </c>
      <c r="I54" s="330" t="s">
        <v>154</v>
      </c>
      <c r="J54" s="330" t="s">
        <v>155</v>
      </c>
      <c r="K54" s="330" t="s">
        <v>201</v>
      </c>
      <c r="L54" s="330" t="s">
        <v>202</v>
      </c>
      <c r="M54" s="330" t="s">
        <v>203</v>
      </c>
      <c r="N54" s="330" t="s">
        <v>204</v>
      </c>
      <c r="O54" s="330" t="s">
        <v>205</v>
      </c>
      <c r="P54" s="330" t="s">
        <v>206</v>
      </c>
      <c r="Q54" s="330"/>
      <c r="R54" s="330"/>
      <c r="S54" s="330"/>
      <c r="T54" s="329"/>
      <c r="U54" s="329"/>
      <c r="V54" s="329"/>
      <c r="W54" s="329"/>
      <c r="X54" s="329"/>
      <c r="Y54" s="329"/>
      <c r="Z54" s="329"/>
    </row>
    <row r="55" spans="1:26" ht="15.75" customHeight="1">
      <c r="A55" s="326"/>
      <c r="B55" s="326" t="s">
        <v>523</v>
      </c>
      <c r="C55" s="326"/>
      <c r="D55" s="326"/>
      <c r="E55" s="326"/>
      <c r="F55" s="330">
        <f t="shared" ref="F55:S55" si="9">F49</f>
        <v>0</v>
      </c>
      <c r="G55" s="330">
        <f t="shared" si="9"/>
        <v>0</v>
      </c>
      <c r="H55" s="330">
        <f t="shared" si="9"/>
        <v>0</v>
      </c>
      <c r="I55" s="330">
        <f t="shared" si="9"/>
        <v>0</v>
      </c>
      <c r="J55" s="330">
        <f t="shared" si="9"/>
        <v>0</v>
      </c>
      <c r="K55" s="330">
        <f t="shared" si="9"/>
        <v>0</v>
      </c>
      <c r="L55" s="330">
        <f t="shared" si="9"/>
        <v>0</v>
      </c>
      <c r="M55" s="330">
        <f t="shared" si="9"/>
        <v>0</v>
      </c>
      <c r="N55" s="330">
        <f t="shared" si="9"/>
        <v>0</v>
      </c>
      <c r="O55" s="330">
        <f t="shared" si="9"/>
        <v>0</v>
      </c>
      <c r="P55" s="330">
        <f t="shared" si="9"/>
        <v>0</v>
      </c>
      <c r="Q55" s="330">
        <f t="shared" si="9"/>
        <v>0</v>
      </c>
      <c r="R55" s="330">
        <f t="shared" si="9"/>
        <v>0</v>
      </c>
      <c r="S55" s="330">
        <f t="shared" si="9"/>
        <v>0</v>
      </c>
      <c r="T55" s="329"/>
      <c r="U55" s="329"/>
      <c r="V55" s="329"/>
      <c r="W55" s="329"/>
      <c r="X55" s="329"/>
      <c r="Y55" s="329"/>
      <c r="Z55" s="329"/>
    </row>
    <row r="56" spans="1:26" ht="15.75" customHeight="1">
      <c r="A56" s="326"/>
      <c r="B56" s="326" t="s">
        <v>524</v>
      </c>
      <c r="C56" s="326"/>
      <c r="D56" s="326"/>
      <c r="E56" s="326"/>
      <c r="F56" s="330">
        <f>F10-Cashflow!D38</f>
        <v>0</v>
      </c>
      <c r="G56" s="330">
        <f>G10-Cashflow!E38</f>
        <v>0</v>
      </c>
      <c r="H56" s="330">
        <f>H10-Cashflow!F38</f>
        <v>0</v>
      </c>
      <c r="I56" s="330">
        <f>I10-Cashflow!G38</f>
        <v>0</v>
      </c>
      <c r="J56" s="330">
        <f>J10-Cashflow!H38</f>
        <v>0</v>
      </c>
      <c r="K56" s="330">
        <f>K10-Cashflow!I38</f>
        <v>0</v>
      </c>
      <c r="L56" s="330">
        <f>L10-Cashflow!J38</f>
        <v>0</v>
      </c>
      <c r="M56" s="330">
        <f>M10-Cashflow!K38</f>
        <v>0</v>
      </c>
      <c r="N56" s="330">
        <f>N10-Cashflow!L38</f>
        <v>0</v>
      </c>
      <c r="O56" s="330">
        <f>O10-Cashflow!M38</f>
        <v>0</v>
      </c>
      <c r="P56" s="330">
        <f>P10-Cashflow!N38</f>
        <v>0</v>
      </c>
      <c r="Q56" s="330">
        <f>Q10-Cashflow!O38</f>
        <v>0</v>
      </c>
      <c r="R56" s="330">
        <f>R10-Cashflow!P38</f>
        <v>0</v>
      </c>
      <c r="S56" s="330">
        <f>S10-Cashflow!Q38</f>
        <v>0</v>
      </c>
      <c r="T56" s="329"/>
      <c r="U56" s="329"/>
      <c r="V56" s="329"/>
      <c r="W56" s="329"/>
      <c r="X56" s="329"/>
      <c r="Y56" s="329"/>
      <c r="Z56" s="329"/>
    </row>
    <row r="57" spans="1:26" ht="15.75" customHeight="1">
      <c r="A57" s="326"/>
      <c r="B57" s="326" t="s">
        <v>525</v>
      </c>
      <c r="C57" s="326"/>
      <c r="D57" s="326"/>
      <c r="E57" s="326"/>
      <c r="F57" s="330">
        <f>F22-'Construction Timeline'!D238</f>
        <v>0</v>
      </c>
      <c r="G57" s="330">
        <f>G22-'Construction Timeline'!E238</f>
        <v>0</v>
      </c>
      <c r="H57" s="330">
        <f>H22-'Construction Timeline'!F238</f>
        <v>0</v>
      </c>
      <c r="I57" s="330">
        <f>I22-'Construction Timeline'!G238</f>
        <v>0</v>
      </c>
      <c r="J57" s="330">
        <f>J22-'Construction Timeline'!H238</f>
        <v>0</v>
      </c>
      <c r="K57" s="330">
        <f>K22-'Construction Timeline'!I238</f>
        <v>0</v>
      </c>
      <c r="L57" s="330">
        <f>L22-'Construction Timeline'!J238</f>
        <v>0</v>
      </c>
      <c r="M57" s="330">
        <f>M22-'Construction Timeline'!K238</f>
        <v>0</v>
      </c>
      <c r="N57" s="330">
        <f>N22-'Construction Timeline'!L238</f>
        <v>0</v>
      </c>
      <c r="O57" s="330">
        <f>O22-'Construction Timeline'!M238</f>
        <v>0</v>
      </c>
      <c r="P57" s="330">
        <f>P22-'Construction Timeline'!N238</f>
        <v>0</v>
      </c>
      <c r="Q57" s="330">
        <f>Q22-'Construction Timeline'!O238</f>
        <v>0</v>
      </c>
      <c r="R57" s="330">
        <f>R22-'Construction Timeline'!S238</f>
        <v>0</v>
      </c>
      <c r="S57" s="330">
        <f>S22-'Construction Timeline'!T238</f>
        <v>0</v>
      </c>
      <c r="T57" s="329"/>
      <c r="U57" s="329"/>
      <c r="V57" s="329"/>
      <c r="W57" s="329"/>
      <c r="X57" s="329"/>
      <c r="Y57" s="329"/>
      <c r="Z57" s="329"/>
    </row>
    <row r="58" spans="1:26" ht="15.75" customHeight="1">
      <c r="A58" s="326"/>
      <c r="B58" s="326"/>
      <c r="C58" s="326"/>
      <c r="D58" s="326"/>
      <c r="E58" s="326"/>
      <c r="F58" s="330"/>
      <c r="G58" s="330"/>
      <c r="H58" s="330"/>
      <c r="I58" s="330"/>
      <c r="J58" s="330"/>
      <c r="K58" s="330"/>
      <c r="L58" s="330"/>
      <c r="M58" s="330"/>
      <c r="N58" s="330"/>
      <c r="O58" s="330"/>
      <c r="P58" s="330"/>
      <c r="Q58" s="330"/>
      <c r="R58" s="330"/>
      <c r="S58" s="330"/>
      <c r="T58" s="329"/>
      <c r="U58" s="329"/>
      <c r="V58" s="329"/>
      <c r="W58" s="329"/>
      <c r="X58" s="329"/>
      <c r="Y58" s="329"/>
      <c r="Z58" s="329"/>
    </row>
    <row r="59" spans="1:26" ht="15.75" customHeight="1">
      <c r="A59" s="326"/>
      <c r="B59" s="331" t="s">
        <v>526</v>
      </c>
      <c r="C59" s="326"/>
      <c r="D59" s="326"/>
      <c r="E59" s="326"/>
      <c r="F59" s="330" t="s">
        <v>527</v>
      </c>
      <c r="G59" s="330"/>
      <c r="H59" s="330"/>
      <c r="I59" s="330"/>
      <c r="J59" s="330"/>
      <c r="K59" s="330"/>
      <c r="L59" s="330"/>
      <c r="M59" s="330"/>
      <c r="N59" s="330"/>
      <c r="O59" s="330"/>
      <c r="P59" s="330"/>
      <c r="Q59" s="330"/>
      <c r="R59" s="330"/>
      <c r="S59" s="330"/>
      <c r="T59" s="329"/>
      <c r="U59" s="329"/>
      <c r="V59" s="329"/>
      <c r="W59" s="329"/>
      <c r="X59" s="329"/>
      <c r="Y59" s="329"/>
      <c r="Z59" s="329"/>
    </row>
    <row r="60" spans="1:26" ht="15.75" customHeight="1">
      <c r="H60" s="332"/>
      <c r="I60" s="332"/>
      <c r="J60" s="332"/>
      <c r="K60" s="332"/>
      <c r="L60" s="332"/>
      <c r="M60" s="332"/>
      <c r="N60" s="332"/>
      <c r="O60" s="332"/>
      <c r="P60" s="332"/>
    </row>
    <row r="61" spans="1:26" ht="15.75" customHeight="1">
      <c r="H61" s="332"/>
      <c r="I61" s="332"/>
      <c r="J61" s="332"/>
      <c r="K61" s="332"/>
      <c r="L61" s="332"/>
      <c r="M61" s="332"/>
      <c r="N61" s="332"/>
      <c r="O61" s="332"/>
      <c r="P61" s="332"/>
      <c r="Q61" s="332"/>
      <c r="R61" s="332"/>
      <c r="S61" s="332"/>
    </row>
    <row r="62" spans="1:26" ht="15.75" customHeight="1"/>
    <row r="63" spans="1:26" ht="15.75" customHeight="1"/>
    <row r="64" spans="1:26"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4.25" customHeight="1"/>
    <row r="261" ht="14.2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ageMargins left="0.25" right="0.25" top="0.35" bottom="0.35" header="0" footer="0"/>
  <pageSetup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DC3E6"/>
  </sheetPr>
  <dimension ref="B1:P1000"/>
  <sheetViews>
    <sheetView workbookViewId="0">
      <pane xSplit="1" ySplit="4" topLeftCell="B5" activePane="bottomRight" state="frozen"/>
      <selection pane="topRight" activeCell="B1" sqref="B1"/>
      <selection pane="bottomLeft" activeCell="A5" sqref="A5"/>
      <selection pane="bottomRight" activeCell="B5" sqref="B5"/>
    </sheetView>
  </sheetViews>
  <sheetFormatPr defaultColWidth="12.6328125" defaultRowHeight="15" customHeight="1"/>
  <cols>
    <col min="1" max="1" width="3" customWidth="1"/>
    <col min="2" max="2" width="34.36328125" customWidth="1"/>
    <col min="3" max="3" width="21.90625" customWidth="1"/>
    <col min="4" max="4" width="47.453125" customWidth="1"/>
    <col min="5" max="6" width="16" customWidth="1"/>
    <col min="7" max="7" width="32.08984375" customWidth="1"/>
    <col min="8" max="8" width="26.453125" customWidth="1"/>
    <col min="9" max="14" width="16" customWidth="1"/>
    <col min="15" max="15" width="18" customWidth="1"/>
    <col min="16" max="16" width="15.90625" customWidth="1"/>
  </cols>
  <sheetData>
    <row r="1" spans="2:16" ht="22.5" customHeight="1">
      <c r="B1" s="1395" t="s">
        <v>528</v>
      </c>
      <c r="C1" s="1342"/>
      <c r="D1" s="1342"/>
      <c r="E1" s="1342"/>
      <c r="F1" s="1342"/>
      <c r="G1" s="1342"/>
      <c r="H1" s="1342"/>
      <c r="I1" s="1342"/>
      <c r="J1" s="1342"/>
      <c r="K1" s="1342"/>
      <c r="L1" s="1342"/>
      <c r="M1" s="1342"/>
      <c r="N1" s="1342"/>
      <c r="O1" s="1342"/>
      <c r="P1" s="1303"/>
    </row>
    <row r="2" spans="2:16" ht="15" customHeight="1">
      <c r="B2" s="1396" t="s">
        <v>529</v>
      </c>
      <c r="C2" s="1342"/>
      <c r="D2" s="1342"/>
      <c r="E2" s="1342"/>
      <c r="F2" s="1342"/>
      <c r="G2" s="1342"/>
      <c r="H2" s="1342"/>
      <c r="I2" s="1342"/>
      <c r="J2" s="1342"/>
      <c r="K2" s="1342"/>
      <c r="L2" s="1342"/>
      <c r="M2" s="1342"/>
      <c r="N2" s="1342"/>
      <c r="O2" s="1342"/>
      <c r="P2" s="1303"/>
    </row>
    <row r="3" spans="2:16" ht="15" customHeight="1">
      <c r="B3" s="333"/>
      <c r="C3" s="333"/>
      <c r="D3" s="333"/>
      <c r="E3" s="333"/>
      <c r="F3" s="333"/>
      <c r="G3" s="333"/>
      <c r="H3" s="333"/>
      <c r="I3" s="333"/>
      <c r="J3" s="333"/>
      <c r="K3" s="333"/>
      <c r="L3" s="333"/>
      <c r="M3" s="333"/>
      <c r="N3" s="333"/>
      <c r="O3" s="26"/>
    </row>
    <row r="4" spans="2:16" ht="15" customHeight="1">
      <c r="B4" s="1397" t="s">
        <v>530</v>
      </c>
      <c r="C4" s="1342"/>
      <c r="D4" s="1342"/>
      <c r="E4" s="1342"/>
      <c r="F4" s="1342"/>
      <c r="G4" s="1342"/>
      <c r="H4" s="1342"/>
      <c r="I4" s="1342"/>
      <c r="J4" s="1342"/>
      <c r="K4" s="1342"/>
      <c r="L4" s="1342"/>
      <c r="M4" s="1342"/>
      <c r="N4" s="1342"/>
      <c r="O4" s="1342"/>
      <c r="P4" s="1303"/>
    </row>
    <row r="5" spans="2:16" ht="15" customHeight="1">
      <c r="B5" s="334" t="s">
        <v>188</v>
      </c>
      <c r="C5" s="335" t="str">
        <f>Scenarios!B4</f>
        <v>Base</v>
      </c>
      <c r="D5" s="1398" t="s">
        <v>531</v>
      </c>
      <c r="E5" s="1399"/>
      <c r="F5" s="1399"/>
      <c r="G5" s="1399"/>
      <c r="H5" s="1399"/>
      <c r="I5" s="1399"/>
      <c r="J5" s="1399"/>
      <c r="K5" s="1399"/>
      <c r="L5" s="1399"/>
      <c r="M5" s="1399"/>
      <c r="N5" s="1399"/>
      <c r="O5" s="1399"/>
      <c r="P5" s="1400"/>
    </row>
    <row r="6" spans="2:16" ht="15" customHeight="1">
      <c r="B6" s="334" t="s">
        <v>532</v>
      </c>
      <c r="C6" s="335" t="s">
        <v>336</v>
      </c>
      <c r="D6" s="1398" t="s">
        <v>533</v>
      </c>
      <c r="E6" s="1399"/>
      <c r="F6" s="1399"/>
      <c r="G6" s="1399"/>
      <c r="H6" s="1399"/>
      <c r="I6" s="1399"/>
      <c r="J6" s="1399"/>
      <c r="K6" s="1399"/>
      <c r="L6" s="1399"/>
      <c r="M6" s="1399"/>
      <c r="N6" s="1399"/>
      <c r="O6" s="1399"/>
      <c r="P6" s="1400"/>
    </row>
    <row r="7" spans="2:16" ht="15" customHeight="1">
      <c r="B7" s="334" t="s">
        <v>534</v>
      </c>
      <c r="C7" s="336">
        <f>Inputs!E14</f>
        <v>46357</v>
      </c>
      <c r="D7" s="1398" t="s">
        <v>535</v>
      </c>
      <c r="E7" s="1399"/>
      <c r="F7" s="1399"/>
      <c r="G7" s="1399"/>
      <c r="H7" s="1399"/>
      <c r="I7" s="1399"/>
      <c r="J7" s="1399"/>
      <c r="K7" s="1399"/>
      <c r="L7" s="1399"/>
      <c r="M7" s="1399"/>
      <c r="N7" s="1399"/>
      <c r="O7" s="1399"/>
      <c r="P7" s="1400"/>
    </row>
    <row r="8" spans="2:16" ht="15" customHeight="1">
      <c r="B8" s="334" t="s">
        <v>536</v>
      </c>
      <c r="C8" s="335" t="s">
        <v>537</v>
      </c>
      <c r="D8" s="1398" t="s">
        <v>538</v>
      </c>
      <c r="E8" s="1399"/>
      <c r="F8" s="1399"/>
      <c r="G8" s="1399"/>
      <c r="H8" s="1399"/>
      <c r="I8" s="1399"/>
      <c r="J8" s="1399"/>
      <c r="K8" s="1399"/>
      <c r="L8" s="1399"/>
      <c r="M8" s="1399"/>
      <c r="N8" s="1399"/>
      <c r="O8" s="1399"/>
      <c r="P8" s="1400"/>
    </row>
    <row r="9" spans="2:16" ht="15" customHeight="1">
      <c r="B9" s="334" t="s">
        <v>539</v>
      </c>
      <c r="C9" s="337">
        <f>Inputs!E479</f>
        <v>0.1</v>
      </c>
      <c r="D9" s="1398" t="s">
        <v>540</v>
      </c>
      <c r="E9" s="1399"/>
      <c r="F9" s="1399"/>
      <c r="G9" s="1399"/>
      <c r="H9" s="1399"/>
      <c r="I9" s="1399"/>
      <c r="J9" s="1399"/>
      <c r="K9" s="1399"/>
      <c r="L9" s="1399"/>
      <c r="M9" s="1399"/>
      <c r="N9" s="1399"/>
      <c r="O9" s="1399"/>
      <c r="P9" s="1400"/>
    </row>
    <row r="10" spans="2:16" ht="15" customHeight="1">
      <c r="B10" s="334" t="s">
        <v>541</v>
      </c>
      <c r="C10" s="337">
        <f>Inputs!E480</f>
        <v>0.15</v>
      </c>
      <c r="D10" s="1398" t="s">
        <v>542</v>
      </c>
      <c r="E10" s="1399"/>
      <c r="F10" s="1399"/>
      <c r="G10" s="1399"/>
      <c r="H10" s="1399"/>
      <c r="I10" s="1399"/>
      <c r="J10" s="1399"/>
      <c r="K10" s="1399"/>
      <c r="L10" s="1399"/>
      <c r="M10" s="1399"/>
      <c r="N10" s="1399"/>
      <c r="O10" s="1399"/>
      <c r="P10" s="1400"/>
    </row>
    <row r="11" spans="2:16" ht="15" customHeight="1">
      <c r="B11" s="334" t="s">
        <v>543</v>
      </c>
      <c r="C11" s="337">
        <f>Debt!C7</f>
        <v>0.08</v>
      </c>
      <c r="D11" s="1398" t="s">
        <v>544</v>
      </c>
      <c r="E11" s="1399"/>
      <c r="F11" s="1399"/>
      <c r="G11" s="1399"/>
      <c r="H11" s="1399"/>
      <c r="I11" s="1399"/>
      <c r="J11" s="1399"/>
      <c r="K11" s="1399"/>
      <c r="L11" s="1399"/>
      <c r="M11" s="1399"/>
      <c r="N11" s="1399"/>
      <c r="O11" s="1399"/>
      <c r="P11" s="1400"/>
    </row>
    <row r="12" spans="2:16" ht="15" customHeight="1">
      <c r="B12" s="334" t="s">
        <v>545</v>
      </c>
      <c r="C12" s="337">
        <f>Inputs!E482</f>
        <v>0.3</v>
      </c>
      <c r="D12" s="1398" t="s">
        <v>546</v>
      </c>
      <c r="E12" s="1399"/>
      <c r="F12" s="1399"/>
      <c r="G12" s="1399"/>
      <c r="H12" s="1399"/>
      <c r="I12" s="1399"/>
      <c r="J12" s="1399"/>
      <c r="K12" s="1399"/>
      <c r="L12" s="1399"/>
      <c r="M12" s="1399"/>
      <c r="N12" s="1399"/>
      <c r="O12" s="1399"/>
      <c r="P12" s="1400"/>
    </row>
    <row r="13" spans="2:16" ht="15" customHeight="1">
      <c r="B13" s="334" t="s">
        <v>547</v>
      </c>
      <c r="C13" s="335" t="str">
        <f>Inputs!E488</f>
        <v>FY38</v>
      </c>
      <c r="D13" s="1398" t="s">
        <v>548</v>
      </c>
      <c r="E13" s="1399"/>
      <c r="F13" s="1399"/>
      <c r="G13" s="1399"/>
      <c r="H13" s="1399"/>
      <c r="I13" s="1399"/>
      <c r="J13" s="1399"/>
      <c r="K13" s="1399"/>
      <c r="L13" s="1399"/>
      <c r="M13" s="1399"/>
      <c r="N13" s="1399"/>
      <c r="O13" s="1399"/>
      <c r="P13" s="1400"/>
    </row>
    <row r="14" spans="2:16" ht="15" customHeight="1">
      <c r="B14" s="334" t="s">
        <v>549</v>
      </c>
      <c r="C14" s="337" t="str">
        <f>"EBITDA Multiple"</f>
        <v>EBITDA Multiple</v>
      </c>
      <c r="D14" s="1398" t="s">
        <v>550</v>
      </c>
      <c r="E14" s="1399"/>
      <c r="F14" s="1399"/>
      <c r="G14" s="1399"/>
      <c r="H14" s="1399"/>
      <c r="I14" s="1399"/>
      <c r="J14" s="1399"/>
      <c r="K14" s="1399"/>
      <c r="L14" s="1399"/>
      <c r="M14" s="1399"/>
      <c r="N14" s="1399"/>
      <c r="O14" s="1399"/>
      <c r="P14" s="1400"/>
    </row>
    <row r="15" spans="2:16" ht="15" customHeight="1">
      <c r="B15" s="334" t="s">
        <v>551</v>
      </c>
      <c r="C15" s="338">
        <f>Inputs!E483</f>
        <v>7</v>
      </c>
      <c r="D15" s="1398" t="s">
        <v>552</v>
      </c>
      <c r="E15" s="1399"/>
      <c r="F15" s="1399"/>
      <c r="G15" s="1399"/>
      <c r="H15" s="1399"/>
      <c r="I15" s="1399"/>
      <c r="J15" s="1399"/>
      <c r="K15" s="1399"/>
      <c r="L15" s="1399"/>
      <c r="M15" s="1399"/>
      <c r="N15" s="1399"/>
      <c r="O15" s="1399"/>
      <c r="P15" s="1400"/>
    </row>
    <row r="16" spans="2:16" ht="15" customHeight="1">
      <c r="B16" s="334" t="s">
        <v>553</v>
      </c>
      <c r="C16" s="337" t="str">
        <f>Inputs!E485</f>
        <v>No</v>
      </c>
      <c r="D16" s="1398" t="s">
        <v>554</v>
      </c>
      <c r="E16" s="1399"/>
      <c r="F16" s="1399"/>
      <c r="G16" s="1399"/>
      <c r="H16" s="1399"/>
      <c r="I16" s="1399"/>
      <c r="J16" s="1399"/>
      <c r="K16" s="1399"/>
      <c r="L16" s="1399"/>
      <c r="M16" s="1399"/>
      <c r="N16" s="1399"/>
      <c r="O16" s="1399"/>
      <c r="P16" s="1400"/>
    </row>
    <row r="17" spans="2:16" ht="15" customHeight="1">
      <c r="B17" s="26"/>
      <c r="C17" s="176"/>
      <c r="D17" s="176"/>
      <c r="E17" s="176"/>
      <c r="F17" s="176"/>
      <c r="G17" s="176"/>
      <c r="H17" s="176"/>
      <c r="I17" s="176"/>
      <c r="J17" s="176"/>
      <c r="K17" s="176"/>
      <c r="L17" s="176"/>
      <c r="M17" s="176"/>
      <c r="N17" s="176"/>
      <c r="O17" s="176"/>
    </row>
    <row r="18" spans="2:16" ht="15" customHeight="1">
      <c r="B18" s="26"/>
      <c r="C18" s="176"/>
      <c r="D18" s="176"/>
      <c r="E18" s="176"/>
      <c r="F18" s="176"/>
      <c r="G18" s="176"/>
      <c r="H18" s="176"/>
      <c r="I18" s="176"/>
      <c r="J18" s="176"/>
      <c r="K18" s="176"/>
      <c r="L18" s="176"/>
      <c r="M18" s="176"/>
      <c r="N18" s="176"/>
      <c r="O18" s="176"/>
    </row>
    <row r="19" spans="2:16" ht="15" customHeight="1">
      <c r="B19" s="339" t="s">
        <v>211</v>
      </c>
      <c r="C19" s="340" t="s">
        <v>212</v>
      </c>
      <c r="D19" s="340" t="s">
        <v>555</v>
      </c>
      <c r="E19" s="340" t="s">
        <v>556</v>
      </c>
      <c r="F19" s="1401" t="s">
        <v>557</v>
      </c>
      <c r="G19" s="1399"/>
      <c r="H19" s="1399"/>
      <c r="I19" s="1399"/>
      <c r="J19" s="1399"/>
      <c r="K19" s="1399"/>
      <c r="L19" s="1399"/>
      <c r="M19" s="1399"/>
      <c r="N19" s="1399"/>
      <c r="O19" s="1399"/>
      <c r="P19" s="1400"/>
    </row>
    <row r="20" spans="2:16" ht="15" customHeight="1">
      <c r="B20" s="334" t="s">
        <v>558</v>
      </c>
      <c r="C20" s="337">
        <f>C109</f>
        <v>0.24794586632771631</v>
      </c>
      <c r="D20" s="341" t="s">
        <v>328</v>
      </c>
      <c r="E20" s="341" t="s">
        <v>559</v>
      </c>
      <c r="F20" s="1402" t="s">
        <v>560</v>
      </c>
      <c r="G20" s="1399"/>
      <c r="H20" s="1399"/>
      <c r="I20" s="1399"/>
      <c r="J20" s="1399"/>
      <c r="K20" s="1399"/>
      <c r="L20" s="1399"/>
      <c r="M20" s="1399"/>
      <c r="N20" s="1399"/>
      <c r="O20" s="1399"/>
      <c r="P20" s="1400"/>
    </row>
    <row r="21" spans="2:16" ht="15.75" customHeight="1">
      <c r="B21" s="334" t="s">
        <v>244</v>
      </c>
      <c r="C21" s="342">
        <f>C91</f>
        <v>62301606.637933955</v>
      </c>
      <c r="D21" s="341" t="s">
        <v>322</v>
      </c>
      <c r="E21" s="341" t="s">
        <v>559</v>
      </c>
      <c r="F21" s="1402" t="s">
        <v>561</v>
      </c>
      <c r="G21" s="1399"/>
      <c r="H21" s="1399"/>
      <c r="I21" s="1399"/>
      <c r="J21" s="1399"/>
      <c r="K21" s="1399"/>
      <c r="L21" s="1399"/>
      <c r="M21" s="1399"/>
      <c r="N21" s="1399"/>
      <c r="O21" s="1399"/>
      <c r="P21" s="1400"/>
    </row>
    <row r="22" spans="2:16" ht="15.75" customHeight="1">
      <c r="B22" s="334" t="s">
        <v>562</v>
      </c>
      <c r="C22" s="337">
        <f>C123</f>
        <v>0.33284790951683618</v>
      </c>
      <c r="D22" s="341" t="s">
        <v>328</v>
      </c>
      <c r="E22" s="341" t="s">
        <v>563</v>
      </c>
      <c r="F22" s="1402" t="s">
        <v>564</v>
      </c>
      <c r="G22" s="1399"/>
      <c r="H22" s="1399"/>
      <c r="I22" s="1399"/>
      <c r="J22" s="1399"/>
      <c r="K22" s="1399"/>
      <c r="L22" s="1399"/>
      <c r="M22" s="1399"/>
      <c r="N22" s="1399"/>
      <c r="O22" s="1399"/>
      <c r="P22" s="1400"/>
    </row>
    <row r="23" spans="2:16" ht="15.75" customHeight="1">
      <c r="B23" s="334" t="s">
        <v>246</v>
      </c>
      <c r="C23" s="342">
        <f>C98</f>
        <v>50077920.037933953</v>
      </c>
      <c r="D23" s="341" t="s">
        <v>322</v>
      </c>
      <c r="E23" s="341" t="s">
        <v>563</v>
      </c>
      <c r="F23" s="1402" t="s">
        <v>565</v>
      </c>
      <c r="G23" s="1399"/>
      <c r="H23" s="1399"/>
      <c r="I23" s="1399"/>
      <c r="J23" s="1399"/>
      <c r="K23" s="1399"/>
      <c r="L23" s="1399"/>
      <c r="M23" s="1399"/>
      <c r="N23" s="1399"/>
      <c r="O23" s="1399"/>
      <c r="P23" s="1400"/>
    </row>
    <row r="24" spans="2:16" ht="15.75" customHeight="1">
      <c r="B24" s="334" t="s">
        <v>566</v>
      </c>
      <c r="C24" s="338">
        <f t="shared" ref="C24:C25" si="0">C127</f>
        <v>17.693182272018159</v>
      </c>
      <c r="D24" s="341" t="s">
        <v>567</v>
      </c>
      <c r="E24" s="341" t="s">
        <v>563</v>
      </c>
      <c r="F24" s="1402" t="s">
        <v>568</v>
      </c>
      <c r="G24" s="1399"/>
      <c r="H24" s="1399"/>
      <c r="I24" s="1399"/>
      <c r="J24" s="1399"/>
      <c r="K24" s="1399"/>
      <c r="L24" s="1399"/>
      <c r="M24" s="1399"/>
      <c r="N24" s="1399"/>
      <c r="O24" s="1399"/>
      <c r="P24" s="1400"/>
    </row>
    <row r="25" spans="2:16" ht="15.75" customHeight="1">
      <c r="B25" s="334" t="s">
        <v>569</v>
      </c>
      <c r="C25" s="342" t="str">
        <f t="shared" si="0"/>
        <v>FY30</v>
      </c>
      <c r="D25" s="341" t="s">
        <v>192</v>
      </c>
      <c r="E25" s="341" t="s">
        <v>563</v>
      </c>
      <c r="F25" s="1402" t="s">
        <v>570</v>
      </c>
      <c r="G25" s="1399"/>
      <c r="H25" s="1399"/>
      <c r="I25" s="1399"/>
      <c r="J25" s="1399"/>
      <c r="K25" s="1399"/>
      <c r="L25" s="1399"/>
      <c r="M25" s="1399"/>
      <c r="N25" s="1399"/>
      <c r="O25" s="1399"/>
      <c r="P25" s="1400"/>
    </row>
    <row r="26" spans="2:16" ht="15.75" customHeight="1">
      <c r="B26" s="334" t="s">
        <v>571</v>
      </c>
      <c r="C26" s="337">
        <f>C131</f>
        <v>0.70345495527680413</v>
      </c>
      <c r="D26" s="341" t="s">
        <v>328</v>
      </c>
      <c r="E26" s="341" t="s">
        <v>572</v>
      </c>
      <c r="F26" s="1402" t="s">
        <v>573</v>
      </c>
      <c r="G26" s="1399"/>
      <c r="H26" s="1399"/>
      <c r="I26" s="1399"/>
      <c r="J26" s="1399"/>
      <c r="K26" s="1399"/>
      <c r="L26" s="1399"/>
      <c r="M26" s="1399"/>
      <c r="N26" s="1399"/>
      <c r="O26" s="1399"/>
      <c r="P26" s="1400"/>
    </row>
    <row r="27" spans="2:16" ht="15.75" customHeight="1">
      <c r="B27" s="333"/>
      <c r="C27" s="343"/>
      <c r="D27" s="343"/>
      <c r="E27" s="343"/>
      <c r="F27" s="343"/>
      <c r="G27" s="343"/>
      <c r="H27" s="343"/>
      <c r="I27" s="343"/>
      <c r="J27" s="343"/>
      <c r="K27" s="343"/>
      <c r="L27" s="343"/>
      <c r="M27" s="343"/>
      <c r="N27" s="343"/>
      <c r="O27" s="176"/>
    </row>
    <row r="28" spans="2:16" ht="15" customHeight="1">
      <c r="B28" s="26"/>
      <c r="C28" s="176"/>
      <c r="D28" s="176"/>
      <c r="E28" s="176"/>
      <c r="F28" s="176"/>
      <c r="G28" s="176"/>
      <c r="H28" s="176"/>
      <c r="I28" s="176"/>
      <c r="J28" s="176"/>
      <c r="K28" s="176"/>
      <c r="L28" s="176"/>
      <c r="M28" s="176"/>
      <c r="N28" s="176"/>
      <c r="O28" s="176"/>
    </row>
    <row r="29" spans="2:16" ht="15.75" customHeight="1">
      <c r="B29" s="1403" t="s">
        <v>574</v>
      </c>
      <c r="C29" s="1342"/>
      <c r="D29" s="1342"/>
      <c r="E29" s="1342"/>
      <c r="F29" s="1342"/>
      <c r="G29" s="1342"/>
      <c r="H29" s="1342"/>
      <c r="I29" s="1342"/>
      <c r="J29" s="1342"/>
      <c r="K29" s="1342"/>
      <c r="L29" s="1342"/>
      <c r="M29" s="1342"/>
      <c r="N29" s="1342"/>
      <c r="O29" s="1342"/>
      <c r="P29" s="1303"/>
    </row>
    <row r="30" spans="2:16" ht="15.75" customHeight="1">
      <c r="B30" s="209" t="s">
        <v>121</v>
      </c>
      <c r="C30" s="183" t="s">
        <v>212</v>
      </c>
      <c r="D30" s="183" t="s">
        <v>575</v>
      </c>
      <c r="E30" s="176"/>
      <c r="F30" s="176"/>
      <c r="G30" s="176"/>
      <c r="H30" s="176"/>
      <c r="I30" s="176"/>
      <c r="J30" s="176"/>
      <c r="K30" s="176"/>
      <c r="L30" s="176"/>
      <c r="M30" s="176"/>
      <c r="N30" s="176"/>
      <c r="O30" s="176"/>
    </row>
    <row r="31" spans="2:16" ht="15.75" customHeight="1">
      <c r="B31" s="26" t="s">
        <v>576</v>
      </c>
      <c r="C31" s="184">
        <f>Inputs!E490</f>
        <v>0.04</v>
      </c>
      <c r="D31" s="176" t="s">
        <v>577</v>
      </c>
      <c r="E31" s="176"/>
      <c r="F31" s="176"/>
      <c r="G31" s="176"/>
      <c r="H31" s="176"/>
      <c r="I31" s="176"/>
      <c r="J31" s="176"/>
      <c r="K31" s="176"/>
      <c r="L31" s="176"/>
      <c r="M31" s="176"/>
      <c r="N31" s="176"/>
      <c r="O31" s="176"/>
    </row>
    <row r="32" spans="2:16" ht="15.75" customHeight="1">
      <c r="B32" s="26" t="s">
        <v>578</v>
      </c>
      <c r="C32" s="184">
        <f>Inputs!E489</f>
        <v>6.5000000000000002E-2</v>
      </c>
      <c r="D32" s="176" t="s">
        <v>579</v>
      </c>
      <c r="E32" s="176"/>
      <c r="F32" s="176"/>
      <c r="G32" s="176"/>
      <c r="H32" s="176"/>
      <c r="I32" s="176"/>
      <c r="J32" s="176"/>
      <c r="K32" s="176"/>
      <c r="L32" s="176"/>
      <c r="M32" s="176"/>
      <c r="N32" s="176"/>
      <c r="O32" s="176"/>
    </row>
    <row r="33" spans="2:15" ht="15.75" customHeight="1">
      <c r="B33" s="26" t="s">
        <v>580</v>
      </c>
      <c r="C33" s="344">
        <f>Inputs!E492</f>
        <v>0.8</v>
      </c>
      <c r="D33" s="176" t="s">
        <v>581</v>
      </c>
      <c r="E33" s="176"/>
      <c r="F33" s="176"/>
      <c r="G33" s="176"/>
      <c r="H33" s="176"/>
      <c r="I33" s="176"/>
      <c r="J33" s="176"/>
      <c r="K33" s="176"/>
      <c r="L33" s="176"/>
      <c r="M33" s="176"/>
      <c r="N33" s="176"/>
      <c r="O33" s="176"/>
    </row>
    <row r="34" spans="2:15" ht="15.75" customHeight="1">
      <c r="B34" s="26" t="s">
        <v>582</v>
      </c>
      <c r="C34" s="176">
        <f>Dashboard!J43/Dashboard!J42</f>
        <v>1.4130851350296123</v>
      </c>
      <c r="D34" s="176" t="s">
        <v>583</v>
      </c>
      <c r="E34" s="176"/>
      <c r="F34" s="176"/>
      <c r="G34" s="176"/>
      <c r="H34" s="176"/>
      <c r="I34" s="176"/>
      <c r="J34" s="176"/>
      <c r="K34" s="176"/>
      <c r="L34" s="176"/>
      <c r="M34" s="176"/>
      <c r="N34" s="176"/>
      <c r="O34" s="176"/>
    </row>
    <row r="35" spans="2:15" ht="15.75" customHeight="1">
      <c r="B35" s="26" t="s">
        <v>584</v>
      </c>
      <c r="C35" s="184">
        <f>C12</f>
        <v>0.3</v>
      </c>
      <c r="D35" s="176" t="s">
        <v>585</v>
      </c>
      <c r="E35" s="176"/>
      <c r="F35" s="176"/>
      <c r="G35" s="176"/>
      <c r="H35" s="176"/>
      <c r="I35" s="176"/>
      <c r="J35" s="176"/>
      <c r="K35" s="176"/>
      <c r="L35" s="176"/>
      <c r="M35" s="176"/>
      <c r="N35" s="176"/>
      <c r="O35" s="176"/>
    </row>
    <row r="36" spans="2:15" ht="15.75" customHeight="1">
      <c r="B36" s="26" t="s">
        <v>586</v>
      </c>
      <c r="C36" s="344">
        <f>C33*(1+(1-C35)*C34)</f>
        <v>1.5913276756165828</v>
      </c>
      <c r="D36" s="176" t="s">
        <v>587</v>
      </c>
      <c r="E36" s="176"/>
      <c r="F36" s="176"/>
      <c r="G36" s="176"/>
      <c r="H36" s="176"/>
      <c r="I36" s="176"/>
      <c r="J36" s="176"/>
      <c r="K36" s="176"/>
      <c r="L36" s="176"/>
      <c r="M36" s="176"/>
      <c r="N36" s="176"/>
      <c r="O36" s="176"/>
    </row>
    <row r="37" spans="2:15" ht="15.75" customHeight="1">
      <c r="B37" s="26" t="s">
        <v>541</v>
      </c>
      <c r="C37" s="184">
        <f>C31+C36*C32</f>
        <v>0.14343629891507789</v>
      </c>
      <c r="D37" s="176" t="s">
        <v>588</v>
      </c>
      <c r="E37" s="176"/>
      <c r="F37" s="176"/>
      <c r="G37" s="176"/>
      <c r="H37" s="176"/>
      <c r="I37" s="176"/>
      <c r="J37" s="176"/>
      <c r="K37" s="176"/>
      <c r="L37" s="176"/>
      <c r="M37" s="176"/>
      <c r="N37" s="176"/>
      <c r="O37" s="176"/>
    </row>
    <row r="38" spans="2:15" ht="15.75" customHeight="1">
      <c r="B38" s="26" t="s">
        <v>589</v>
      </c>
      <c r="C38" s="184">
        <f>C11</f>
        <v>0.08</v>
      </c>
      <c r="D38" s="176" t="s">
        <v>590</v>
      </c>
      <c r="E38" s="176"/>
      <c r="F38" s="176"/>
      <c r="G38" s="176"/>
      <c r="H38" s="176"/>
      <c r="I38" s="176"/>
      <c r="J38" s="176"/>
      <c r="K38" s="176"/>
      <c r="L38" s="176"/>
      <c r="M38" s="176"/>
      <c r="N38" s="176"/>
      <c r="O38" s="176"/>
    </row>
    <row r="39" spans="2:15" ht="15.75" customHeight="1">
      <c r="B39" s="26" t="s">
        <v>591</v>
      </c>
      <c r="C39" s="184">
        <f>C38*(1-C35)</f>
        <v>5.5999999999999994E-2</v>
      </c>
      <c r="D39" s="176" t="s">
        <v>592</v>
      </c>
      <c r="E39" s="176"/>
      <c r="F39" s="176"/>
      <c r="G39" s="176"/>
      <c r="H39" s="176"/>
      <c r="I39" s="176"/>
      <c r="J39" s="176"/>
      <c r="K39" s="176"/>
      <c r="L39" s="176"/>
      <c r="M39" s="176"/>
      <c r="N39" s="176"/>
      <c r="O39" s="176"/>
    </row>
    <row r="40" spans="2:15" ht="15.75" customHeight="1">
      <c r="B40" s="26"/>
      <c r="C40" s="176"/>
      <c r="D40" s="176"/>
      <c r="E40" s="176"/>
      <c r="F40" s="176"/>
      <c r="G40" s="176"/>
      <c r="H40" s="176"/>
      <c r="I40" s="176"/>
      <c r="J40" s="176"/>
      <c r="K40" s="176"/>
      <c r="L40" s="176"/>
      <c r="M40" s="176"/>
      <c r="N40" s="176"/>
      <c r="O40" s="176"/>
    </row>
    <row r="41" spans="2:15" ht="15.75" customHeight="1">
      <c r="B41" s="26" t="s">
        <v>593</v>
      </c>
      <c r="C41" s="345">
        <f>1/(1+C34)</f>
        <v>0.41440726043332432</v>
      </c>
      <c r="D41" s="26" t="s">
        <v>594</v>
      </c>
      <c r="E41" s="26"/>
      <c r="F41" s="26"/>
      <c r="G41" s="26"/>
      <c r="H41" s="26"/>
      <c r="I41" s="26"/>
      <c r="J41" s="26"/>
      <c r="K41" s="26"/>
      <c r="L41" s="26"/>
      <c r="M41" s="26"/>
      <c r="N41" s="26"/>
      <c r="O41" s="26"/>
    </row>
    <row r="42" spans="2:15" ht="15.75" customHeight="1">
      <c r="B42" s="26" t="s">
        <v>595</v>
      </c>
      <c r="C42" s="345">
        <f>C34/(1+C34)</f>
        <v>0.58559273956667579</v>
      </c>
      <c r="D42" s="26" t="s">
        <v>596</v>
      </c>
      <c r="E42" s="26"/>
      <c r="F42" s="26"/>
      <c r="G42" s="26"/>
      <c r="H42" s="26"/>
      <c r="I42" s="26"/>
      <c r="J42" s="26"/>
      <c r="K42" s="26"/>
      <c r="L42" s="26"/>
      <c r="M42" s="26"/>
      <c r="N42" s="26"/>
      <c r="O42" s="26"/>
    </row>
    <row r="43" spans="2:15" ht="15.75" customHeight="1">
      <c r="B43" s="26"/>
      <c r="C43" s="26"/>
      <c r="D43" s="26"/>
      <c r="E43" s="26"/>
      <c r="F43" s="26"/>
      <c r="G43" s="26"/>
      <c r="H43" s="26"/>
      <c r="I43" s="26"/>
      <c r="J43" s="26"/>
      <c r="K43" s="26"/>
      <c r="L43" s="26"/>
      <c r="M43" s="26"/>
      <c r="N43" s="26"/>
      <c r="O43" s="26"/>
    </row>
    <row r="44" spans="2:15" ht="15" customHeight="1">
      <c r="B44" s="26" t="s">
        <v>597</v>
      </c>
      <c r="C44" s="345">
        <f>C41*C37+C42*C39</f>
        <v>9.2234237095826677E-2</v>
      </c>
      <c r="D44" s="26" t="s">
        <v>598</v>
      </c>
      <c r="E44" s="26"/>
      <c r="F44" s="26"/>
      <c r="G44" s="26"/>
      <c r="H44" s="26"/>
      <c r="I44" s="26"/>
      <c r="J44" s="26"/>
      <c r="K44" s="26"/>
      <c r="L44" s="26"/>
      <c r="M44" s="26"/>
      <c r="N44" s="26"/>
      <c r="O44" s="26"/>
    </row>
    <row r="45" spans="2:15" ht="15.75" customHeight="1">
      <c r="B45" s="26" t="s">
        <v>599</v>
      </c>
      <c r="C45" s="345">
        <f>C9</f>
        <v>0.1</v>
      </c>
      <c r="D45" s="26" t="s">
        <v>600</v>
      </c>
      <c r="E45" s="26"/>
      <c r="F45" s="26"/>
      <c r="G45" s="26"/>
      <c r="H45" s="26"/>
      <c r="I45" s="26"/>
      <c r="J45" s="26"/>
      <c r="K45" s="26"/>
      <c r="L45" s="26"/>
      <c r="M45" s="26"/>
      <c r="N45" s="26"/>
      <c r="O45" s="26"/>
    </row>
    <row r="46" spans="2:15" ht="15.75" customHeight="1">
      <c r="B46" s="26"/>
      <c r="C46" s="26"/>
      <c r="D46" s="26"/>
      <c r="E46" s="26"/>
      <c r="F46" s="26"/>
      <c r="G46" s="26"/>
      <c r="H46" s="26"/>
      <c r="I46" s="26"/>
      <c r="J46" s="26"/>
      <c r="K46" s="26"/>
      <c r="L46" s="26"/>
      <c r="M46" s="26"/>
      <c r="N46" s="26"/>
      <c r="O46" s="26"/>
    </row>
    <row r="47" spans="2:15" ht="15.75" customHeight="1">
      <c r="B47" s="26" t="s">
        <v>601</v>
      </c>
      <c r="C47" s="345">
        <f>C45</f>
        <v>0.1</v>
      </c>
      <c r="D47" s="26" t="s">
        <v>602</v>
      </c>
      <c r="E47" s="26"/>
      <c r="F47" s="26"/>
      <c r="G47" s="26"/>
      <c r="H47" s="26"/>
      <c r="I47" s="26"/>
      <c r="J47" s="26"/>
      <c r="K47" s="26"/>
      <c r="L47" s="26"/>
      <c r="M47" s="26"/>
      <c r="N47" s="26"/>
      <c r="O47" s="26"/>
    </row>
    <row r="48" spans="2:15" ht="15.75" customHeight="1">
      <c r="B48" s="26"/>
      <c r="C48" s="26"/>
      <c r="D48" s="26"/>
      <c r="E48" s="26"/>
      <c r="F48" s="26"/>
      <c r="G48" s="26"/>
      <c r="H48" s="26"/>
      <c r="I48" s="26"/>
      <c r="J48" s="26"/>
      <c r="K48" s="26"/>
      <c r="L48" s="26"/>
      <c r="M48" s="26"/>
      <c r="N48" s="26"/>
      <c r="O48" s="26"/>
    </row>
    <row r="49" spans="2:16" ht="15.75" customHeight="1">
      <c r="B49" s="26"/>
      <c r="C49" s="26"/>
      <c r="D49" s="26"/>
      <c r="E49" s="26"/>
      <c r="F49" s="26"/>
      <c r="G49" s="26"/>
      <c r="H49" s="26"/>
      <c r="I49" s="26"/>
      <c r="J49" s="26"/>
      <c r="K49" s="26"/>
      <c r="L49" s="26"/>
      <c r="M49" s="26"/>
      <c r="N49" s="26"/>
      <c r="O49" s="26"/>
    </row>
    <row r="50" spans="2:16" ht="15.75" customHeight="1">
      <c r="B50" s="1403" t="s">
        <v>603</v>
      </c>
      <c r="C50" s="1342"/>
      <c r="D50" s="1342"/>
      <c r="E50" s="1342"/>
      <c r="F50" s="1342"/>
      <c r="G50" s="1342"/>
      <c r="H50" s="1342"/>
      <c r="I50" s="1342"/>
      <c r="J50" s="1342"/>
      <c r="K50" s="1342"/>
      <c r="L50" s="1342"/>
      <c r="M50" s="1342"/>
      <c r="N50" s="1342"/>
      <c r="O50" s="1342"/>
      <c r="P50" s="1303"/>
    </row>
    <row r="51" spans="2:16" ht="15.75" customHeight="1">
      <c r="B51" s="1404" t="s">
        <v>604</v>
      </c>
      <c r="C51" s="1305"/>
      <c r="D51" s="1305"/>
      <c r="E51" s="1305"/>
      <c r="F51" s="1305"/>
      <c r="G51" s="1305"/>
      <c r="H51" s="1305"/>
      <c r="I51" s="1305"/>
      <c r="J51" s="1305"/>
      <c r="K51" s="1305"/>
      <c r="L51" s="1305"/>
      <c r="M51" s="1305"/>
      <c r="N51" s="1305"/>
      <c r="O51" s="26"/>
    </row>
    <row r="52" spans="2:16" ht="15.75" customHeight="1">
      <c r="B52" s="26"/>
      <c r="C52" s="26"/>
      <c r="D52" s="26"/>
      <c r="E52" s="26"/>
      <c r="F52" s="26"/>
      <c r="G52" s="26"/>
      <c r="H52" s="26"/>
      <c r="I52" s="26"/>
      <c r="J52" s="26"/>
      <c r="K52" s="26"/>
      <c r="L52" s="26"/>
      <c r="M52" s="26"/>
      <c r="N52" s="26"/>
      <c r="O52" s="26"/>
    </row>
    <row r="53" spans="2:16" ht="15.75" customHeight="1">
      <c r="B53" s="209" t="s">
        <v>211</v>
      </c>
      <c r="C53" s="346" t="str">
        <f>'P&amp;L'!G6</f>
        <v>FY25</v>
      </c>
      <c r="D53" s="346" t="str">
        <f>'P&amp;L'!H6</f>
        <v>FY26</v>
      </c>
      <c r="E53" s="346" t="str">
        <f>'P&amp;L'!I6</f>
        <v>FY27</v>
      </c>
      <c r="F53" s="346" t="str">
        <f>'P&amp;L'!J6</f>
        <v>FY28</v>
      </c>
      <c r="G53" s="346" t="str">
        <f>'P&amp;L'!K6</f>
        <v>FY29</v>
      </c>
      <c r="H53" s="346" t="str">
        <f>'P&amp;L'!L6</f>
        <v>FY30</v>
      </c>
      <c r="I53" s="346" t="str">
        <f>'P&amp;L'!M6</f>
        <v>FY31</v>
      </c>
      <c r="J53" s="346" t="str">
        <f>'P&amp;L'!N6</f>
        <v>FY32</v>
      </c>
      <c r="K53" s="346" t="str">
        <f>'P&amp;L'!O6</f>
        <v>FY33</v>
      </c>
      <c r="L53" s="346" t="str">
        <f>'P&amp;L'!P6</f>
        <v>FY34</v>
      </c>
      <c r="M53" s="346" t="str">
        <f>'P&amp;L'!Q6</f>
        <v>FY35</v>
      </c>
      <c r="N53" s="346" t="str">
        <f>'P&amp;L'!R6</f>
        <v>FY36</v>
      </c>
      <c r="O53" s="346" t="str">
        <f>'P&amp;L'!S6</f>
        <v>FY37</v>
      </c>
      <c r="P53" s="346" t="str">
        <f>'P&amp;L'!T6</f>
        <v>FY38</v>
      </c>
    </row>
    <row r="54" spans="2:16" ht="15.75" customHeight="1">
      <c r="B54" s="26" t="s">
        <v>605</v>
      </c>
      <c r="C54" s="347">
        <f>'P&amp;L'!G5</f>
        <v>45838</v>
      </c>
      <c r="D54" s="347">
        <f>'P&amp;L'!H5</f>
        <v>46203</v>
      </c>
      <c r="E54" s="347">
        <f>'P&amp;L'!I5</f>
        <v>46568</v>
      </c>
      <c r="F54" s="347">
        <f>'P&amp;L'!J5</f>
        <v>46934</v>
      </c>
      <c r="G54" s="347">
        <f>'P&amp;L'!K5</f>
        <v>47299</v>
      </c>
      <c r="H54" s="347">
        <f>'P&amp;L'!L5</f>
        <v>47664</v>
      </c>
      <c r="I54" s="347">
        <f>'P&amp;L'!M5</f>
        <v>48029</v>
      </c>
      <c r="J54" s="347">
        <f>'P&amp;L'!N5</f>
        <v>48395</v>
      </c>
      <c r="K54" s="347">
        <f>'P&amp;L'!O5</f>
        <v>48760</v>
      </c>
      <c r="L54" s="347">
        <f>'P&amp;L'!P5</f>
        <v>49125</v>
      </c>
      <c r="M54" s="347">
        <f>'P&amp;L'!Q5</f>
        <v>49490</v>
      </c>
      <c r="N54" s="347">
        <f>'P&amp;L'!R5</f>
        <v>49856</v>
      </c>
      <c r="O54" s="347">
        <f>'P&amp;L'!S5</f>
        <v>50221</v>
      </c>
      <c r="P54" s="347">
        <f>'P&amp;L'!T5</f>
        <v>50586</v>
      </c>
    </row>
    <row r="55" spans="2:16" ht="15.75" customHeight="1">
      <c r="B55" s="26" t="s">
        <v>606</v>
      </c>
      <c r="C55" s="348">
        <f t="shared" ref="C55:P55" si="1">IF(C54="","",(C54-$C$7)/365)</f>
        <v>-1.4219178082191781</v>
      </c>
      <c r="D55" s="348">
        <f t="shared" si="1"/>
        <v>-0.42191780821917807</v>
      </c>
      <c r="E55" s="348">
        <f t="shared" si="1"/>
        <v>0.57808219178082187</v>
      </c>
      <c r="F55" s="348">
        <f t="shared" si="1"/>
        <v>1.5808219178082192</v>
      </c>
      <c r="G55" s="348">
        <f t="shared" si="1"/>
        <v>2.580821917808219</v>
      </c>
      <c r="H55" s="348">
        <f t="shared" si="1"/>
        <v>3.580821917808219</v>
      </c>
      <c r="I55" s="348">
        <f t="shared" si="1"/>
        <v>4.580821917808219</v>
      </c>
      <c r="J55" s="348">
        <f t="shared" si="1"/>
        <v>5.5835616438356164</v>
      </c>
      <c r="K55" s="348">
        <f t="shared" si="1"/>
        <v>6.5835616438356164</v>
      </c>
      <c r="L55" s="348">
        <f t="shared" si="1"/>
        <v>7.5835616438356164</v>
      </c>
      <c r="M55" s="348">
        <f t="shared" si="1"/>
        <v>8.5835616438356173</v>
      </c>
      <c r="N55" s="348">
        <f t="shared" si="1"/>
        <v>9.5863013698630137</v>
      </c>
      <c r="O55" s="348">
        <f t="shared" si="1"/>
        <v>10.586301369863014</v>
      </c>
      <c r="P55" s="348">
        <f t="shared" si="1"/>
        <v>11.586301369863014</v>
      </c>
    </row>
    <row r="56" spans="2:16" ht="15.75" customHeight="1">
      <c r="B56" s="26"/>
      <c r="C56" s="26"/>
      <c r="D56" s="26"/>
      <c r="E56" s="26"/>
      <c r="F56" s="26"/>
      <c r="G56" s="26"/>
      <c r="H56" s="26"/>
      <c r="I56" s="26"/>
      <c r="J56" s="26"/>
      <c r="K56" s="26"/>
      <c r="L56" s="26"/>
      <c r="M56" s="26"/>
      <c r="N56" s="26"/>
      <c r="O56" s="26"/>
      <c r="P56" s="26"/>
    </row>
    <row r="57" spans="2:16" ht="15.75" customHeight="1">
      <c r="B57" s="26" t="s">
        <v>193</v>
      </c>
      <c r="C57" s="191">
        <f>'P&amp;L'!G28</f>
        <v>0</v>
      </c>
      <c r="D57" s="191">
        <f>'P&amp;L'!H28</f>
        <v>0</v>
      </c>
      <c r="E57" s="191">
        <f>'P&amp;L'!I28</f>
        <v>0</v>
      </c>
      <c r="F57" s="191">
        <f>'P&amp;L'!J28</f>
        <v>18772333.414999999</v>
      </c>
      <c r="G57" s="191">
        <f>'P&amp;L'!K28</f>
        <v>19676502.288939998</v>
      </c>
      <c r="H57" s="191">
        <f>'P&amp;L'!L28</f>
        <v>20615521.882462904</v>
      </c>
      <c r="I57" s="191">
        <f>'P&amp;L'!M28</f>
        <v>21808634.554464001</v>
      </c>
      <c r="J57" s="191">
        <f>'P&amp;L'!N28</f>
        <v>22300756.692269798</v>
      </c>
      <c r="K57" s="191">
        <f>'P&amp;L'!O28</f>
        <v>22807316.061739061</v>
      </c>
      <c r="L57" s="191">
        <f>'P&amp;L'!P28</f>
        <v>23328737.619009934</v>
      </c>
      <c r="M57" s="191">
        <f>'P&amp;L'!Q28</f>
        <v>23865458.864884399</v>
      </c>
      <c r="N57" s="191">
        <f>'P&amp;L'!R28</f>
        <v>24417930.216067705</v>
      </c>
      <c r="O57" s="191">
        <f>'P&amp;L'!S28</f>
        <v>24986615.387417436</v>
      </c>
      <c r="P57" s="191">
        <f>'P&amp;L'!T28</f>
        <v>25571991.785529338</v>
      </c>
    </row>
    <row r="58" spans="2:16" ht="15.75" customHeight="1">
      <c r="B58" s="26" t="s">
        <v>194</v>
      </c>
      <c r="C58" s="191">
        <f>'P&amp;L'!G79</f>
        <v>0</v>
      </c>
      <c r="D58" s="191">
        <f>'P&amp;L'!H79</f>
        <v>0</v>
      </c>
      <c r="E58" s="191">
        <f>'P&amp;L'!I79</f>
        <v>0</v>
      </c>
      <c r="F58" s="191">
        <f>'P&amp;L'!J79</f>
        <v>10240353.181728749</v>
      </c>
      <c r="G58" s="191">
        <f>'P&amp;L'!K79</f>
        <v>10221610.60891173</v>
      </c>
      <c r="H58" s="191">
        <f>'P&amp;L'!L79</f>
        <v>10726643.498227151</v>
      </c>
      <c r="I58" s="191">
        <f>'P&amp;L'!M79</f>
        <v>11603173.631330766</v>
      </c>
      <c r="J58" s="191">
        <f>'P&amp;L'!N79</f>
        <v>11825139.08000222</v>
      </c>
      <c r="K58" s="191">
        <f>'P&amp;L'!O79</f>
        <v>11488417.36165344</v>
      </c>
      <c r="L58" s="191">
        <f>'P&amp;L'!P79</f>
        <v>11566864.641117346</v>
      </c>
      <c r="M58" s="191">
        <f>'P&amp;L'!Q79</f>
        <v>11784599.554180816</v>
      </c>
      <c r="N58" s="191">
        <f>'P&amp;L'!R79</f>
        <v>12008306.676067084</v>
      </c>
      <c r="O58" s="191">
        <f>'P&amp;L'!S79</f>
        <v>12146814.69024964</v>
      </c>
      <c r="P58" s="191">
        <f>'P&amp;L'!T79</f>
        <v>13901342.685076447</v>
      </c>
    </row>
    <row r="59" spans="2:16" ht="15.75" customHeight="1">
      <c r="B59" s="26" t="s">
        <v>607</v>
      </c>
      <c r="C59" s="191">
        <f>-'P&amp;L'!G83</f>
        <v>0</v>
      </c>
      <c r="D59" s="191">
        <f>-'P&amp;L'!H83</f>
        <v>0</v>
      </c>
      <c r="E59" s="191">
        <f>-'P&amp;L'!I83</f>
        <v>0</v>
      </c>
      <c r="F59" s="191">
        <f>-'P&amp;L'!J83</f>
        <v>-988076.25</v>
      </c>
      <c r="G59" s="191">
        <f>-'P&amp;L'!K83</f>
        <v>-988076.25</v>
      </c>
      <c r="H59" s="191">
        <f>-'P&amp;L'!L83</f>
        <v>-988076.25</v>
      </c>
      <c r="I59" s="191">
        <f>-'P&amp;L'!M83</f>
        <v>-988076.25</v>
      </c>
      <c r="J59" s="191">
        <f>-'P&amp;L'!N83</f>
        <v>-988076.25</v>
      </c>
      <c r="K59" s="191">
        <f>-'P&amp;L'!O83</f>
        <v>-988076.25</v>
      </c>
      <c r="L59" s="191">
        <f>-'P&amp;L'!P83</f>
        <v>-988076.25</v>
      </c>
      <c r="M59" s="191">
        <f>-'P&amp;L'!Q83</f>
        <v>-988076.25</v>
      </c>
      <c r="N59" s="191">
        <f>-'P&amp;L'!R83</f>
        <v>-988076.25</v>
      </c>
      <c r="O59" s="191">
        <f>-'P&amp;L'!S83</f>
        <v>-988076.25</v>
      </c>
      <c r="P59" s="191">
        <f>-'P&amp;L'!T83</f>
        <v>-988076.25</v>
      </c>
    </row>
    <row r="60" spans="2:16" ht="15.75" customHeight="1">
      <c r="B60" s="26" t="s">
        <v>447</v>
      </c>
      <c r="C60" s="349">
        <f t="shared" ref="C60:P60" si="2">C58+C59</f>
        <v>0</v>
      </c>
      <c r="D60" s="349">
        <f t="shared" si="2"/>
        <v>0</v>
      </c>
      <c r="E60" s="349">
        <f t="shared" si="2"/>
        <v>0</v>
      </c>
      <c r="F60" s="349">
        <f t="shared" si="2"/>
        <v>9252276.9317287486</v>
      </c>
      <c r="G60" s="349">
        <f t="shared" si="2"/>
        <v>9233534.3589117303</v>
      </c>
      <c r="H60" s="349">
        <f t="shared" si="2"/>
        <v>9738567.2482271511</v>
      </c>
      <c r="I60" s="349">
        <f t="shared" si="2"/>
        <v>10615097.381330766</v>
      </c>
      <c r="J60" s="349">
        <f t="shared" si="2"/>
        <v>10837062.83000222</v>
      </c>
      <c r="K60" s="349">
        <f t="shared" si="2"/>
        <v>10500341.11165344</v>
      </c>
      <c r="L60" s="349">
        <f t="shared" si="2"/>
        <v>10578788.391117346</v>
      </c>
      <c r="M60" s="349">
        <f t="shared" si="2"/>
        <v>10796523.304180816</v>
      </c>
      <c r="N60" s="349">
        <f t="shared" si="2"/>
        <v>11020230.426067084</v>
      </c>
      <c r="O60" s="349">
        <f t="shared" si="2"/>
        <v>11158738.44024964</v>
      </c>
      <c r="P60" s="349">
        <f t="shared" si="2"/>
        <v>12913266.435076447</v>
      </c>
    </row>
    <row r="61" spans="2:16" ht="15.75" customHeight="1">
      <c r="B61" s="26" t="s">
        <v>608</v>
      </c>
      <c r="C61" s="349">
        <f t="shared" ref="C61:P61" si="3">-MAX(0,C60)*$C$35</f>
        <v>0</v>
      </c>
      <c r="D61" s="349">
        <f t="shared" si="3"/>
        <v>0</v>
      </c>
      <c r="E61" s="349">
        <f t="shared" si="3"/>
        <v>0</v>
      </c>
      <c r="F61" s="349">
        <f t="shared" si="3"/>
        <v>-2775683.0795186246</v>
      </c>
      <c r="G61" s="349">
        <f t="shared" si="3"/>
        <v>-2770060.307673519</v>
      </c>
      <c r="H61" s="349">
        <f t="shared" si="3"/>
        <v>-2921570.1744681452</v>
      </c>
      <c r="I61" s="349">
        <f t="shared" si="3"/>
        <v>-3184529.2143992297</v>
      </c>
      <c r="J61" s="349">
        <f t="shared" si="3"/>
        <v>-3251118.8490006658</v>
      </c>
      <c r="K61" s="349">
        <f t="shared" si="3"/>
        <v>-3150102.3334960318</v>
      </c>
      <c r="L61" s="349">
        <f t="shared" si="3"/>
        <v>-3173636.5173352035</v>
      </c>
      <c r="M61" s="349">
        <f t="shared" si="3"/>
        <v>-3238956.9912542445</v>
      </c>
      <c r="N61" s="349">
        <f t="shared" si="3"/>
        <v>-3306069.1278201253</v>
      </c>
      <c r="O61" s="349">
        <f t="shared" si="3"/>
        <v>-3347621.532074892</v>
      </c>
      <c r="P61" s="349">
        <f t="shared" si="3"/>
        <v>-3873979.9305229341</v>
      </c>
    </row>
    <row r="62" spans="2:16" ht="15.75" customHeight="1">
      <c r="B62" s="26" t="s">
        <v>609</v>
      </c>
      <c r="C62" s="349">
        <f t="shared" ref="C62:P62" si="4">C60+C61</f>
        <v>0</v>
      </c>
      <c r="D62" s="349">
        <f t="shared" si="4"/>
        <v>0</v>
      </c>
      <c r="E62" s="349">
        <f t="shared" si="4"/>
        <v>0</v>
      </c>
      <c r="F62" s="349">
        <f t="shared" si="4"/>
        <v>6476593.852210124</v>
      </c>
      <c r="G62" s="349">
        <f t="shared" si="4"/>
        <v>6463474.0512382109</v>
      </c>
      <c r="H62" s="349">
        <f t="shared" si="4"/>
        <v>6816997.0737590063</v>
      </c>
      <c r="I62" s="349">
        <f t="shared" si="4"/>
        <v>7430568.166931536</v>
      </c>
      <c r="J62" s="349">
        <f t="shared" si="4"/>
        <v>7585943.9810015541</v>
      </c>
      <c r="K62" s="349">
        <f t="shared" si="4"/>
        <v>7350238.7781574074</v>
      </c>
      <c r="L62" s="349">
        <f t="shared" si="4"/>
        <v>7405151.8737821421</v>
      </c>
      <c r="M62" s="349">
        <f t="shared" si="4"/>
        <v>7557566.3129265718</v>
      </c>
      <c r="N62" s="349">
        <f t="shared" si="4"/>
        <v>7714161.2982469592</v>
      </c>
      <c r="O62" s="349">
        <f t="shared" si="4"/>
        <v>7811116.9081747485</v>
      </c>
      <c r="P62" s="349">
        <f t="shared" si="4"/>
        <v>9039286.5045535136</v>
      </c>
    </row>
    <row r="63" spans="2:16" ht="15" customHeight="1">
      <c r="B63" s="26" t="s">
        <v>610</v>
      </c>
      <c r="C63" s="349">
        <f>'P&amp;L'!G83</f>
        <v>0</v>
      </c>
      <c r="D63" s="349">
        <f>'P&amp;L'!H83</f>
        <v>0</v>
      </c>
      <c r="E63" s="349">
        <f>'P&amp;L'!I83</f>
        <v>0</v>
      </c>
      <c r="F63" s="349">
        <f>'P&amp;L'!J83</f>
        <v>988076.25</v>
      </c>
      <c r="G63" s="349">
        <f>'P&amp;L'!K83</f>
        <v>988076.25</v>
      </c>
      <c r="H63" s="349">
        <f>'P&amp;L'!L83</f>
        <v>988076.25</v>
      </c>
      <c r="I63" s="349">
        <f>'P&amp;L'!M83</f>
        <v>988076.25</v>
      </c>
      <c r="J63" s="349">
        <f>'P&amp;L'!N83</f>
        <v>988076.25</v>
      </c>
      <c r="K63" s="349">
        <f>'P&amp;L'!O83</f>
        <v>988076.25</v>
      </c>
      <c r="L63" s="349">
        <f>'P&amp;L'!P83</f>
        <v>988076.25</v>
      </c>
      <c r="M63" s="349">
        <f>'P&amp;L'!Q83</f>
        <v>988076.25</v>
      </c>
      <c r="N63" s="349">
        <f>'P&amp;L'!R83</f>
        <v>988076.25</v>
      </c>
      <c r="O63" s="349">
        <f>'P&amp;L'!S83</f>
        <v>988076.25</v>
      </c>
      <c r="P63" s="349">
        <f>'P&amp;L'!T83</f>
        <v>988076.25</v>
      </c>
    </row>
    <row r="64" spans="2:16" ht="15.75" customHeight="1">
      <c r="B64" s="26" t="s">
        <v>611</v>
      </c>
      <c r="C64" s="349">
        <f>Cashflow!D27</f>
        <v>0</v>
      </c>
      <c r="D64" s="349">
        <f>Cashflow!E27</f>
        <v>0</v>
      </c>
      <c r="E64" s="349">
        <f>Cashflow!F27</f>
        <v>-20580525</v>
      </c>
      <c r="F64" s="349">
        <f>Cashflow!G27</f>
        <v>0</v>
      </c>
      <c r="G64" s="349">
        <f>Cashflow!H27</f>
        <v>0</v>
      </c>
      <c r="H64" s="349">
        <f>Cashflow!I27</f>
        <v>0</v>
      </c>
      <c r="I64" s="349">
        <f>Cashflow!J27</f>
        <v>0</v>
      </c>
      <c r="J64" s="349">
        <f>Cashflow!K27</f>
        <v>0</v>
      </c>
      <c r="K64" s="349">
        <f>Cashflow!L27</f>
        <v>0</v>
      </c>
      <c r="L64" s="349">
        <f>Cashflow!M27</f>
        <v>0</v>
      </c>
      <c r="M64" s="349">
        <f>Cashflow!N27</f>
        <v>0</v>
      </c>
      <c r="N64" s="349">
        <f>Cashflow!O27</f>
        <v>0</v>
      </c>
      <c r="O64" s="349">
        <f>Cashflow!P27</f>
        <v>0</v>
      </c>
      <c r="P64" s="349">
        <f>Cashflow!Q27</f>
        <v>0</v>
      </c>
    </row>
    <row r="65" spans="2:16" ht="15.75" customHeight="1">
      <c r="B65" s="26" t="s">
        <v>612</v>
      </c>
      <c r="C65" s="349">
        <f>IFERROR(Cashflow!D36,0)</f>
        <v>0</v>
      </c>
      <c r="D65" s="349">
        <f>IFERROR(Cashflow!E36,0)</f>
        <v>0</v>
      </c>
      <c r="E65" s="349">
        <f>IFERROR(Cashflow!F36,0)</f>
        <v>0</v>
      </c>
      <c r="F65" s="349">
        <f>IFERROR(Cashflow!G36,0)</f>
        <v>-1096726.5820212327</v>
      </c>
      <c r="G65" s="349">
        <f>IFERROR(Cashflow!H36,0)</f>
        <v>-12840.59445783266</v>
      </c>
      <c r="H65" s="349">
        <f>IFERROR(Cashflow!I36,0)</f>
        <v>-58802.416014928283</v>
      </c>
      <c r="I65" s="349">
        <f>IFERROR(Cashflow!J36,0)</f>
        <v>-76022.192546891019</v>
      </c>
      <c r="J65" s="349">
        <f>IFERROR(Cashflow!K36,0)</f>
        <v>-24341.653255187935</v>
      </c>
      <c r="K65" s="349">
        <f>IFERROR(Cashflow!L36,0)</f>
        <v>21394.902392118325</v>
      </c>
      <c r="L65" s="349">
        <f>IFERROR(Cashflow!M36,0)</f>
        <v>-12917.002538567729</v>
      </c>
      <c r="M65" s="349">
        <f>IFERROR(Cashflow!N36,0)</f>
        <v>-24559.379618751002</v>
      </c>
      <c r="N65" s="349">
        <f t="shared" ref="N65:P65" si="5">0</f>
        <v>0</v>
      </c>
      <c r="O65" s="349">
        <f t="shared" si="5"/>
        <v>0</v>
      </c>
      <c r="P65" s="349">
        <f t="shared" si="5"/>
        <v>0</v>
      </c>
    </row>
    <row r="66" spans="2:16" ht="15.75" customHeight="1">
      <c r="B66" s="157" t="s">
        <v>613</v>
      </c>
      <c r="C66" s="350">
        <f t="shared" ref="C66:P66" si="6">C62+C63+C64+C65</f>
        <v>0</v>
      </c>
      <c r="D66" s="350">
        <f t="shared" si="6"/>
        <v>0</v>
      </c>
      <c r="E66" s="350">
        <f t="shared" si="6"/>
        <v>-20580525</v>
      </c>
      <c r="F66" s="350">
        <f t="shared" si="6"/>
        <v>6367943.5201888913</v>
      </c>
      <c r="G66" s="350">
        <f t="shared" si="6"/>
        <v>7438709.7067803778</v>
      </c>
      <c r="H66" s="350">
        <f t="shared" si="6"/>
        <v>7746270.907744078</v>
      </c>
      <c r="I66" s="350">
        <f t="shared" si="6"/>
        <v>8342622.224384645</v>
      </c>
      <c r="J66" s="350">
        <f t="shared" si="6"/>
        <v>8549678.5777463652</v>
      </c>
      <c r="K66" s="350">
        <f t="shared" si="6"/>
        <v>8359709.9305495257</v>
      </c>
      <c r="L66" s="350">
        <f t="shared" si="6"/>
        <v>8380311.1212435756</v>
      </c>
      <c r="M66" s="350">
        <f t="shared" si="6"/>
        <v>8521083.1833078209</v>
      </c>
      <c r="N66" s="350">
        <f t="shared" si="6"/>
        <v>8702237.5482469592</v>
      </c>
      <c r="O66" s="350">
        <f t="shared" si="6"/>
        <v>8799193.1581747495</v>
      </c>
      <c r="P66" s="350">
        <f t="shared" si="6"/>
        <v>10027362.754553514</v>
      </c>
    </row>
    <row r="67" spans="2:16" ht="15.75" customHeight="1">
      <c r="B67" s="26"/>
      <c r="C67" s="176"/>
      <c r="D67" s="176"/>
      <c r="E67" s="176"/>
      <c r="F67" s="176"/>
      <c r="G67" s="176"/>
      <c r="H67" s="176"/>
      <c r="I67" s="176"/>
      <c r="J67" s="176"/>
      <c r="K67" s="176"/>
      <c r="L67" s="176"/>
      <c r="M67" s="176"/>
      <c r="N67" s="176"/>
      <c r="O67" s="176"/>
    </row>
    <row r="68" spans="2:16" ht="15.75" customHeight="1">
      <c r="B68" s="26"/>
      <c r="C68" s="176"/>
      <c r="D68" s="176"/>
      <c r="E68" s="176"/>
      <c r="F68" s="176"/>
      <c r="G68" s="176"/>
      <c r="H68" s="176"/>
      <c r="I68" s="176"/>
      <c r="J68" s="176"/>
      <c r="K68" s="176"/>
      <c r="L68" s="176"/>
      <c r="M68" s="176"/>
      <c r="N68" s="176"/>
      <c r="O68" s="176"/>
    </row>
    <row r="69" spans="2:16" ht="15.75" customHeight="1">
      <c r="B69" s="1403" t="s">
        <v>614</v>
      </c>
      <c r="C69" s="1342"/>
      <c r="D69" s="1342"/>
      <c r="E69" s="1342"/>
      <c r="F69" s="1342"/>
      <c r="G69" s="1342"/>
      <c r="H69" s="1342"/>
      <c r="I69" s="1342"/>
      <c r="J69" s="1342"/>
      <c r="K69" s="1342"/>
      <c r="L69" s="1342"/>
      <c r="M69" s="1342"/>
      <c r="N69" s="1342"/>
      <c r="O69" s="1342"/>
      <c r="P69" s="1303"/>
    </row>
    <row r="70" spans="2:16" ht="15.75" customHeight="1">
      <c r="B70" s="26"/>
      <c r="C70" s="176"/>
      <c r="D70" s="176"/>
      <c r="E70" s="176"/>
      <c r="F70" s="176"/>
      <c r="G70" s="176"/>
      <c r="H70" s="176"/>
      <c r="I70" s="176"/>
      <c r="J70" s="176"/>
      <c r="K70" s="176"/>
      <c r="L70" s="176"/>
      <c r="M70" s="176"/>
      <c r="N70" s="176"/>
      <c r="O70" s="176"/>
    </row>
    <row r="71" spans="2:16" ht="15.75" customHeight="1">
      <c r="B71" s="26" t="s">
        <v>130</v>
      </c>
      <c r="C71" s="351" t="str">
        <f>C13</f>
        <v>FY38</v>
      </c>
      <c r="D71" s="176"/>
      <c r="E71" s="176"/>
      <c r="F71" s="176"/>
      <c r="G71" s="176"/>
      <c r="H71" s="176"/>
      <c r="I71" s="176"/>
      <c r="J71" s="176"/>
      <c r="K71" s="176"/>
      <c r="L71" s="176"/>
      <c r="M71" s="176"/>
      <c r="N71" s="176"/>
      <c r="O71" s="176"/>
    </row>
    <row r="72" spans="2:16" ht="15.75" customHeight="1">
      <c r="B72" s="26" t="s">
        <v>131</v>
      </c>
      <c r="C72" s="349">
        <f>P58</f>
        <v>13901342.685076447</v>
      </c>
      <c r="D72" s="176"/>
      <c r="E72" s="176"/>
      <c r="F72" s="176"/>
      <c r="G72" s="176"/>
      <c r="H72" s="176"/>
      <c r="I72" s="176"/>
      <c r="J72" s="176"/>
      <c r="K72" s="176"/>
      <c r="L72" s="176"/>
      <c r="M72" s="176"/>
      <c r="N72" s="176"/>
      <c r="O72" s="176"/>
    </row>
    <row r="73" spans="2:16" ht="15.75" customHeight="1">
      <c r="B73" s="26" t="s">
        <v>132</v>
      </c>
      <c r="C73" s="185">
        <f>C15</f>
        <v>7</v>
      </c>
      <c r="D73" s="176"/>
      <c r="E73" s="176"/>
      <c r="F73" s="176"/>
      <c r="G73" s="176"/>
      <c r="H73" s="176"/>
      <c r="I73" s="176"/>
      <c r="J73" s="176"/>
      <c r="K73" s="176"/>
      <c r="L73" s="176"/>
      <c r="M73" s="176"/>
      <c r="N73" s="176"/>
      <c r="O73" s="176"/>
    </row>
    <row r="74" spans="2:16" ht="15.75" customHeight="1">
      <c r="B74" s="26" t="s">
        <v>615</v>
      </c>
      <c r="C74" s="349">
        <f>C72*C73</f>
        <v>97309398.795535132</v>
      </c>
      <c r="D74" s="176"/>
      <c r="E74" s="176"/>
      <c r="F74" s="176"/>
      <c r="G74" s="176"/>
      <c r="H74" s="176"/>
      <c r="I74" s="176"/>
      <c r="J74" s="176"/>
      <c r="K74" s="176"/>
      <c r="L74" s="176"/>
      <c r="M74" s="176"/>
      <c r="N74" s="176"/>
      <c r="O74" s="176"/>
    </row>
    <row r="75" spans="2:16" ht="15.75" customHeight="1">
      <c r="B75" s="26"/>
      <c r="C75" s="176"/>
      <c r="D75" s="176"/>
      <c r="E75" s="176"/>
      <c r="F75" s="176"/>
      <c r="G75" s="176"/>
      <c r="H75" s="176"/>
      <c r="I75" s="176"/>
      <c r="J75" s="176"/>
      <c r="K75" s="176"/>
      <c r="L75" s="176"/>
      <c r="M75" s="176"/>
      <c r="N75" s="176"/>
      <c r="O75" s="176"/>
    </row>
    <row r="76" spans="2:16" ht="15.75" customHeight="1">
      <c r="B76" s="1404" t="s">
        <v>616</v>
      </c>
      <c r="C76" s="1305"/>
      <c r="D76" s="1305"/>
      <c r="E76" s="1305"/>
      <c r="F76" s="1305"/>
      <c r="G76" s="1305"/>
      <c r="H76" s="1305"/>
      <c r="I76" s="1305"/>
      <c r="J76" s="1305"/>
      <c r="K76" s="1305"/>
      <c r="L76" s="1305"/>
      <c r="M76" s="1305"/>
      <c r="N76" s="1305"/>
      <c r="O76" s="176"/>
    </row>
    <row r="77" spans="2:16" ht="15.75" customHeight="1">
      <c r="B77" s="209" t="s">
        <v>211</v>
      </c>
      <c r="C77" s="352" t="str">
        <f t="shared" ref="C77:P77" si="7">C53</f>
        <v>FY25</v>
      </c>
      <c r="D77" s="352" t="str">
        <f t="shared" si="7"/>
        <v>FY26</v>
      </c>
      <c r="E77" s="352" t="str">
        <f t="shared" si="7"/>
        <v>FY27</v>
      </c>
      <c r="F77" s="352" t="str">
        <f t="shared" si="7"/>
        <v>FY28</v>
      </c>
      <c r="G77" s="352" t="str">
        <f t="shared" si="7"/>
        <v>FY29</v>
      </c>
      <c r="H77" s="352" t="str">
        <f t="shared" si="7"/>
        <v>FY30</v>
      </c>
      <c r="I77" s="352" t="str">
        <f t="shared" si="7"/>
        <v>FY31</v>
      </c>
      <c r="J77" s="352" t="str">
        <f t="shared" si="7"/>
        <v>FY32</v>
      </c>
      <c r="K77" s="352" t="str">
        <f t="shared" si="7"/>
        <v>FY33</v>
      </c>
      <c r="L77" s="352" t="str">
        <f t="shared" si="7"/>
        <v>FY34</v>
      </c>
      <c r="M77" s="352" t="str">
        <f t="shared" si="7"/>
        <v>FY35</v>
      </c>
      <c r="N77" s="352" t="str">
        <f t="shared" si="7"/>
        <v>FY36</v>
      </c>
      <c r="O77" s="352" t="str">
        <f t="shared" si="7"/>
        <v>FY37</v>
      </c>
      <c r="P77" s="352" t="str">
        <f t="shared" si="7"/>
        <v>FY38</v>
      </c>
    </row>
    <row r="78" spans="2:16" ht="15.75" customHeight="1">
      <c r="B78" s="26" t="s">
        <v>617</v>
      </c>
      <c r="C78" s="344">
        <f t="shared" ref="C78:P78" si="8">C55</f>
        <v>-1.4219178082191781</v>
      </c>
      <c r="D78" s="344">
        <f t="shared" si="8"/>
        <v>-0.42191780821917807</v>
      </c>
      <c r="E78" s="344">
        <f t="shared" si="8"/>
        <v>0.57808219178082187</v>
      </c>
      <c r="F78" s="344">
        <f t="shared" si="8"/>
        <v>1.5808219178082192</v>
      </c>
      <c r="G78" s="344">
        <f t="shared" si="8"/>
        <v>2.580821917808219</v>
      </c>
      <c r="H78" s="344">
        <f t="shared" si="8"/>
        <v>3.580821917808219</v>
      </c>
      <c r="I78" s="344">
        <f t="shared" si="8"/>
        <v>4.580821917808219</v>
      </c>
      <c r="J78" s="344">
        <f t="shared" si="8"/>
        <v>5.5835616438356164</v>
      </c>
      <c r="K78" s="344">
        <f t="shared" si="8"/>
        <v>6.5835616438356164</v>
      </c>
      <c r="L78" s="344">
        <f t="shared" si="8"/>
        <v>7.5835616438356164</v>
      </c>
      <c r="M78" s="344">
        <f t="shared" si="8"/>
        <v>8.5835616438356173</v>
      </c>
      <c r="N78" s="344">
        <f t="shared" si="8"/>
        <v>9.5863013698630137</v>
      </c>
      <c r="O78" s="344">
        <f t="shared" si="8"/>
        <v>10.586301369863014</v>
      </c>
      <c r="P78" s="344">
        <f t="shared" si="8"/>
        <v>11.586301369863014</v>
      </c>
    </row>
    <row r="79" spans="2:16" ht="15.75" customHeight="1">
      <c r="B79" s="26" t="s">
        <v>618</v>
      </c>
      <c r="C79" s="353">
        <f t="shared" ref="C79:P79" si="9">IF(C78="","",1/(1+$C$47)^C78)</f>
        <v>1.145135810735403</v>
      </c>
      <c r="D79" s="353">
        <f t="shared" si="9"/>
        <v>1.0410325552140025</v>
      </c>
      <c r="E79" s="353">
        <f t="shared" si="9"/>
        <v>0.94639323201272962</v>
      </c>
      <c r="F79" s="353">
        <f t="shared" si="9"/>
        <v>0.86013285317886357</v>
      </c>
      <c r="G79" s="353">
        <f t="shared" si="9"/>
        <v>0.78193895743533037</v>
      </c>
      <c r="H79" s="353">
        <f t="shared" si="9"/>
        <v>0.71085359766848222</v>
      </c>
      <c r="I79" s="353">
        <f t="shared" si="9"/>
        <v>0.64623054333498375</v>
      </c>
      <c r="J79" s="353">
        <f t="shared" si="9"/>
        <v>0.58732892654770208</v>
      </c>
      <c r="K79" s="353">
        <f t="shared" si="9"/>
        <v>0.5339353877706382</v>
      </c>
      <c r="L79" s="353">
        <f t="shared" si="9"/>
        <v>0.48539580706421653</v>
      </c>
      <c r="M79" s="353">
        <f t="shared" si="9"/>
        <v>0.44126891551292402</v>
      </c>
      <c r="N79" s="353">
        <f t="shared" si="9"/>
        <v>0.40104882249852047</v>
      </c>
      <c r="O79" s="353">
        <f t="shared" si="9"/>
        <v>0.36458983863501859</v>
      </c>
      <c r="P79" s="353">
        <f t="shared" si="9"/>
        <v>0.33144530785001686</v>
      </c>
    </row>
    <row r="80" spans="2:16" ht="15.75" customHeight="1">
      <c r="B80" s="26" t="s">
        <v>390</v>
      </c>
      <c r="C80" s="349">
        <f t="shared" ref="C80:P80" si="10">C66</f>
        <v>0</v>
      </c>
      <c r="D80" s="349">
        <f t="shared" si="10"/>
        <v>0</v>
      </c>
      <c r="E80" s="349">
        <f t="shared" si="10"/>
        <v>-20580525</v>
      </c>
      <c r="F80" s="349">
        <f t="shared" si="10"/>
        <v>6367943.5201888913</v>
      </c>
      <c r="G80" s="349">
        <f t="shared" si="10"/>
        <v>7438709.7067803778</v>
      </c>
      <c r="H80" s="349">
        <f t="shared" si="10"/>
        <v>7746270.907744078</v>
      </c>
      <c r="I80" s="349">
        <f t="shared" si="10"/>
        <v>8342622.224384645</v>
      </c>
      <c r="J80" s="349">
        <f t="shared" si="10"/>
        <v>8549678.5777463652</v>
      </c>
      <c r="K80" s="349">
        <f t="shared" si="10"/>
        <v>8359709.9305495257</v>
      </c>
      <c r="L80" s="349">
        <f t="shared" si="10"/>
        <v>8380311.1212435756</v>
      </c>
      <c r="M80" s="349">
        <f t="shared" si="10"/>
        <v>8521083.1833078209</v>
      </c>
      <c r="N80" s="349">
        <f t="shared" si="10"/>
        <v>8702237.5482469592</v>
      </c>
      <c r="O80" s="349">
        <f t="shared" si="10"/>
        <v>8799193.1581747495</v>
      </c>
      <c r="P80" s="349">
        <f t="shared" si="10"/>
        <v>10027362.754553514</v>
      </c>
    </row>
    <row r="81" spans="2:16" ht="15.75" customHeight="1">
      <c r="B81" s="26" t="s">
        <v>233</v>
      </c>
      <c r="C81" s="349">
        <f t="shared" ref="C81:O81" si="11">0</f>
        <v>0</v>
      </c>
      <c r="D81" s="349">
        <f t="shared" si="11"/>
        <v>0</v>
      </c>
      <c r="E81" s="349">
        <f t="shared" si="11"/>
        <v>0</v>
      </c>
      <c r="F81" s="349">
        <f t="shared" si="11"/>
        <v>0</v>
      </c>
      <c r="G81" s="349">
        <f t="shared" si="11"/>
        <v>0</v>
      </c>
      <c r="H81" s="349">
        <f t="shared" si="11"/>
        <v>0</v>
      </c>
      <c r="I81" s="349">
        <f t="shared" si="11"/>
        <v>0</v>
      </c>
      <c r="J81" s="349">
        <f t="shared" si="11"/>
        <v>0</v>
      </c>
      <c r="K81" s="349">
        <f t="shared" si="11"/>
        <v>0</v>
      </c>
      <c r="L81" s="349">
        <f t="shared" si="11"/>
        <v>0</v>
      </c>
      <c r="M81" s="349">
        <f t="shared" si="11"/>
        <v>0</v>
      </c>
      <c r="N81" s="349">
        <f t="shared" si="11"/>
        <v>0</v>
      </c>
      <c r="O81" s="349">
        <f t="shared" si="11"/>
        <v>0</v>
      </c>
      <c r="P81" s="349">
        <f>$C$74</f>
        <v>97309398.795535132</v>
      </c>
    </row>
    <row r="82" spans="2:16" ht="15.75" customHeight="1">
      <c r="B82" s="26" t="s">
        <v>619</v>
      </c>
      <c r="C82" s="349">
        <f t="shared" ref="C82:P82" si="12">IF(C79="","",C80*C79)</f>
        <v>0</v>
      </c>
      <c r="D82" s="349">
        <f t="shared" si="12"/>
        <v>0</v>
      </c>
      <c r="E82" s="349">
        <f t="shared" si="12"/>
        <v>-19477269.571268782</v>
      </c>
      <c r="F82" s="349">
        <f t="shared" si="12"/>
        <v>5477277.4289019275</v>
      </c>
      <c r="G82" s="349">
        <f t="shared" si="12"/>
        <v>5816616.9127839208</v>
      </c>
      <c r="H82" s="349">
        <f t="shared" si="12"/>
        <v>5506464.5432845773</v>
      </c>
      <c r="I82" s="349">
        <f t="shared" si="12"/>
        <v>5391257.2929026</v>
      </c>
      <c r="J82" s="349">
        <f t="shared" si="12"/>
        <v>5021473.5413956568</v>
      </c>
      <c r="K82" s="349">
        <f t="shared" si="12"/>
        <v>4463544.9634180162</v>
      </c>
      <c r="L82" s="349">
        <f t="shared" si="12"/>
        <v>4067767.8801452545</v>
      </c>
      <c r="M82" s="349">
        <f t="shared" si="12"/>
        <v>3760089.1352936565</v>
      </c>
      <c r="N82" s="349">
        <f t="shared" si="12"/>
        <v>3490022.1218268545</v>
      </c>
      <c r="O82" s="349">
        <f t="shared" si="12"/>
        <v>3208096.4136572913</v>
      </c>
      <c r="P82" s="349">
        <f t="shared" si="12"/>
        <v>3323522.3351067821</v>
      </c>
    </row>
    <row r="83" spans="2:16" ht="15.75" customHeight="1">
      <c r="B83" s="26" t="s">
        <v>125</v>
      </c>
      <c r="C83" s="349">
        <f t="shared" ref="C83:P83" si="13">IF(C79="","",C81*C79)</f>
        <v>0</v>
      </c>
      <c r="D83" s="349">
        <f t="shared" si="13"/>
        <v>0</v>
      </c>
      <c r="E83" s="349">
        <f t="shared" si="13"/>
        <v>0</v>
      </c>
      <c r="F83" s="349">
        <f t="shared" si="13"/>
        <v>0</v>
      </c>
      <c r="G83" s="349">
        <f t="shared" si="13"/>
        <v>0</v>
      </c>
      <c r="H83" s="349">
        <f t="shared" si="13"/>
        <v>0</v>
      </c>
      <c r="I83" s="349">
        <f t="shared" si="13"/>
        <v>0</v>
      </c>
      <c r="J83" s="349">
        <f t="shared" si="13"/>
        <v>0</v>
      </c>
      <c r="K83" s="349">
        <f t="shared" si="13"/>
        <v>0</v>
      </c>
      <c r="L83" s="349">
        <f t="shared" si="13"/>
        <v>0</v>
      </c>
      <c r="M83" s="349">
        <f t="shared" si="13"/>
        <v>0</v>
      </c>
      <c r="N83" s="349">
        <f t="shared" si="13"/>
        <v>0</v>
      </c>
      <c r="O83" s="349">
        <f t="shared" si="13"/>
        <v>0</v>
      </c>
      <c r="P83" s="349">
        <f t="shared" si="13"/>
        <v>32252743.640486203</v>
      </c>
    </row>
    <row r="84" spans="2:16" ht="15.75" customHeight="1">
      <c r="B84" s="26"/>
      <c r="C84" s="176"/>
      <c r="D84" s="176"/>
      <c r="E84" s="176"/>
      <c r="F84" s="176"/>
      <c r="G84" s="176"/>
      <c r="H84" s="176"/>
      <c r="I84" s="176"/>
      <c r="J84" s="176"/>
      <c r="K84" s="176"/>
      <c r="L84" s="176"/>
      <c r="M84" s="176"/>
      <c r="N84" s="176"/>
      <c r="O84" s="176"/>
    </row>
    <row r="85" spans="2:16" ht="15.75" customHeight="1">
      <c r="B85" s="26"/>
      <c r="C85" s="176"/>
      <c r="D85" s="176"/>
      <c r="E85" s="176"/>
      <c r="F85" s="176"/>
      <c r="G85" s="176"/>
      <c r="H85" s="176"/>
      <c r="I85" s="176"/>
      <c r="J85" s="176"/>
      <c r="K85" s="176"/>
      <c r="L85" s="176"/>
      <c r="M85" s="176"/>
      <c r="N85" s="176"/>
      <c r="O85" s="176"/>
    </row>
    <row r="86" spans="2:16" ht="15.75" customHeight="1">
      <c r="B86" s="1403" t="s">
        <v>620</v>
      </c>
      <c r="C86" s="1342"/>
      <c r="D86" s="1342"/>
      <c r="E86" s="1342"/>
      <c r="F86" s="1342"/>
      <c r="G86" s="1342"/>
      <c r="H86" s="1342"/>
      <c r="I86" s="1342"/>
      <c r="J86" s="1342"/>
      <c r="K86" s="1342"/>
      <c r="L86" s="1342"/>
      <c r="M86" s="1342"/>
      <c r="N86" s="1342"/>
      <c r="O86" s="1342"/>
      <c r="P86" s="1303"/>
    </row>
    <row r="87" spans="2:16" ht="15.75" customHeight="1">
      <c r="B87" s="26"/>
      <c r="C87" s="176"/>
      <c r="D87" s="176"/>
      <c r="E87" s="176"/>
      <c r="F87" s="176"/>
      <c r="G87" s="176"/>
      <c r="H87" s="176"/>
      <c r="I87" s="176"/>
      <c r="J87" s="176"/>
      <c r="K87" s="176"/>
      <c r="L87" s="176"/>
      <c r="M87" s="176"/>
      <c r="N87" s="176"/>
      <c r="O87" s="176"/>
    </row>
    <row r="88" spans="2:16" ht="15.75" customHeight="1">
      <c r="B88" s="209" t="s">
        <v>121</v>
      </c>
      <c r="C88" s="183" t="s">
        <v>212</v>
      </c>
      <c r="D88" s="183" t="s">
        <v>229</v>
      </c>
      <c r="E88" s="176"/>
      <c r="F88" s="176"/>
      <c r="G88" s="176"/>
      <c r="H88" s="176"/>
      <c r="I88" s="176"/>
      <c r="J88" s="176"/>
      <c r="K88" s="176"/>
      <c r="L88" s="176"/>
      <c r="M88" s="176"/>
      <c r="N88" s="176"/>
      <c r="O88" s="176"/>
    </row>
    <row r="89" spans="2:16" ht="15.75" customHeight="1">
      <c r="B89" s="26" t="s">
        <v>621</v>
      </c>
      <c r="C89" s="349">
        <f t="shared" ref="C89:C90" si="14">SUM(C82:P82)</f>
        <v>30048862.997447755</v>
      </c>
      <c r="D89" s="176" t="s">
        <v>622</v>
      </c>
      <c r="E89" s="176"/>
      <c r="F89" s="176"/>
      <c r="G89" s="176"/>
      <c r="H89" s="176"/>
      <c r="I89" s="176"/>
      <c r="J89" s="176"/>
      <c r="K89" s="176"/>
      <c r="L89" s="176"/>
      <c r="M89" s="176"/>
      <c r="N89" s="176"/>
      <c r="O89" s="176"/>
    </row>
    <row r="90" spans="2:16" ht="15.75" customHeight="1">
      <c r="B90" s="26" t="s">
        <v>125</v>
      </c>
      <c r="C90" s="349">
        <f t="shared" si="14"/>
        <v>32252743.640486203</v>
      </c>
      <c r="D90" s="176" t="s">
        <v>623</v>
      </c>
      <c r="E90" s="176"/>
      <c r="F90" s="176"/>
      <c r="G90" s="176"/>
      <c r="H90" s="176"/>
      <c r="I90" s="176"/>
      <c r="J90" s="176"/>
      <c r="K90" s="176"/>
      <c r="L90" s="176"/>
      <c r="M90" s="176"/>
      <c r="N90" s="176"/>
      <c r="O90" s="176"/>
    </row>
    <row r="91" spans="2:16" ht="15.75" customHeight="1">
      <c r="B91" s="157" t="s">
        <v>126</v>
      </c>
      <c r="C91" s="350">
        <f>C89+C90</f>
        <v>62301606.637933955</v>
      </c>
      <c r="D91" s="354" t="s">
        <v>624</v>
      </c>
      <c r="E91" s="176"/>
      <c r="F91" s="176"/>
      <c r="G91" s="176"/>
      <c r="H91" s="176"/>
      <c r="I91" s="176"/>
      <c r="J91" s="176"/>
      <c r="K91" s="176"/>
      <c r="L91" s="176"/>
      <c r="M91" s="176"/>
      <c r="N91" s="176"/>
      <c r="O91" s="176"/>
    </row>
    <row r="92" spans="2:16" ht="15.75" customHeight="1">
      <c r="B92" s="26"/>
      <c r="C92" s="349"/>
      <c r="D92" s="176"/>
      <c r="E92" s="176"/>
      <c r="F92" s="176"/>
      <c r="G92" s="176"/>
      <c r="H92" s="176"/>
      <c r="I92" s="176"/>
      <c r="J92" s="176"/>
      <c r="K92" s="176"/>
      <c r="L92" s="176"/>
      <c r="M92" s="176"/>
      <c r="N92" s="176"/>
      <c r="O92" s="176"/>
    </row>
    <row r="93" spans="2:16" ht="15.75" customHeight="1">
      <c r="B93" s="26" t="s">
        <v>625</v>
      </c>
      <c r="C93" s="349">
        <f>-Debt!J24-Debt!J41</f>
        <v>-12675915</v>
      </c>
      <c r="D93" s="176" t="s">
        <v>626</v>
      </c>
      <c r="E93" s="176"/>
      <c r="F93" s="176"/>
      <c r="G93" s="176"/>
      <c r="H93" s="176"/>
      <c r="I93" s="176"/>
      <c r="J93" s="176"/>
      <c r="K93" s="176"/>
      <c r="L93" s="176"/>
      <c r="M93" s="176"/>
      <c r="N93" s="176"/>
      <c r="O93" s="176"/>
    </row>
    <row r="94" spans="2:16" ht="15.75" customHeight="1">
      <c r="B94" s="26" t="s">
        <v>627</v>
      </c>
      <c r="C94" s="349">
        <f>'Balance Sheet'!H10</f>
        <v>452228.39999999851</v>
      </c>
      <c r="D94" s="176" t="s">
        <v>628</v>
      </c>
      <c r="E94" s="176"/>
      <c r="F94" s="176"/>
      <c r="G94" s="176"/>
      <c r="H94" s="176"/>
      <c r="I94" s="176"/>
      <c r="J94" s="176"/>
      <c r="K94" s="176"/>
      <c r="L94" s="176"/>
      <c r="M94" s="176"/>
      <c r="N94" s="176"/>
      <c r="O94" s="176"/>
    </row>
    <row r="95" spans="2:16" ht="15.75" customHeight="1">
      <c r="B95" s="26" t="s">
        <v>629</v>
      </c>
      <c r="C95" s="349">
        <f t="shared" ref="C95:C96" si="15">0</f>
        <v>0</v>
      </c>
      <c r="D95" s="176" t="s">
        <v>630</v>
      </c>
      <c r="E95" s="176"/>
      <c r="F95" s="176"/>
      <c r="G95" s="176"/>
      <c r="H95" s="176"/>
      <c r="I95" s="176"/>
      <c r="J95" s="176"/>
      <c r="K95" s="176"/>
      <c r="L95" s="176"/>
      <c r="M95" s="176"/>
      <c r="N95" s="176"/>
      <c r="O95" s="176"/>
    </row>
    <row r="96" spans="2:16" ht="15.75" customHeight="1">
      <c r="B96" s="26" t="s">
        <v>631</v>
      </c>
      <c r="C96" s="349">
        <f t="shared" si="15"/>
        <v>0</v>
      </c>
      <c r="D96" s="176" t="s">
        <v>630</v>
      </c>
      <c r="E96" s="176"/>
      <c r="F96" s="176"/>
      <c r="G96" s="176"/>
      <c r="H96" s="176"/>
      <c r="I96" s="176"/>
      <c r="J96" s="176"/>
      <c r="K96" s="176"/>
      <c r="L96" s="176"/>
      <c r="M96" s="176"/>
      <c r="N96" s="176"/>
      <c r="O96" s="176"/>
    </row>
    <row r="97" spans="2:16" ht="15.75" customHeight="1">
      <c r="B97" s="26"/>
      <c r="C97" s="176"/>
      <c r="D97" s="176"/>
      <c r="E97" s="176"/>
      <c r="F97" s="176"/>
      <c r="G97" s="176"/>
      <c r="H97" s="176"/>
      <c r="I97" s="176"/>
      <c r="J97" s="176"/>
      <c r="K97" s="176"/>
      <c r="L97" s="176"/>
      <c r="M97" s="176"/>
      <c r="N97" s="176"/>
      <c r="O97" s="176"/>
    </row>
    <row r="98" spans="2:16" ht="15.75" customHeight="1">
      <c r="B98" s="355" t="s">
        <v>239</v>
      </c>
      <c r="C98" s="356">
        <f>C91+C93+C94+C95+C96</f>
        <v>50077920.037933953</v>
      </c>
      <c r="D98" s="357" t="s">
        <v>632</v>
      </c>
      <c r="E98" s="176"/>
      <c r="F98" s="176"/>
      <c r="G98" s="176"/>
      <c r="H98" s="176"/>
      <c r="I98" s="176"/>
      <c r="J98" s="176"/>
      <c r="K98" s="176"/>
      <c r="L98" s="176"/>
      <c r="M98" s="176"/>
      <c r="N98" s="176"/>
      <c r="O98" s="176"/>
    </row>
    <row r="99" spans="2:16" ht="15.75" customHeight="1">
      <c r="B99" s="26"/>
      <c r="C99" s="176"/>
      <c r="D99" s="176"/>
      <c r="E99" s="176"/>
      <c r="F99" s="176"/>
      <c r="G99" s="176"/>
      <c r="H99" s="176"/>
      <c r="I99" s="176"/>
      <c r="J99" s="176"/>
      <c r="K99" s="176"/>
      <c r="L99" s="176"/>
      <c r="M99" s="176"/>
      <c r="N99" s="176"/>
      <c r="O99" s="176"/>
    </row>
    <row r="100" spans="2:16" ht="15.75" customHeight="1">
      <c r="B100" s="26"/>
      <c r="C100" s="176"/>
      <c r="D100" s="176"/>
      <c r="E100" s="176"/>
      <c r="F100" s="176"/>
      <c r="G100" s="176"/>
      <c r="H100" s="176"/>
      <c r="I100" s="176"/>
      <c r="J100" s="176"/>
      <c r="K100" s="176"/>
      <c r="L100" s="176"/>
      <c r="M100" s="176"/>
      <c r="N100" s="176"/>
      <c r="O100" s="176"/>
    </row>
    <row r="101" spans="2:16" ht="15.75" customHeight="1">
      <c r="B101" s="1403" t="s">
        <v>241</v>
      </c>
      <c r="C101" s="1342"/>
      <c r="D101" s="1342"/>
      <c r="E101" s="1342"/>
      <c r="F101" s="1342"/>
      <c r="G101" s="1342"/>
      <c r="H101" s="1342"/>
      <c r="I101" s="1342"/>
      <c r="J101" s="1342"/>
      <c r="K101" s="1342"/>
      <c r="L101" s="1342"/>
      <c r="M101" s="1342"/>
      <c r="N101" s="1342"/>
      <c r="O101" s="1342"/>
      <c r="P101" s="1303"/>
    </row>
    <row r="102" spans="2:16" ht="15.75" customHeight="1">
      <c r="B102" s="26"/>
      <c r="C102" s="176"/>
      <c r="D102" s="176"/>
      <c r="E102" s="176"/>
      <c r="F102" s="176"/>
      <c r="G102" s="176"/>
      <c r="H102" s="176"/>
      <c r="I102" s="176"/>
      <c r="J102" s="176"/>
      <c r="K102" s="176"/>
      <c r="L102" s="176"/>
      <c r="M102" s="176"/>
      <c r="N102" s="176"/>
      <c r="O102" s="176"/>
    </row>
    <row r="103" spans="2:16" ht="15.75" customHeight="1">
      <c r="B103" s="1406" t="s">
        <v>633</v>
      </c>
      <c r="C103" s="1305"/>
      <c r="D103" s="1305"/>
      <c r="E103" s="176"/>
      <c r="F103" s="176"/>
      <c r="G103" s="176"/>
      <c r="H103" s="176"/>
      <c r="I103" s="176"/>
      <c r="J103" s="176"/>
      <c r="K103" s="176"/>
      <c r="L103" s="176"/>
      <c r="M103" s="176"/>
      <c r="N103" s="176"/>
      <c r="O103" s="176"/>
    </row>
    <row r="104" spans="2:16" ht="15.75" customHeight="1">
      <c r="B104" s="26"/>
      <c r="C104" s="176"/>
      <c r="D104" s="176"/>
      <c r="E104" s="176"/>
      <c r="F104" s="176"/>
      <c r="G104" s="176"/>
      <c r="H104" s="176"/>
      <c r="I104" s="176"/>
      <c r="J104" s="176"/>
      <c r="K104" s="176"/>
      <c r="L104" s="176"/>
      <c r="M104" s="176"/>
      <c r="N104" s="176"/>
      <c r="O104" s="176"/>
    </row>
    <row r="105" spans="2:16" ht="15.75" customHeight="1">
      <c r="B105" s="358" t="s">
        <v>634</v>
      </c>
      <c r="C105" s="359" t="str">
        <f t="shared" ref="C105:P105" si="16">C53</f>
        <v>FY25</v>
      </c>
      <c r="D105" s="359" t="str">
        <f t="shared" si="16"/>
        <v>FY26</v>
      </c>
      <c r="E105" s="359" t="str">
        <f t="shared" si="16"/>
        <v>FY27</v>
      </c>
      <c r="F105" s="359" t="str">
        <f t="shared" si="16"/>
        <v>FY28</v>
      </c>
      <c r="G105" s="359" t="str">
        <f t="shared" si="16"/>
        <v>FY29</v>
      </c>
      <c r="H105" s="359" t="str">
        <f t="shared" si="16"/>
        <v>FY30</v>
      </c>
      <c r="I105" s="359" t="str">
        <f t="shared" si="16"/>
        <v>FY31</v>
      </c>
      <c r="J105" s="359" t="str">
        <f t="shared" si="16"/>
        <v>FY32</v>
      </c>
      <c r="K105" s="359" t="str">
        <f t="shared" si="16"/>
        <v>FY33</v>
      </c>
      <c r="L105" s="359" t="str">
        <f t="shared" si="16"/>
        <v>FY34</v>
      </c>
      <c r="M105" s="359" t="str">
        <f t="shared" si="16"/>
        <v>FY35</v>
      </c>
      <c r="N105" s="359" t="str">
        <f t="shared" si="16"/>
        <v>FY36</v>
      </c>
      <c r="O105" s="359" t="str">
        <f t="shared" si="16"/>
        <v>FY37</v>
      </c>
      <c r="P105" s="359" t="str">
        <f t="shared" si="16"/>
        <v>FY38</v>
      </c>
    </row>
    <row r="106" spans="2:16" ht="15.75" customHeight="1">
      <c r="B106" s="253" t="s">
        <v>278</v>
      </c>
      <c r="C106" s="360">
        <f t="shared" ref="C106:P106" si="17">C54</f>
        <v>45838</v>
      </c>
      <c r="D106" s="360">
        <f t="shared" si="17"/>
        <v>46203</v>
      </c>
      <c r="E106" s="360">
        <f t="shared" si="17"/>
        <v>46568</v>
      </c>
      <c r="F106" s="360">
        <f t="shared" si="17"/>
        <v>46934</v>
      </c>
      <c r="G106" s="360">
        <f t="shared" si="17"/>
        <v>47299</v>
      </c>
      <c r="H106" s="360">
        <f t="shared" si="17"/>
        <v>47664</v>
      </c>
      <c r="I106" s="360">
        <f t="shared" si="17"/>
        <v>48029</v>
      </c>
      <c r="J106" s="360">
        <f t="shared" si="17"/>
        <v>48395</v>
      </c>
      <c r="K106" s="360">
        <f t="shared" si="17"/>
        <v>48760</v>
      </c>
      <c r="L106" s="360">
        <f t="shared" si="17"/>
        <v>49125</v>
      </c>
      <c r="M106" s="360">
        <f t="shared" si="17"/>
        <v>49490</v>
      </c>
      <c r="N106" s="360">
        <f t="shared" si="17"/>
        <v>49856</v>
      </c>
      <c r="O106" s="360">
        <f t="shared" si="17"/>
        <v>50221</v>
      </c>
      <c r="P106" s="360">
        <f t="shared" si="17"/>
        <v>50586</v>
      </c>
    </row>
    <row r="107" spans="2:16" ht="15.75" customHeight="1">
      <c r="B107" s="361" t="s">
        <v>635</v>
      </c>
      <c r="C107" s="362">
        <f t="shared" ref="C107:P107" si="18">C80+C81</f>
        <v>0</v>
      </c>
      <c r="D107" s="362">
        <f t="shared" si="18"/>
        <v>0</v>
      </c>
      <c r="E107" s="362">
        <f t="shared" si="18"/>
        <v>-20580525</v>
      </c>
      <c r="F107" s="362">
        <f t="shared" si="18"/>
        <v>6367943.5201888913</v>
      </c>
      <c r="G107" s="362">
        <f t="shared" si="18"/>
        <v>7438709.7067803778</v>
      </c>
      <c r="H107" s="362">
        <f t="shared" si="18"/>
        <v>7746270.907744078</v>
      </c>
      <c r="I107" s="362">
        <f t="shared" si="18"/>
        <v>8342622.224384645</v>
      </c>
      <c r="J107" s="362">
        <f t="shared" si="18"/>
        <v>8549678.5777463652</v>
      </c>
      <c r="K107" s="362">
        <f t="shared" si="18"/>
        <v>8359709.9305495257</v>
      </c>
      <c r="L107" s="362">
        <f t="shared" si="18"/>
        <v>8380311.1212435756</v>
      </c>
      <c r="M107" s="362">
        <f t="shared" si="18"/>
        <v>8521083.1833078209</v>
      </c>
      <c r="N107" s="362">
        <f t="shared" si="18"/>
        <v>8702237.5482469592</v>
      </c>
      <c r="O107" s="362">
        <f t="shared" si="18"/>
        <v>8799193.1581747495</v>
      </c>
      <c r="P107" s="362">
        <f t="shared" si="18"/>
        <v>107336761.55008864</v>
      </c>
    </row>
    <row r="108" spans="2:16" ht="15.75" customHeight="1">
      <c r="B108" s="253"/>
      <c r="C108" s="250"/>
      <c r="D108" s="250"/>
      <c r="E108" s="250"/>
      <c r="F108" s="250"/>
      <c r="G108" s="250"/>
      <c r="H108" s="250"/>
      <c r="I108" s="250"/>
      <c r="J108" s="250"/>
      <c r="K108" s="250"/>
      <c r="L108" s="250"/>
      <c r="M108" s="250"/>
      <c r="N108" s="250"/>
      <c r="O108" s="176"/>
    </row>
    <row r="109" spans="2:16" ht="15.75" customHeight="1">
      <c r="B109" s="253" t="s">
        <v>558</v>
      </c>
      <c r="C109" s="363">
        <f>(C181/C182)^(1/10)-1</f>
        <v>0.24794586632771631</v>
      </c>
      <c r="D109" s="250"/>
      <c r="E109" s="250"/>
      <c r="F109" s="250"/>
      <c r="G109" s="250"/>
      <c r="H109" s="250"/>
      <c r="I109" s="250"/>
      <c r="J109" s="250"/>
      <c r="K109" s="250"/>
      <c r="L109" s="250"/>
      <c r="M109" s="250"/>
      <c r="N109" s="250"/>
      <c r="O109" s="176"/>
    </row>
    <row r="110" spans="2:16" ht="15.75" customHeight="1">
      <c r="B110" s="253" t="s">
        <v>244</v>
      </c>
      <c r="C110" s="364">
        <f>C91</f>
        <v>62301606.637933955</v>
      </c>
      <c r="D110" s="250" t="s">
        <v>636</v>
      </c>
      <c r="E110" s="250"/>
      <c r="F110" s="250"/>
      <c r="G110" s="250"/>
      <c r="H110" s="250"/>
      <c r="I110" s="250"/>
      <c r="J110" s="250"/>
      <c r="K110" s="250"/>
      <c r="L110" s="250"/>
      <c r="M110" s="250"/>
      <c r="N110" s="250"/>
      <c r="O110" s="176"/>
    </row>
    <row r="111" spans="2:16" ht="15.75" customHeight="1">
      <c r="B111" s="26"/>
      <c r="C111" s="176"/>
      <c r="D111" s="176"/>
      <c r="E111" s="176"/>
      <c r="F111" s="176"/>
      <c r="G111" s="176"/>
      <c r="H111" s="176"/>
      <c r="I111" s="176"/>
      <c r="J111" s="176"/>
      <c r="K111" s="176"/>
      <c r="L111" s="176"/>
      <c r="M111" s="176"/>
      <c r="N111" s="176"/>
      <c r="O111" s="176"/>
    </row>
    <row r="112" spans="2:16" ht="15.75" customHeight="1">
      <c r="B112" s="26"/>
      <c r="C112" s="176"/>
      <c r="D112" s="176"/>
      <c r="E112" s="176"/>
      <c r="F112" s="176"/>
      <c r="G112" s="176"/>
      <c r="H112" s="176"/>
      <c r="I112" s="176"/>
      <c r="J112" s="176"/>
      <c r="K112" s="176"/>
      <c r="L112" s="176"/>
      <c r="M112" s="176"/>
      <c r="N112" s="176"/>
      <c r="O112" s="176"/>
    </row>
    <row r="113" spans="2:16" ht="15.75" customHeight="1">
      <c r="B113" s="1407" t="s">
        <v>637</v>
      </c>
      <c r="C113" s="1305"/>
      <c r="D113" s="1305"/>
      <c r="E113" s="250"/>
      <c r="F113" s="250"/>
      <c r="G113" s="250"/>
      <c r="H113" s="250"/>
      <c r="I113" s="250"/>
      <c r="J113" s="250"/>
      <c r="K113" s="250"/>
      <c r="L113" s="250"/>
      <c r="M113" s="250"/>
      <c r="N113" s="250"/>
      <c r="O113" s="176"/>
    </row>
    <row r="114" spans="2:16" ht="15.75" customHeight="1">
      <c r="B114" s="224"/>
      <c r="C114" s="250"/>
      <c r="D114" s="250"/>
      <c r="E114" s="250"/>
      <c r="F114" s="250"/>
      <c r="G114" s="250"/>
      <c r="H114" s="250"/>
      <c r="I114" s="250"/>
      <c r="J114" s="250"/>
      <c r="K114" s="250"/>
      <c r="L114" s="250"/>
      <c r="M114" s="250"/>
      <c r="N114" s="250"/>
      <c r="O114" s="176"/>
    </row>
    <row r="115" spans="2:16" ht="15.75" customHeight="1">
      <c r="B115" s="358" t="s">
        <v>638</v>
      </c>
      <c r="C115" s="359" t="str">
        <f t="shared" ref="C115:P115" si="19">C53</f>
        <v>FY25</v>
      </c>
      <c r="D115" s="359" t="str">
        <f t="shared" si="19"/>
        <v>FY26</v>
      </c>
      <c r="E115" s="359" t="str">
        <f t="shared" si="19"/>
        <v>FY27</v>
      </c>
      <c r="F115" s="359" t="str">
        <f t="shared" si="19"/>
        <v>FY28</v>
      </c>
      <c r="G115" s="359" t="str">
        <f t="shared" si="19"/>
        <v>FY29</v>
      </c>
      <c r="H115" s="359" t="str">
        <f t="shared" si="19"/>
        <v>FY30</v>
      </c>
      <c r="I115" s="359" t="str">
        <f t="shared" si="19"/>
        <v>FY31</v>
      </c>
      <c r="J115" s="359" t="str">
        <f t="shared" si="19"/>
        <v>FY32</v>
      </c>
      <c r="K115" s="359" t="str">
        <f t="shared" si="19"/>
        <v>FY33</v>
      </c>
      <c r="L115" s="359" t="str">
        <f t="shared" si="19"/>
        <v>FY34</v>
      </c>
      <c r="M115" s="359" t="str">
        <f t="shared" si="19"/>
        <v>FY35</v>
      </c>
      <c r="N115" s="359" t="str">
        <f t="shared" si="19"/>
        <v>FY36</v>
      </c>
      <c r="O115" s="359" t="str">
        <f t="shared" si="19"/>
        <v>FY37</v>
      </c>
      <c r="P115" s="359" t="str">
        <f t="shared" si="19"/>
        <v>FY38</v>
      </c>
    </row>
    <row r="116" spans="2:16" ht="15.75" customHeight="1">
      <c r="B116" s="253" t="s">
        <v>278</v>
      </c>
      <c r="C116" s="249">
        <f t="shared" ref="C116:P116" si="20">C106</f>
        <v>45838</v>
      </c>
      <c r="D116" s="249">
        <f t="shared" si="20"/>
        <v>46203</v>
      </c>
      <c r="E116" s="249">
        <f t="shared" si="20"/>
        <v>46568</v>
      </c>
      <c r="F116" s="249">
        <f t="shared" si="20"/>
        <v>46934</v>
      </c>
      <c r="G116" s="249">
        <f t="shared" si="20"/>
        <v>47299</v>
      </c>
      <c r="H116" s="249">
        <f t="shared" si="20"/>
        <v>47664</v>
      </c>
      <c r="I116" s="249">
        <f t="shared" si="20"/>
        <v>48029</v>
      </c>
      <c r="J116" s="249">
        <f t="shared" si="20"/>
        <v>48395</v>
      </c>
      <c r="K116" s="249">
        <f t="shared" si="20"/>
        <v>48760</v>
      </c>
      <c r="L116" s="249">
        <f t="shared" si="20"/>
        <v>49125</v>
      </c>
      <c r="M116" s="249">
        <f t="shared" si="20"/>
        <v>49490</v>
      </c>
      <c r="N116" s="249">
        <f t="shared" si="20"/>
        <v>49856</v>
      </c>
      <c r="O116" s="249">
        <f t="shared" si="20"/>
        <v>50221</v>
      </c>
      <c r="P116" s="249">
        <f t="shared" si="20"/>
        <v>50586</v>
      </c>
    </row>
    <row r="117" spans="2:16" ht="15.75" customHeight="1">
      <c r="B117" s="253" t="s">
        <v>639</v>
      </c>
      <c r="C117" s="364">
        <f>-Cashflow!D16</f>
        <v>0</v>
      </c>
      <c r="D117" s="364">
        <f>-Cashflow!E16</f>
        <v>0</v>
      </c>
      <c r="E117" s="364">
        <f>-Cashflow!F16</f>
        <v>-8970383.0899999999</v>
      </c>
      <c r="F117" s="364">
        <f>-Cashflow!G16</f>
        <v>0</v>
      </c>
      <c r="G117" s="364">
        <f>-Cashflow!H16</f>
        <v>0</v>
      </c>
      <c r="H117" s="364">
        <f>-Cashflow!I16</f>
        <v>0</v>
      </c>
      <c r="I117" s="364">
        <f>-Cashflow!J16</f>
        <v>0</v>
      </c>
      <c r="J117" s="364">
        <f>-Cashflow!K16</f>
        <v>0</v>
      </c>
      <c r="K117" s="364">
        <f>-Cashflow!L16</f>
        <v>0</v>
      </c>
      <c r="L117" s="364">
        <f>-Cashflow!M16</f>
        <v>0</v>
      </c>
      <c r="M117" s="364">
        <f>-Cashflow!N16</f>
        <v>0</v>
      </c>
      <c r="N117" s="364">
        <f>-Cashflow!O16</f>
        <v>0</v>
      </c>
      <c r="O117" s="364">
        <f>-Cashflow!P16</f>
        <v>0</v>
      </c>
      <c r="P117" s="364">
        <f>-Cashflow!Q16</f>
        <v>0</v>
      </c>
    </row>
    <row r="118" spans="2:16" ht="15.75" customHeight="1">
      <c r="B118" s="253" t="s">
        <v>640</v>
      </c>
      <c r="C118" s="364">
        <f>-Cashflow!D33</f>
        <v>0</v>
      </c>
      <c r="D118" s="364">
        <f>-Cashflow!E33</f>
        <v>0</v>
      </c>
      <c r="E118" s="364">
        <f>-Cashflow!F33</f>
        <v>0</v>
      </c>
      <c r="F118" s="364">
        <f>-Cashflow!G33</f>
        <v>3847688.2333468674</v>
      </c>
      <c r="G118" s="364">
        <f>-Cashflow!H33</f>
        <v>4625550.2165327361</v>
      </c>
      <c r="H118" s="364">
        <f>-Cashflow!I33</f>
        <v>4933391.9369922765</v>
      </c>
      <c r="I118" s="364">
        <f>-Cashflow!J33</f>
        <v>5478014.1589983385</v>
      </c>
      <c r="J118" s="364">
        <f>-Cashflow!K33</f>
        <v>5724980.4735460561</v>
      </c>
      <c r="K118" s="364">
        <f>-Cashflow!L33</f>
        <v>5653137.990918044</v>
      </c>
      <c r="L118" s="364">
        <f>-Cashflow!M33</f>
        <v>5733741.6864871467</v>
      </c>
      <c r="M118" s="364">
        <f>-Cashflow!N33</f>
        <v>5915015.9847225072</v>
      </c>
      <c r="N118" s="364">
        <f>-Cashflow!O33</f>
        <v>6110586.3297192222</v>
      </c>
      <c r="O118" s="364">
        <f>-Cashflow!P33</f>
        <v>6230440.1482436201</v>
      </c>
      <c r="P118" s="364">
        <f>-Cashflow!Q33</f>
        <v>7152677.1061575403</v>
      </c>
    </row>
    <row r="119" spans="2:16" ht="15.75" customHeight="1">
      <c r="B119" s="253" t="s">
        <v>641</v>
      </c>
      <c r="C119" s="364">
        <f t="shared" ref="C119:O119" si="21">0</f>
        <v>0</v>
      </c>
      <c r="D119" s="364">
        <f t="shared" si="21"/>
        <v>0</v>
      </c>
      <c r="E119" s="364">
        <f t="shared" si="21"/>
        <v>0</v>
      </c>
      <c r="F119" s="364">
        <f t="shared" si="21"/>
        <v>0</v>
      </c>
      <c r="G119" s="364">
        <f t="shared" si="21"/>
        <v>0</v>
      </c>
      <c r="H119" s="364">
        <f t="shared" si="21"/>
        <v>0</v>
      </c>
      <c r="I119" s="364">
        <f t="shared" si="21"/>
        <v>0</v>
      </c>
      <c r="J119" s="364">
        <f t="shared" si="21"/>
        <v>0</v>
      </c>
      <c r="K119" s="364">
        <f t="shared" si="21"/>
        <v>0</v>
      </c>
      <c r="L119" s="364">
        <f t="shared" si="21"/>
        <v>0</v>
      </c>
      <c r="M119" s="364">
        <f t="shared" si="21"/>
        <v>0</v>
      </c>
      <c r="N119" s="364">
        <f t="shared" si="21"/>
        <v>0</v>
      </c>
      <c r="O119" s="364">
        <f t="shared" si="21"/>
        <v>0</v>
      </c>
      <c r="P119" s="364">
        <f>C74</f>
        <v>97309398.795535132</v>
      </c>
    </row>
    <row r="120" spans="2:16" ht="15.75" customHeight="1">
      <c r="B120" s="365" t="s">
        <v>642</v>
      </c>
      <c r="C120" s="366">
        <f t="shared" ref="C120:P120" si="22">C117+C118+C119</f>
        <v>0</v>
      </c>
      <c r="D120" s="366">
        <f t="shared" si="22"/>
        <v>0</v>
      </c>
      <c r="E120" s="366">
        <f t="shared" si="22"/>
        <v>-8970383.0899999999</v>
      </c>
      <c r="F120" s="366">
        <f t="shared" si="22"/>
        <v>3847688.2333468674</v>
      </c>
      <c r="G120" s="366">
        <f t="shared" si="22"/>
        <v>4625550.2165327361</v>
      </c>
      <c r="H120" s="366">
        <f t="shared" si="22"/>
        <v>4933391.9369922765</v>
      </c>
      <c r="I120" s="366">
        <f t="shared" si="22"/>
        <v>5478014.1589983385</v>
      </c>
      <c r="J120" s="366">
        <f t="shared" si="22"/>
        <v>5724980.4735460561</v>
      </c>
      <c r="K120" s="366">
        <f t="shared" si="22"/>
        <v>5653137.990918044</v>
      </c>
      <c r="L120" s="366">
        <f t="shared" si="22"/>
        <v>5733741.6864871467</v>
      </c>
      <c r="M120" s="366">
        <f t="shared" si="22"/>
        <v>5915015.9847225072</v>
      </c>
      <c r="N120" s="366">
        <f t="shared" si="22"/>
        <v>6110586.3297192222</v>
      </c>
      <c r="O120" s="366">
        <f t="shared" si="22"/>
        <v>6230440.1482436201</v>
      </c>
      <c r="P120" s="366">
        <f t="shared" si="22"/>
        <v>104462075.90169267</v>
      </c>
    </row>
    <row r="121" spans="2:16" ht="15.75" customHeight="1">
      <c r="B121" s="253" t="s">
        <v>643</v>
      </c>
      <c r="C121" s="364">
        <f>C120</f>
        <v>0</v>
      </c>
      <c r="D121" s="364">
        <f t="shared" ref="D121:P121" si="23">C121+D120</f>
        <v>0</v>
      </c>
      <c r="E121" s="364">
        <f t="shared" si="23"/>
        <v>-8970383.0899999999</v>
      </c>
      <c r="F121" s="364">
        <f t="shared" si="23"/>
        <v>-5122694.8566531325</v>
      </c>
      <c r="G121" s="364">
        <f t="shared" si="23"/>
        <v>-497144.64012039639</v>
      </c>
      <c r="H121" s="364">
        <f t="shared" si="23"/>
        <v>4436247.2968718801</v>
      </c>
      <c r="I121" s="364">
        <f t="shared" si="23"/>
        <v>9914261.4558702186</v>
      </c>
      <c r="J121" s="364">
        <f t="shared" si="23"/>
        <v>15639241.929416275</v>
      </c>
      <c r="K121" s="364">
        <f t="shared" si="23"/>
        <v>21292379.920334317</v>
      </c>
      <c r="L121" s="364">
        <f t="shared" si="23"/>
        <v>27026121.606821463</v>
      </c>
      <c r="M121" s="364">
        <f t="shared" si="23"/>
        <v>32941137.591543969</v>
      </c>
      <c r="N121" s="364">
        <f t="shared" si="23"/>
        <v>39051723.921263188</v>
      </c>
      <c r="O121" s="364">
        <f t="shared" si="23"/>
        <v>45282164.069506809</v>
      </c>
      <c r="P121" s="364">
        <f t="shared" si="23"/>
        <v>149744239.97119948</v>
      </c>
    </row>
    <row r="122" spans="2:16" ht="15.75" customHeight="1">
      <c r="B122" s="26"/>
      <c r="C122" s="176"/>
      <c r="D122" s="176"/>
      <c r="E122" s="176"/>
      <c r="F122" s="176"/>
      <c r="G122" s="176"/>
      <c r="H122" s="176"/>
      <c r="I122" s="176"/>
      <c r="J122" s="176"/>
      <c r="K122" s="176"/>
      <c r="L122" s="176"/>
      <c r="M122" s="176"/>
      <c r="N122" s="176"/>
      <c r="O122" s="176"/>
    </row>
    <row r="123" spans="2:16" ht="15.75" customHeight="1">
      <c r="B123" s="367" t="s">
        <v>562</v>
      </c>
      <c r="C123" s="368">
        <f>(C180/C125)^(1/10)-1</f>
        <v>0.33284790951683618</v>
      </c>
      <c r="D123" s="176"/>
      <c r="E123" s="176"/>
      <c r="F123" s="176"/>
      <c r="G123" s="176"/>
      <c r="H123" s="176"/>
      <c r="I123" s="176"/>
      <c r="J123" s="176"/>
      <c r="K123" s="176"/>
      <c r="L123" s="176"/>
      <c r="M123" s="176"/>
      <c r="N123" s="176"/>
      <c r="O123" s="184">
        <f>IFERROR(IRR(C120:P120),"")</f>
        <v>0.56123651015404419</v>
      </c>
    </row>
    <row r="124" spans="2:16" ht="15.75" customHeight="1">
      <c r="B124" s="26" t="s">
        <v>246</v>
      </c>
      <c r="C124" s="349">
        <f>C98</f>
        <v>50077920.037933953</v>
      </c>
      <c r="D124" s="176" t="s">
        <v>644</v>
      </c>
      <c r="E124" s="176"/>
      <c r="F124" s="176"/>
      <c r="G124" s="176"/>
      <c r="H124" s="176"/>
      <c r="I124" s="176"/>
      <c r="J124" s="176"/>
      <c r="K124" s="176"/>
      <c r="L124" s="176"/>
      <c r="M124" s="176"/>
      <c r="N124" s="176"/>
      <c r="O124" s="176"/>
    </row>
    <row r="125" spans="2:16" ht="15.75" customHeight="1">
      <c r="B125" s="26" t="s">
        <v>645</v>
      </c>
      <c r="C125" s="349">
        <f>-SUM(C117:P117)</f>
        <v>8970383.0899999999</v>
      </c>
      <c r="D125" s="176" t="s">
        <v>646</v>
      </c>
      <c r="E125" s="176"/>
      <c r="F125" s="176"/>
      <c r="G125" s="176"/>
      <c r="H125" s="176"/>
      <c r="I125" s="176"/>
      <c r="J125" s="176"/>
      <c r="K125" s="176"/>
      <c r="L125" s="176"/>
      <c r="M125" s="176"/>
      <c r="N125" s="176"/>
      <c r="O125" s="176"/>
    </row>
    <row r="126" spans="2:16" ht="15.75" customHeight="1">
      <c r="B126" s="26" t="s">
        <v>647</v>
      </c>
      <c r="C126" s="349">
        <f>SUM(C118:P118)+SUM(C119:P119)</f>
        <v>158714623.06119949</v>
      </c>
      <c r="D126" s="176" t="s">
        <v>648</v>
      </c>
      <c r="E126" s="176"/>
      <c r="F126" s="176"/>
      <c r="G126" s="176"/>
      <c r="H126" s="176"/>
      <c r="I126" s="176"/>
      <c r="J126" s="176"/>
      <c r="K126" s="176"/>
      <c r="L126" s="176"/>
      <c r="M126" s="176"/>
      <c r="N126" s="176"/>
      <c r="O126" s="176"/>
    </row>
    <row r="127" spans="2:16" ht="15.75" customHeight="1">
      <c r="B127" s="367" t="s">
        <v>649</v>
      </c>
      <c r="C127" s="369">
        <f>C180/C125</f>
        <v>17.693182272018159</v>
      </c>
      <c r="D127" s="370" t="s">
        <v>650</v>
      </c>
      <c r="E127" s="176"/>
      <c r="F127" s="176"/>
      <c r="G127" s="176"/>
      <c r="H127" s="176"/>
      <c r="I127" s="176"/>
      <c r="J127" s="176"/>
      <c r="K127" s="176"/>
      <c r="L127" s="176"/>
      <c r="M127" s="176"/>
      <c r="N127" s="176"/>
      <c r="O127" s="176"/>
    </row>
    <row r="128" spans="2:16" ht="15.75" customHeight="1">
      <c r="B128" s="367" t="s">
        <v>227</v>
      </c>
      <c r="C128" s="370" t="str">
        <f t="array" ref="C128">IFERROR(INDEX(C115:P115,MATCH(TRUE(),C121:P121&gt;0,0)),"Not Achieved")</f>
        <v>FY30</v>
      </c>
      <c r="D128" s="370" t="s">
        <v>651</v>
      </c>
      <c r="E128" s="176"/>
      <c r="F128" s="176"/>
      <c r="G128" s="176"/>
      <c r="H128" s="176"/>
      <c r="I128" s="176"/>
      <c r="J128" s="176"/>
      <c r="K128" s="176"/>
      <c r="L128" s="176"/>
      <c r="M128" s="176"/>
      <c r="N128" s="176"/>
      <c r="O128" s="176"/>
    </row>
    <row r="129" spans="2:15" ht="15.75" customHeight="1">
      <c r="B129" s="26"/>
      <c r="C129" s="176"/>
      <c r="D129" s="176"/>
      <c r="E129" s="176"/>
      <c r="F129" s="176"/>
      <c r="G129" s="176"/>
      <c r="H129" s="176"/>
      <c r="I129" s="176"/>
      <c r="J129" s="176"/>
      <c r="K129" s="176"/>
      <c r="L129" s="176"/>
      <c r="M129" s="176"/>
      <c r="N129" s="176"/>
      <c r="O129" s="176"/>
    </row>
    <row r="130" spans="2:15" ht="15.75" customHeight="1">
      <c r="B130" s="26" t="s">
        <v>652</v>
      </c>
      <c r="C130" s="184">
        <f>H58/Dashboard!J41</f>
        <v>0.54280443934499745</v>
      </c>
      <c r="D130" s="176" t="s">
        <v>653</v>
      </c>
      <c r="E130" s="176"/>
      <c r="F130" s="176"/>
      <c r="G130" s="176"/>
      <c r="H130" s="176"/>
      <c r="I130" s="176"/>
      <c r="J130" s="176"/>
      <c r="K130" s="176"/>
      <c r="L130" s="176"/>
      <c r="M130" s="176"/>
      <c r="N130" s="176"/>
      <c r="O130" s="176"/>
    </row>
    <row r="131" spans="2:15" ht="15.75" customHeight="1">
      <c r="B131" s="26" t="s">
        <v>654</v>
      </c>
      <c r="C131" s="345">
        <f>P58/Dashboard!J41</f>
        <v>0.70345495527680413</v>
      </c>
      <c r="D131" s="176" t="s">
        <v>655</v>
      </c>
      <c r="E131" s="26"/>
      <c r="F131" s="26"/>
      <c r="G131" s="26"/>
      <c r="H131" s="26"/>
      <c r="I131" s="26"/>
      <c r="J131" s="26"/>
      <c r="K131" s="26"/>
      <c r="L131" s="26"/>
      <c r="M131" s="26"/>
      <c r="N131" s="26"/>
      <c r="O131" s="26"/>
    </row>
    <row r="132" spans="2:15" ht="15.75" customHeight="1">
      <c r="B132" s="26"/>
      <c r="C132" s="26"/>
      <c r="D132" s="26"/>
      <c r="E132" s="26"/>
      <c r="F132" s="26"/>
      <c r="G132" s="26"/>
      <c r="H132" s="26"/>
      <c r="I132" s="26"/>
      <c r="J132" s="26"/>
      <c r="K132" s="26"/>
      <c r="L132" s="26"/>
      <c r="M132" s="26"/>
      <c r="N132" s="26"/>
      <c r="O132" s="26"/>
    </row>
    <row r="133" spans="2:15" ht="15.75" customHeight="1">
      <c r="B133" s="1403" t="s">
        <v>656</v>
      </c>
      <c r="C133" s="1342"/>
      <c r="D133" s="1342"/>
      <c r="E133" s="1342"/>
      <c r="F133" s="1342"/>
      <c r="G133" s="1342"/>
      <c r="H133" s="1342"/>
      <c r="I133" s="1342"/>
      <c r="J133" s="1342"/>
      <c r="K133" s="1342"/>
      <c r="L133" s="1342"/>
      <c r="M133" s="1342"/>
      <c r="N133" s="1303"/>
      <c r="O133" s="26"/>
    </row>
    <row r="134" spans="2:15" ht="15.75" customHeight="1">
      <c r="B134" s="26"/>
      <c r="C134" s="26"/>
      <c r="D134" s="26"/>
      <c r="E134" s="26"/>
      <c r="F134" s="26"/>
      <c r="G134" s="26"/>
      <c r="H134" s="26"/>
      <c r="I134" s="26"/>
      <c r="J134" s="26"/>
      <c r="K134" s="26"/>
      <c r="L134" s="26"/>
      <c r="M134" s="26"/>
      <c r="N134" s="26"/>
      <c r="O134" s="26"/>
    </row>
    <row r="135" spans="2:15" ht="15.75" customHeight="1">
      <c r="B135" s="1406" t="s">
        <v>330</v>
      </c>
      <c r="C135" s="1305"/>
      <c r="D135" s="1305"/>
      <c r="E135" s="1305"/>
      <c r="F135" s="1305"/>
      <c r="G135" s="1305"/>
      <c r="H135" s="1305"/>
      <c r="I135" s="1305"/>
      <c r="J135" s="26"/>
      <c r="K135" s="26"/>
      <c r="L135" s="26"/>
      <c r="M135" s="26"/>
      <c r="N135" s="26"/>
      <c r="O135" s="26"/>
    </row>
    <row r="136" spans="2:15" ht="15.75" customHeight="1">
      <c r="B136" s="26"/>
      <c r="C136" s="26"/>
      <c r="D136" s="26"/>
      <c r="E136" s="26"/>
      <c r="F136" s="26"/>
      <c r="G136" s="26"/>
      <c r="H136" s="26"/>
      <c r="I136" s="26"/>
      <c r="J136" s="26"/>
      <c r="K136" s="26"/>
      <c r="L136" s="26"/>
      <c r="M136" s="26"/>
      <c r="N136" s="26"/>
      <c r="O136" s="26"/>
    </row>
    <row r="137" spans="2:15" ht="15.75" customHeight="1">
      <c r="B137" s="26"/>
      <c r="C137" s="209" t="s">
        <v>132</v>
      </c>
      <c r="D137" s="371">
        <v>6</v>
      </c>
      <c r="E137" s="371">
        <v>7</v>
      </c>
      <c r="F137" s="371">
        <v>8</v>
      </c>
      <c r="G137" s="371">
        <v>9</v>
      </c>
      <c r="H137" s="371">
        <v>10</v>
      </c>
      <c r="I137" s="26"/>
      <c r="J137" s="26"/>
      <c r="K137" s="26"/>
      <c r="L137" s="26"/>
      <c r="M137" s="26"/>
      <c r="N137" s="26"/>
      <c r="O137" s="26"/>
    </row>
    <row r="138" spans="2:15" ht="15.75" customHeight="1">
      <c r="B138" s="209" t="s">
        <v>79</v>
      </c>
      <c r="C138" s="26"/>
      <c r="D138" s="26"/>
      <c r="E138" s="26"/>
      <c r="F138" s="26"/>
      <c r="G138" s="26"/>
      <c r="H138" s="26"/>
      <c r="I138" s="26"/>
      <c r="J138" s="26"/>
      <c r="K138" s="26"/>
      <c r="L138" s="26"/>
      <c r="M138" s="26"/>
      <c r="N138" s="26"/>
      <c r="O138" s="26"/>
    </row>
    <row r="139" spans="2:15" ht="15.75" customHeight="1">
      <c r="B139" s="372">
        <v>0.08</v>
      </c>
      <c r="C139" s="26"/>
      <c r="D139" s="191">
        <f t="shared" ref="D139:H139" si="24">SUM($C$82:$N$82)+($C$72*D$137)/((1+$B139)^$N$78)</f>
        <v>63401161.517881677</v>
      </c>
      <c r="E139" s="191">
        <f t="shared" si="24"/>
        <v>70048481.062748015</v>
      </c>
      <c r="F139" s="191">
        <f t="shared" si="24"/>
        <v>76695800.607614338</v>
      </c>
      <c r="G139" s="191">
        <f t="shared" si="24"/>
        <v>83343120.152480677</v>
      </c>
      <c r="H139" s="191">
        <f t="shared" si="24"/>
        <v>89990439.697347015</v>
      </c>
      <c r="I139" s="26"/>
      <c r="J139" s="26"/>
      <c r="K139" s="26"/>
      <c r="L139" s="26"/>
      <c r="M139" s="26"/>
      <c r="N139" s="26"/>
      <c r="O139" s="26"/>
    </row>
    <row r="140" spans="2:15" ht="15.75" customHeight="1">
      <c r="B140" s="372">
        <v>0.09</v>
      </c>
      <c r="C140" s="26"/>
      <c r="D140" s="191">
        <f t="shared" ref="D140:H140" si="25">SUM($C$82:$N$82)+($C$72*D$137)/((1+$B140)^$N$78)</f>
        <v>60028461.423050061</v>
      </c>
      <c r="E140" s="191">
        <f t="shared" si="25"/>
        <v>66113664.285444453</v>
      </c>
      <c r="F140" s="191">
        <f t="shared" si="25"/>
        <v>72198867.147838846</v>
      </c>
      <c r="G140" s="191">
        <f t="shared" si="25"/>
        <v>78284070.010233238</v>
      </c>
      <c r="H140" s="191">
        <f t="shared" si="25"/>
        <v>84369272.872627646</v>
      </c>
      <c r="I140" s="26"/>
      <c r="J140" s="26"/>
      <c r="K140" s="26"/>
      <c r="L140" s="26"/>
      <c r="M140" s="26"/>
      <c r="N140" s="26"/>
      <c r="O140" s="26"/>
    </row>
    <row r="141" spans="2:15" ht="15.75" customHeight="1">
      <c r="B141" s="372">
        <v>0.1</v>
      </c>
      <c r="C141" s="26"/>
      <c r="D141" s="191">
        <f t="shared" ref="D141:H141" si="26">SUM($C$82:$N$82)+($C$72*D$137)/((1+$B141)^$N$78)</f>
        <v>56967946.93867366</v>
      </c>
      <c r="E141" s="191">
        <f t="shared" si="26"/>
        <v>62543064.053671986</v>
      </c>
      <c r="F141" s="373">
        <f t="shared" si="26"/>
        <v>68118181.168670326</v>
      </c>
      <c r="G141" s="191">
        <f t="shared" si="26"/>
        <v>73693298.283668652</v>
      </c>
      <c r="H141" s="191">
        <f t="shared" si="26"/>
        <v>79268415.398666993</v>
      </c>
      <c r="I141" s="26"/>
      <c r="J141" s="26"/>
      <c r="K141" s="26"/>
      <c r="L141" s="26"/>
      <c r="M141" s="26"/>
      <c r="N141" s="26"/>
      <c r="O141" s="26"/>
    </row>
    <row r="142" spans="2:15" ht="15.75" customHeight="1">
      <c r="B142" s="372">
        <v>0.11</v>
      </c>
      <c r="C142" s="26"/>
      <c r="D142" s="191">
        <f t="shared" ref="D142:H142" si="27">SUM($C$82:$N$82)+($C$72*D$137)/((1+$B142)^$N$78)</f>
        <v>54188267.562956184</v>
      </c>
      <c r="E142" s="191">
        <f t="shared" si="27"/>
        <v>59300104.7820016</v>
      </c>
      <c r="F142" s="191">
        <f t="shared" si="27"/>
        <v>64411942.001047015</v>
      </c>
      <c r="G142" s="191">
        <f t="shared" si="27"/>
        <v>69523779.220092431</v>
      </c>
      <c r="H142" s="191">
        <f t="shared" si="27"/>
        <v>74635616.439137861</v>
      </c>
      <c r="I142" s="26"/>
      <c r="J142" s="26"/>
      <c r="K142" s="26"/>
      <c r="L142" s="26"/>
      <c r="M142" s="26"/>
      <c r="N142" s="26"/>
      <c r="O142" s="26"/>
    </row>
    <row r="143" spans="2:15" ht="15.75" customHeight="1">
      <c r="B143" s="372">
        <v>0.12</v>
      </c>
      <c r="C143" s="26"/>
      <c r="D143" s="191">
        <f t="shared" ref="D143:H143" si="28">SUM($C$82:$N$82)+($C$72*D$137)/((1+$B143)^$N$78)</f>
        <v>51661463.253472403</v>
      </c>
      <c r="E143" s="191">
        <f t="shared" si="28"/>
        <v>56352166.420937181</v>
      </c>
      <c r="F143" s="191">
        <f t="shared" si="28"/>
        <v>61042869.588401973</v>
      </c>
      <c r="G143" s="191">
        <f t="shared" si="28"/>
        <v>65733572.755866751</v>
      </c>
      <c r="H143" s="191">
        <f t="shared" si="28"/>
        <v>70424275.923331544</v>
      </c>
      <c r="I143" s="26"/>
      <c r="J143" s="26"/>
      <c r="K143" s="26"/>
      <c r="L143" s="26"/>
      <c r="M143" s="26"/>
      <c r="N143" s="26"/>
      <c r="O143" s="26"/>
    </row>
    <row r="144" spans="2:15" ht="15.75" customHeight="1">
      <c r="B144" s="26"/>
      <c r="C144" s="26"/>
      <c r="D144" s="26"/>
      <c r="E144" s="26"/>
      <c r="F144" s="26"/>
      <c r="G144" s="26"/>
      <c r="H144" s="26"/>
      <c r="I144" s="26"/>
      <c r="J144" s="26"/>
      <c r="K144" s="26"/>
      <c r="L144" s="26"/>
      <c r="M144" s="26"/>
      <c r="N144" s="26"/>
      <c r="O144" s="26"/>
    </row>
    <row r="145" spans="2:15" ht="15.75" customHeight="1">
      <c r="B145" s="26"/>
      <c r="C145" s="26"/>
      <c r="D145" s="26"/>
      <c r="E145" s="26"/>
      <c r="F145" s="26"/>
      <c r="G145" s="26"/>
      <c r="H145" s="26"/>
      <c r="I145" s="26"/>
      <c r="J145" s="26"/>
      <c r="K145" s="26"/>
      <c r="L145" s="26"/>
      <c r="M145" s="26"/>
      <c r="N145" s="26"/>
      <c r="O145" s="26"/>
    </row>
    <row r="146" spans="2:15" ht="15.75" customHeight="1">
      <c r="B146" s="1406" t="s">
        <v>657</v>
      </c>
      <c r="C146" s="1305"/>
      <c r="D146" s="1305"/>
      <c r="E146" s="1305"/>
      <c r="F146" s="1305"/>
      <c r="G146" s="1305"/>
      <c r="H146" s="1305"/>
      <c r="I146" s="1305"/>
      <c r="J146" s="26"/>
      <c r="K146" s="26"/>
      <c r="L146" s="26"/>
      <c r="M146" s="26"/>
      <c r="N146" s="26"/>
      <c r="O146" s="26"/>
    </row>
    <row r="147" spans="2:15" ht="15.75" customHeight="1">
      <c r="B147" s="26"/>
      <c r="C147" s="26"/>
      <c r="D147" s="26"/>
      <c r="E147" s="26"/>
      <c r="F147" s="26"/>
      <c r="G147" s="26"/>
      <c r="H147" s="26"/>
      <c r="I147" s="26"/>
      <c r="J147" s="26"/>
      <c r="K147" s="26"/>
      <c r="L147" s="26"/>
      <c r="M147" s="26"/>
      <c r="N147" s="26"/>
      <c r="O147" s="26"/>
    </row>
    <row r="148" spans="2:15" ht="15.75" customHeight="1">
      <c r="B148" s="26"/>
      <c r="C148" s="209" t="s">
        <v>132</v>
      </c>
      <c r="D148" s="371">
        <v>6</v>
      </c>
      <c r="E148" s="371">
        <v>7</v>
      </c>
      <c r="F148" s="371">
        <v>8</v>
      </c>
      <c r="G148" s="371">
        <v>9</v>
      </c>
      <c r="H148" s="371">
        <v>10</v>
      </c>
      <c r="I148" s="26"/>
      <c r="J148" s="26"/>
      <c r="K148" s="26"/>
      <c r="L148" s="26"/>
      <c r="M148" s="26"/>
      <c r="N148" s="26"/>
      <c r="O148" s="26"/>
    </row>
    <row r="149" spans="2:15" ht="15.75" customHeight="1">
      <c r="B149" s="209" t="s">
        <v>658</v>
      </c>
      <c r="C149" s="26"/>
      <c r="D149" s="26"/>
      <c r="E149" s="26"/>
      <c r="F149" s="26"/>
      <c r="G149" s="26"/>
      <c r="H149" s="26"/>
      <c r="I149" s="26"/>
      <c r="J149" s="26"/>
      <c r="K149" s="26"/>
      <c r="L149" s="26"/>
      <c r="M149" s="26"/>
      <c r="N149" s="26"/>
      <c r="O149" s="26"/>
    </row>
    <row r="150" spans="2:15" ht="15.75" customHeight="1">
      <c r="B150" s="374">
        <v>-0.2</v>
      </c>
      <c r="C150" s="26"/>
      <c r="D150" s="198">
        <f>IFERROR((($C$72*(1+$B150)*D$148)/C125)^(1/($N$78))-1,0)</f>
        <v>0.23284823592363457</v>
      </c>
      <c r="E150" s="198">
        <f>IFERROR((($C$72*(1+$B150)*E$148)/C125)^(1/($N$78))-1,0)</f>
        <v>0.25283306591157939</v>
      </c>
      <c r="F150" s="198">
        <f>IFERROR((($C$72*(1+$B150)*F$148)/C125)^(1/($N$78))-1,0)</f>
        <v>0.27040638312803944</v>
      </c>
      <c r="G150" s="198">
        <f>IFERROR((($C$72*(1+$B150)*G$148)/C125)^(1/($N$78))-1,0)</f>
        <v>0.28611164076450946</v>
      </c>
      <c r="H150" s="198">
        <f>IFERROR((($C$72*(1+$B150)*H$148)/C125)^(1/($N$78))-1,0)</f>
        <v>0.30032491948679896</v>
      </c>
      <c r="I150" s="26"/>
      <c r="J150" s="26"/>
      <c r="K150" s="26"/>
      <c r="L150" s="26"/>
      <c r="M150" s="26"/>
      <c r="N150" s="26"/>
      <c r="O150" s="26"/>
    </row>
    <row r="151" spans="2:15" ht="15.75" customHeight="1">
      <c r="B151" s="374">
        <v>-0.1</v>
      </c>
      <c r="C151" s="26"/>
      <c r="D151" s="198">
        <f>IFERROR((($C$72*(1+$B151)*D$148)/C125)^(1/($N$78))-1,0)</f>
        <v>0.24808918514192646</v>
      </c>
      <c r="E151" s="198">
        <f>IFERROR((($C$72*(1+$B151)*E$148)/C125)^(1/($N$78))-1,0)</f>
        <v>0.26832107536819372</v>
      </c>
      <c r="F151" s="198">
        <f>IFERROR((($C$72*(1+$B151)*F$148)/C125)^(1/($N$78))-1,0)</f>
        <v>0.28611164076450946</v>
      </c>
      <c r="G151" s="198">
        <f>IFERROR((($C$72*(1+$B151)*G$148)/C125)^(1/($N$78))-1,0)</f>
        <v>0.30201105290201458</v>
      </c>
      <c r="H151" s="198">
        <f>IFERROR((($C$72*(1+$B151)*H$148)/C125)^(1/($N$78))-1,0)</f>
        <v>0.31640004170192748</v>
      </c>
      <c r="I151" s="26"/>
      <c r="J151" s="26"/>
      <c r="K151" s="26"/>
      <c r="L151" s="26"/>
      <c r="M151" s="26"/>
      <c r="N151" s="26"/>
      <c r="O151" s="26"/>
    </row>
    <row r="152" spans="2:15" ht="15.75" customHeight="1">
      <c r="B152" s="374">
        <v>0</v>
      </c>
      <c r="C152" s="26"/>
      <c r="D152" s="198">
        <f>IFERROR((($C$72*(1+$B152)*D$148)/C125)^(1/($N$78))-1,0)</f>
        <v>0.26188226413789328</v>
      </c>
      <c r="E152" s="198">
        <f>IFERROR((($C$72*(1+$B152)*E$148)/C125)^(1/($N$78))-1,0)</f>
        <v>0.28233774420329283</v>
      </c>
      <c r="F152" s="375">
        <f>IFERROR((($C$72*(1+$B152)*F$148)/C125)^(1/($N$78))-1,0)</f>
        <v>0.30032491948679896</v>
      </c>
      <c r="G152" s="198">
        <f>IFERROR((($C$72*(1+$B152)*G$148)/C125)^(1/($N$78))-1,0)</f>
        <v>0.31640004170192748</v>
      </c>
      <c r="H152" s="198">
        <f>IFERROR((($C$72*(1+$B152)*H$148)/C125)^(1/($N$78))-1,0)</f>
        <v>0.33094804835212854</v>
      </c>
      <c r="I152" s="26"/>
      <c r="J152" s="26"/>
      <c r="K152" s="26"/>
      <c r="L152" s="26"/>
      <c r="M152" s="26"/>
      <c r="N152" s="26"/>
      <c r="O152" s="26"/>
    </row>
    <row r="153" spans="2:15" ht="15.75" customHeight="1">
      <c r="B153" s="374">
        <v>0.1</v>
      </c>
      <c r="C153" s="26"/>
      <c r="D153" s="198">
        <f>IFERROR((($C$72*(1+$B153)*D$148)/C125)^(1/($N$78))-1,0)</f>
        <v>0.27449089080165257</v>
      </c>
      <c r="E153" s="198">
        <f>IFERROR((($C$72*(1+$B153)*E$148)/C125)^(1/($N$78))-1,0)</f>
        <v>0.29515076038793087</v>
      </c>
      <c r="F153" s="198">
        <f>IFERROR((($C$72*(1+$B153)*F$148)/C125)^(1/($N$78))-1,0)</f>
        <v>0.31331766208833867</v>
      </c>
      <c r="G153" s="198">
        <f>IFERROR((($C$72*(1+$B153)*G$148)/C125)^(1/($N$78))-1,0)</f>
        <v>0.3295534056390268</v>
      </c>
      <c r="H153" s="198">
        <f>IFERROR((($C$72*(1+$B153)*H$148)/C125)^(1/($N$78))-1,0)</f>
        <v>0.34424677480819432</v>
      </c>
      <c r="I153" s="26"/>
      <c r="J153" s="26"/>
      <c r="K153" s="26"/>
      <c r="L153" s="26"/>
      <c r="M153" s="26"/>
      <c r="N153" s="26"/>
      <c r="O153" s="26"/>
    </row>
    <row r="154" spans="2:15" ht="15.75" customHeight="1">
      <c r="B154" s="374">
        <v>0.2</v>
      </c>
      <c r="C154" s="26"/>
      <c r="D154" s="198">
        <f>IFERROR((($C$72*(1+$B154)*D$148)/C125)^(1/($N$78))-1,0)</f>
        <v>0.28611164076450946</v>
      </c>
      <c r="E154" s="198">
        <f>IFERROR((($C$72*(1+$B154)*E$148)/C125)^(1/($N$78))-1,0)</f>
        <v>0.30695988610181124</v>
      </c>
      <c r="F154" s="198">
        <f>IFERROR((($C$72*(1+$B154)*F$148)/C125)^(1/($N$78))-1,0)</f>
        <v>0.32529243278547004</v>
      </c>
      <c r="G154" s="198">
        <f>IFERROR((($C$72*(1+$B154)*G$148)/C125)^(1/($N$78))-1,0)</f>
        <v>0.3416762131072526</v>
      </c>
      <c r="H154" s="198">
        <f>IFERROR((($C$72*(1+$B154)*H$148)/C125)^(1/($N$78))-1,0)</f>
        <v>0.35650355574807002</v>
      </c>
      <c r="I154" s="26"/>
      <c r="J154" s="26"/>
      <c r="K154" s="26"/>
      <c r="L154" s="26"/>
      <c r="M154" s="26"/>
      <c r="N154" s="26"/>
      <c r="O154" s="26"/>
    </row>
    <row r="155" spans="2:15" ht="15.75" customHeight="1">
      <c r="B155" s="26"/>
      <c r="C155" s="26"/>
      <c r="D155" s="26"/>
      <c r="E155" s="26"/>
      <c r="F155" s="26"/>
      <c r="G155" s="26"/>
      <c r="H155" s="26"/>
      <c r="I155" s="26"/>
      <c r="J155" s="26"/>
      <c r="K155" s="26"/>
      <c r="L155" s="26"/>
      <c r="M155" s="26"/>
      <c r="N155" s="26"/>
      <c r="O155" s="26"/>
    </row>
    <row r="156" spans="2:15" ht="15.75" customHeight="1">
      <c r="B156" s="26"/>
      <c r="C156" s="26"/>
      <c r="D156" s="26"/>
      <c r="E156" s="26"/>
      <c r="F156" s="26"/>
      <c r="G156" s="26"/>
      <c r="H156" s="26"/>
      <c r="I156" s="26"/>
      <c r="J156" s="26"/>
      <c r="K156" s="26"/>
      <c r="L156" s="26"/>
      <c r="M156" s="26"/>
      <c r="N156" s="26"/>
      <c r="O156" s="26"/>
    </row>
    <row r="157" spans="2:15" ht="15.75" customHeight="1">
      <c r="B157" s="26"/>
      <c r="C157" s="26"/>
      <c r="D157" s="26"/>
      <c r="E157" s="26"/>
      <c r="F157" s="26"/>
      <c r="G157" s="26"/>
      <c r="H157" s="26"/>
      <c r="I157" s="26"/>
      <c r="J157" s="26"/>
      <c r="K157" s="26"/>
      <c r="L157" s="26"/>
      <c r="M157" s="26"/>
      <c r="N157" s="26"/>
      <c r="O157" s="26"/>
    </row>
    <row r="158" spans="2:15" ht="15.75" customHeight="1">
      <c r="B158" s="1403" t="s">
        <v>228</v>
      </c>
      <c r="C158" s="1342"/>
      <c r="D158" s="1342"/>
      <c r="E158" s="1342"/>
      <c r="F158" s="1342"/>
      <c r="G158" s="1342"/>
      <c r="H158" s="1342"/>
      <c r="I158" s="1342"/>
      <c r="J158" s="1342"/>
      <c r="K158" s="1342"/>
      <c r="L158" s="1342"/>
      <c r="M158" s="1342"/>
      <c r="N158" s="1303"/>
      <c r="O158" s="26"/>
    </row>
    <row r="159" spans="2:15" ht="15.75" customHeight="1">
      <c r="B159" s="26"/>
      <c r="C159" s="26"/>
      <c r="D159" s="26"/>
      <c r="E159" s="26"/>
      <c r="F159" s="26"/>
      <c r="G159" s="26"/>
      <c r="H159" s="26"/>
      <c r="I159" s="26"/>
      <c r="J159" s="26"/>
      <c r="K159" s="26"/>
      <c r="L159" s="26"/>
      <c r="M159" s="26"/>
      <c r="N159" s="26"/>
      <c r="O159" s="26"/>
    </row>
    <row r="160" spans="2:15" ht="15.75" customHeight="1">
      <c r="B160" s="209" t="s">
        <v>211</v>
      </c>
      <c r="C160" s="209" t="s">
        <v>212</v>
      </c>
      <c r="D160" s="209" t="s">
        <v>229</v>
      </c>
      <c r="E160" s="26"/>
      <c r="F160" s="26"/>
      <c r="G160" s="26"/>
      <c r="H160" s="26"/>
      <c r="I160" s="26"/>
      <c r="J160" s="26"/>
      <c r="K160" s="26"/>
      <c r="L160" s="26"/>
      <c r="M160" s="26"/>
      <c r="N160" s="26"/>
      <c r="O160" s="26"/>
    </row>
    <row r="161" spans="2:15" ht="15.75" customHeight="1">
      <c r="B161" s="376" t="s">
        <v>126</v>
      </c>
      <c r="C161" s="377">
        <f>C91</f>
        <v>62301606.637933955</v>
      </c>
      <c r="D161" s="376" t="s">
        <v>659</v>
      </c>
      <c r="E161" s="26"/>
      <c r="F161" s="26"/>
      <c r="G161" s="26"/>
      <c r="H161" s="26"/>
      <c r="I161" s="26"/>
      <c r="J161" s="26"/>
      <c r="K161" s="26"/>
      <c r="L161" s="26"/>
      <c r="M161" s="26"/>
      <c r="N161" s="26"/>
      <c r="O161" s="26"/>
    </row>
    <row r="162" spans="2:15" ht="15.75" customHeight="1">
      <c r="B162" s="376" t="s">
        <v>239</v>
      </c>
      <c r="C162" s="377">
        <f>C98</f>
        <v>50077920.037933953</v>
      </c>
      <c r="D162" s="376" t="s">
        <v>240</v>
      </c>
      <c r="E162" s="26"/>
      <c r="F162" s="26"/>
      <c r="G162" s="26"/>
      <c r="H162" s="26"/>
      <c r="I162" s="26"/>
      <c r="J162" s="26"/>
      <c r="K162" s="26"/>
      <c r="L162" s="26"/>
      <c r="M162" s="26"/>
      <c r="N162" s="26"/>
      <c r="O162" s="26"/>
    </row>
    <row r="163" spans="2:15" ht="15.75" customHeight="1">
      <c r="B163" s="26" t="s">
        <v>660</v>
      </c>
      <c r="C163" s="191">
        <f t="shared" ref="C163:C165" si="29">C72</f>
        <v>13901342.685076447</v>
      </c>
      <c r="D163" s="26" t="s">
        <v>661</v>
      </c>
      <c r="E163" s="26"/>
      <c r="F163" s="26"/>
      <c r="G163" s="26"/>
      <c r="H163" s="26"/>
      <c r="I163" s="26"/>
      <c r="J163" s="26"/>
      <c r="K163" s="26"/>
      <c r="L163" s="26"/>
      <c r="M163" s="26"/>
      <c r="N163" s="26"/>
      <c r="O163" s="26"/>
    </row>
    <row r="164" spans="2:15" ht="15.75" customHeight="1">
      <c r="B164" s="26" t="s">
        <v>662</v>
      </c>
      <c r="C164" s="200">
        <f t="shared" si="29"/>
        <v>7</v>
      </c>
      <c r="D164" s="26" t="s">
        <v>231</v>
      </c>
      <c r="E164" s="26"/>
      <c r="F164" s="26"/>
      <c r="G164" s="26"/>
      <c r="H164" s="26"/>
      <c r="I164" s="26"/>
      <c r="J164" s="26"/>
      <c r="K164" s="26"/>
      <c r="L164" s="26"/>
      <c r="M164" s="26"/>
      <c r="N164" s="26"/>
      <c r="O164" s="26"/>
    </row>
    <row r="165" spans="2:15" ht="15.75" customHeight="1">
      <c r="B165" s="26" t="s">
        <v>233</v>
      </c>
      <c r="C165" s="191">
        <f t="shared" si="29"/>
        <v>97309398.795535132</v>
      </c>
      <c r="D165" s="26" t="s">
        <v>663</v>
      </c>
      <c r="E165" s="26"/>
      <c r="F165" s="26"/>
      <c r="G165" s="26"/>
      <c r="H165" s="26"/>
      <c r="I165" s="26"/>
      <c r="J165" s="26"/>
      <c r="K165" s="26"/>
      <c r="L165" s="26"/>
      <c r="M165" s="26"/>
      <c r="N165" s="26"/>
      <c r="O165" s="26"/>
    </row>
    <row r="166" spans="2:15" ht="15.75" customHeight="1">
      <c r="B166" s="26" t="s">
        <v>79</v>
      </c>
      <c r="C166" s="345">
        <f>C47</f>
        <v>0.1</v>
      </c>
      <c r="D166" s="26" t="s">
        <v>664</v>
      </c>
      <c r="E166" s="26"/>
      <c r="F166" s="26"/>
      <c r="G166" s="26"/>
      <c r="H166" s="26"/>
      <c r="I166" s="26"/>
      <c r="J166" s="26"/>
      <c r="K166" s="26"/>
      <c r="L166" s="26"/>
      <c r="M166" s="26"/>
      <c r="N166" s="26"/>
      <c r="O166" s="26"/>
    </row>
    <row r="167" spans="2:15" ht="15.75" customHeight="1">
      <c r="B167" s="26"/>
      <c r="C167" s="26"/>
      <c r="D167" s="26"/>
      <c r="E167" s="26"/>
      <c r="F167" s="26"/>
      <c r="G167" s="26"/>
      <c r="H167" s="26"/>
      <c r="I167" s="26"/>
      <c r="J167" s="26"/>
      <c r="K167" s="26"/>
      <c r="L167" s="26"/>
      <c r="M167" s="26"/>
      <c r="N167" s="26"/>
      <c r="O167" s="26"/>
    </row>
    <row r="168" spans="2:15" ht="15.75" customHeight="1">
      <c r="B168" s="367" t="s">
        <v>558</v>
      </c>
      <c r="C168" s="378">
        <f>C109</f>
        <v>0.24794586632771631</v>
      </c>
      <c r="D168" s="367" t="s">
        <v>71</v>
      </c>
      <c r="E168" s="26"/>
      <c r="F168" s="26"/>
      <c r="G168" s="26"/>
      <c r="H168" s="26"/>
      <c r="I168" s="26"/>
      <c r="J168" s="26"/>
      <c r="K168" s="26"/>
      <c r="L168" s="26"/>
      <c r="M168" s="26"/>
      <c r="N168" s="26"/>
      <c r="O168" s="26"/>
    </row>
    <row r="169" spans="2:15" ht="15.75" customHeight="1">
      <c r="B169" s="367" t="s">
        <v>562</v>
      </c>
      <c r="C169" s="378">
        <f>C123</f>
        <v>0.33284790951683618</v>
      </c>
      <c r="D169" s="367" t="s">
        <v>72</v>
      </c>
      <c r="E169" s="26"/>
      <c r="F169" s="26"/>
      <c r="G169" s="26"/>
      <c r="H169" s="26"/>
      <c r="I169" s="26"/>
      <c r="J169" s="26"/>
      <c r="K169" s="26"/>
      <c r="L169" s="26"/>
      <c r="M169" s="26"/>
      <c r="N169" s="26"/>
      <c r="O169" s="26"/>
    </row>
    <row r="170" spans="2:15" ht="15.75" customHeight="1">
      <c r="B170" s="367" t="s">
        <v>225</v>
      </c>
      <c r="C170" s="379">
        <f t="shared" ref="C170:C171" si="30">C127</f>
        <v>17.693182272018159</v>
      </c>
      <c r="D170" s="367" t="s">
        <v>73</v>
      </c>
      <c r="E170" s="26"/>
      <c r="F170" s="26"/>
      <c r="G170" s="26"/>
      <c r="H170" s="26"/>
      <c r="I170" s="26"/>
      <c r="J170" s="26"/>
      <c r="K170" s="26"/>
      <c r="L170" s="26"/>
      <c r="M170" s="26"/>
      <c r="N170" s="26"/>
      <c r="O170" s="26"/>
    </row>
    <row r="171" spans="2:15" ht="15.75" customHeight="1">
      <c r="B171" s="26" t="s">
        <v>227</v>
      </c>
      <c r="C171" s="26" t="str">
        <f t="shared" si="30"/>
        <v>FY30</v>
      </c>
      <c r="D171" s="26" t="s">
        <v>665</v>
      </c>
      <c r="E171" s="26"/>
      <c r="F171" s="26"/>
      <c r="G171" s="26"/>
      <c r="H171" s="26"/>
      <c r="I171" s="26"/>
      <c r="J171" s="26"/>
      <c r="K171" s="26"/>
      <c r="L171" s="26"/>
      <c r="M171" s="26"/>
      <c r="N171" s="26"/>
      <c r="O171" s="26"/>
    </row>
    <row r="172" spans="2:15" ht="15.75" customHeight="1">
      <c r="B172" s="26" t="s">
        <v>249</v>
      </c>
      <c r="C172" s="345">
        <f>C130</f>
        <v>0.54280443934499745</v>
      </c>
      <c r="D172" s="26" t="s">
        <v>653</v>
      </c>
      <c r="E172" s="26"/>
      <c r="F172" s="26"/>
      <c r="G172" s="26"/>
      <c r="H172" s="26"/>
      <c r="I172" s="26"/>
      <c r="J172" s="26"/>
      <c r="K172" s="26"/>
      <c r="L172" s="26"/>
      <c r="M172" s="26"/>
      <c r="N172" s="26"/>
      <c r="O172" s="26"/>
    </row>
    <row r="173" spans="2:15" ht="15.75" customHeight="1">
      <c r="B173" s="26"/>
      <c r="C173" s="26"/>
      <c r="D173" s="26"/>
      <c r="E173" s="26"/>
      <c r="F173" s="26"/>
      <c r="G173" s="26"/>
      <c r="H173" s="26"/>
      <c r="I173" s="26"/>
      <c r="J173" s="26"/>
      <c r="K173" s="26"/>
      <c r="L173" s="26"/>
      <c r="M173" s="26"/>
      <c r="N173" s="26"/>
      <c r="O173" s="26"/>
    </row>
    <row r="174" spans="2:15" ht="15.75" customHeight="1">
      <c r="B174" s="26"/>
      <c r="C174" s="26"/>
      <c r="D174" s="26"/>
      <c r="E174" s="26"/>
      <c r="F174" s="26"/>
      <c r="G174" s="26"/>
      <c r="H174" s="26"/>
      <c r="I174" s="26"/>
      <c r="J174" s="26"/>
      <c r="K174" s="26"/>
      <c r="L174" s="26"/>
      <c r="M174" s="26"/>
      <c r="N174" s="26"/>
      <c r="O174" s="26"/>
    </row>
    <row r="175" spans="2:15" ht="15.75" customHeight="1">
      <c r="B175" s="26"/>
      <c r="C175" s="26"/>
      <c r="D175" s="26"/>
      <c r="E175" s="26"/>
      <c r="F175" s="26"/>
      <c r="G175" s="26"/>
      <c r="H175" s="26"/>
      <c r="I175" s="26"/>
      <c r="J175" s="26"/>
      <c r="K175" s="26"/>
      <c r="L175" s="26"/>
      <c r="M175" s="26"/>
      <c r="N175" s="26"/>
      <c r="O175" s="26"/>
    </row>
    <row r="176" spans="2:15" ht="15.75" customHeight="1">
      <c r="B176" s="26"/>
      <c r="C176" s="26"/>
      <c r="D176" s="26"/>
      <c r="E176" s="26"/>
      <c r="F176" s="26"/>
      <c r="G176" s="26"/>
      <c r="H176" s="26"/>
      <c r="I176" s="26"/>
      <c r="J176" s="26"/>
      <c r="K176" s="26"/>
      <c r="L176" s="26"/>
      <c r="M176" s="26"/>
      <c r="N176" s="26"/>
      <c r="O176" s="26"/>
    </row>
    <row r="177" spans="2:16" ht="15.75" customHeight="1">
      <c r="B177" s="26" t="s">
        <v>666</v>
      </c>
      <c r="C177" s="211">
        <v>-780000</v>
      </c>
      <c r="D177" s="26">
        <v>-3415000</v>
      </c>
      <c r="E177" s="26">
        <v>2446967.7799999998</v>
      </c>
      <c r="F177" s="26">
        <v>2345555.73</v>
      </c>
      <c r="G177" s="26">
        <v>2537387.96</v>
      </c>
      <c r="H177" s="26">
        <v>2772888.3</v>
      </c>
      <c r="I177" s="26">
        <v>0</v>
      </c>
      <c r="J177" s="26">
        <v>0</v>
      </c>
      <c r="K177" s="26">
        <v>0</v>
      </c>
      <c r="L177" s="26">
        <v>0</v>
      </c>
      <c r="M177" s="26">
        <v>57132790.93</v>
      </c>
      <c r="N177" s="26"/>
      <c r="O177" s="26"/>
    </row>
    <row r="178" spans="2:16" ht="15.75" customHeight="1">
      <c r="B178" s="26" t="s">
        <v>667</v>
      </c>
      <c r="C178" s="380">
        <v>46203</v>
      </c>
      <c r="D178" s="380">
        <v>46568</v>
      </c>
      <c r="E178" s="380">
        <v>46934</v>
      </c>
      <c r="F178" s="380">
        <v>47299</v>
      </c>
      <c r="G178" s="380">
        <v>47664</v>
      </c>
      <c r="H178" s="380">
        <v>48029</v>
      </c>
      <c r="I178" s="380">
        <v>48395</v>
      </c>
      <c r="J178" s="380">
        <v>48760</v>
      </c>
      <c r="K178" s="380">
        <v>49125</v>
      </c>
      <c r="L178" s="380">
        <v>49490</v>
      </c>
      <c r="M178" s="380">
        <v>49856</v>
      </c>
      <c r="N178" s="26"/>
      <c r="O178" s="26"/>
    </row>
    <row r="179" spans="2:16" ht="15.75" customHeight="1">
      <c r="B179" s="26"/>
      <c r="C179" s="26"/>
      <c r="D179" s="26"/>
      <c r="E179" s="26"/>
      <c r="F179" s="26"/>
      <c r="G179" s="26"/>
      <c r="H179" s="26"/>
      <c r="I179" s="26"/>
      <c r="J179" s="26"/>
      <c r="K179" s="26"/>
      <c r="L179" s="26"/>
      <c r="M179" s="26"/>
      <c r="N179" s="26"/>
      <c r="O179" s="26"/>
    </row>
    <row r="180" spans="2:16" ht="15.75" customHeight="1">
      <c r="B180" s="381" t="s">
        <v>668</v>
      </c>
      <c r="C180" s="382">
        <f>F120+G120+H120+I120+N120+J120+K120+L120+M120+O120+P120</f>
        <v>158714623.06119949</v>
      </c>
      <c r="D180" s="26"/>
      <c r="E180" s="26"/>
      <c r="F180" s="26"/>
      <c r="G180" s="26"/>
      <c r="H180" s="26"/>
      <c r="I180" s="26"/>
      <c r="J180" s="26"/>
      <c r="K180" s="26"/>
      <c r="L180" s="26"/>
      <c r="M180" s="26"/>
      <c r="N180" s="26"/>
      <c r="O180" s="26"/>
    </row>
    <row r="181" spans="2:16" ht="15.75" customHeight="1">
      <c r="B181" s="381" t="s">
        <v>669</v>
      </c>
      <c r="C181" s="382">
        <f>F107+G107+H107+I107+J107+K107+L107+M107+N107+O107+P107</f>
        <v>188544521.42845562</v>
      </c>
      <c r="D181" s="26"/>
      <c r="E181" s="26"/>
      <c r="F181" s="26"/>
      <c r="G181" s="26"/>
      <c r="H181" s="26"/>
      <c r="I181" s="26"/>
      <c r="J181" s="26"/>
      <c r="K181" s="26"/>
      <c r="L181" s="26"/>
      <c r="M181" s="26"/>
      <c r="N181" s="26"/>
      <c r="O181" s="26"/>
    </row>
    <row r="182" spans="2:16" ht="15.75" customHeight="1">
      <c r="B182" s="381" t="s">
        <v>670</v>
      </c>
      <c r="C182" s="382">
        <f>-D107-E107</f>
        <v>20580525</v>
      </c>
      <c r="D182" s="26"/>
      <c r="E182" s="26"/>
      <c r="F182" s="26"/>
      <c r="G182" s="26"/>
      <c r="H182" s="26"/>
      <c r="I182" s="26"/>
      <c r="J182" s="26"/>
      <c r="K182" s="26"/>
      <c r="L182" s="26"/>
      <c r="M182" s="26"/>
      <c r="N182" s="26"/>
      <c r="O182" s="26"/>
    </row>
    <row r="183" spans="2:16" ht="15.75" customHeight="1"/>
    <row r="184" spans="2:16" ht="15" customHeight="1">
      <c r="B184" s="1397"/>
      <c r="C184" s="1342"/>
      <c r="D184" s="1342"/>
      <c r="E184" s="1342"/>
      <c r="F184" s="1342"/>
      <c r="G184" s="1342"/>
      <c r="H184" s="1342"/>
      <c r="I184" s="1342"/>
      <c r="J184" s="1342"/>
      <c r="K184" s="1342"/>
      <c r="L184" s="1342"/>
      <c r="M184" s="1342"/>
      <c r="N184" s="1342"/>
      <c r="O184" s="1342"/>
      <c r="P184" s="1303"/>
    </row>
    <row r="185" spans="2:16" ht="15.75" customHeight="1">
      <c r="B185" s="383"/>
    </row>
    <row r="186" spans="2:16" ht="15.75" customHeight="1">
      <c r="B186" s="383" t="s">
        <v>671</v>
      </c>
      <c r="C186" s="384" t="str">
        <f t="shared" ref="C186:F186" si="31">C137</f>
        <v>Exit Multiple</v>
      </c>
      <c r="D186" s="385">
        <f t="shared" si="31"/>
        <v>6</v>
      </c>
      <c r="E186" s="385">
        <f t="shared" si="31"/>
        <v>7</v>
      </c>
      <c r="F186" s="385">
        <f t="shared" si="31"/>
        <v>8</v>
      </c>
    </row>
    <row r="187" spans="2:16" ht="15.75" customHeight="1"/>
    <row r="188" spans="2:16" ht="15.75" customHeight="1">
      <c r="B188" s="386" t="s">
        <v>672</v>
      </c>
      <c r="D188" s="387" t="str">
        <f>'P&amp;L'!J6</f>
        <v>FY28</v>
      </c>
      <c r="E188" s="387" t="str">
        <f t="shared" ref="E188:F188" si="32">D188</f>
        <v>FY28</v>
      </c>
      <c r="F188" s="387" t="str">
        <f t="shared" si="32"/>
        <v>FY28</v>
      </c>
    </row>
    <row r="189" spans="2:16" ht="15.75" customHeight="1">
      <c r="B189" s="386" t="s">
        <v>194</v>
      </c>
      <c r="D189" s="388">
        <f>'P&amp;L'!J79</f>
        <v>10240353.181728749</v>
      </c>
      <c r="E189" s="388">
        <f t="shared" ref="E189:F189" si="33">D189</f>
        <v>10240353.181728749</v>
      </c>
      <c r="F189" s="388">
        <f t="shared" si="33"/>
        <v>10240353.181728749</v>
      </c>
    </row>
    <row r="190" spans="2:16" ht="15.75" customHeight="1">
      <c r="B190" s="386" t="s">
        <v>673</v>
      </c>
      <c r="D190" s="388">
        <f>D186*D189</f>
        <v>61442119.090372488</v>
      </c>
      <c r="E190" s="388">
        <f t="shared" ref="E190:F190" si="34">E189*E186</f>
        <v>71682472.272101238</v>
      </c>
      <c r="F190" s="388">
        <f t="shared" si="34"/>
        <v>81922825.453829989</v>
      </c>
    </row>
    <row r="191" spans="2:16" ht="15.75" customHeight="1">
      <c r="B191" s="386" t="s">
        <v>29</v>
      </c>
      <c r="D191" s="389">
        <f>-Debt!K24</f>
        <v>-12675915</v>
      </c>
      <c r="E191" s="389">
        <f t="shared" ref="E191:F191" si="35">D191</f>
        <v>-12675915</v>
      </c>
      <c r="F191" s="389">
        <f t="shared" si="35"/>
        <v>-12675915</v>
      </c>
    </row>
    <row r="192" spans="2:16" ht="15.75" customHeight="1">
      <c r="B192" s="386" t="s">
        <v>239</v>
      </c>
      <c r="D192" s="388">
        <f t="shared" ref="D192:F192" si="36">D190+D191</f>
        <v>48766204.090372488</v>
      </c>
      <c r="E192" s="388">
        <f t="shared" si="36"/>
        <v>59006557.272101238</v>
      </c>
      <c r="F192" s="388">
        <f t="shared" si="36"/>
        <v>69246910.453829989</v>
      </c>
    </row>
    <row r="193" spans="2:9" ht="15.75" customHeight="1">
      <c r="B193" s="386" t="s">
        <v>674</v>
      </c>
      <c r="D193" s="388">
        <f>ROUND(D192,-7)</f>
        <v>50000000</v>
      </c>
      <c r="E193" s="390" t="s">
        <v>675</v>
      </c>
      <c r="F193" s="388">
        <f>ROUND(F192,-7)</f>
        <v>70000000</v>
      </c>
    </row>
    <row r="194" spans="2:9" ht="15.75" customHeight="1">
      <c r="B194" s="386" t="s">
        <v>676</v>
      </c>
      <c r="D194" s="391">
        <f>MEDIAN(D193,F193)</f>
        <v>60000000</v>
      </c>
    </row>
    <row r="195" spans="2:9" ht="15.75" customHeight="1"/>
    <row r="196" spans="2:9" ht="15.75" customHeight="1"/>
    <row r="197" spans="2:9" ht="15.75" customHeight="1">
      <c r="B197" s="386" t="s">
        <v>672</v>
      </c>
      <c r="D197" s="392" t="s">
        <v>677</v>
      </c>
      <c r="E197" s="393" t="str">
        <f t="shared" ref="E197:F197" si="37">D197</f>
        <v>FY 29</v>
      </c>
      <c r="F197" s="393" t="str">
        <f t="shared" si="37"/>
        <v>FY 29</v>
      </c>
    </row>
    <row r="198" spans="2:9" ht="15.75" customHeight="1">
      <c r="B198" s="386" t="s">
        <v>194</v>
      </c>
      <c r="D198" s="388">
        <f>'P&amp;L'!K79</f>
        <v>10221610.60891173</v>
      </c>
      <c r="E198" s="388">
        <f t="shared" ref="E198:F198" si="38">D198</f>
        <v>10221610.60891173</v>
      </c>
      <c r="F198" s="388">
        <f t="shared" si="38"/>
        <v>10221610.60891173</v>
      </c>
    </row>
    <row r="199" spans="2:9" ht="15.75" customHeight="1">
      <c r="B199" s="386" t="s">
        <v>673</v>
      </c>
      <c r="D199" s="388">
        <f t="shared" ref="D199:F199" si="39">$D$198*D186</f>
        <v>61329663.653470382</v>
      </c>
      <c r="E199" s="388">
        <f t="shared" si="39"/>
        <v>71551274.26238212</v>
      </c>
      <c r="F199" s="388">
        <f t="shared" si="39"/>
        <v>81772884.871293843</v>
      </c>
    </row>
    <row r="200" spans="2:9" ht="15.75" customHeight="1">
      <c r="B200" s="386" t="s">
        <v>29</v>
      </c>
      <c r="D200" s="389">
        <f>-Debt!L24</f>
        <v>-11091425.625</v>
      </c>
      <c r="E200" s="389">
        <f t="shared" ref="E200:F200" si="40">D200</f>
        <v>-11091425.625</v>
      </c>
      <c r="F200" s="389">
        <f t="shared" si="40"/>
        <v>-11091425.625</v>
      </c>
    </row>
    <row r="201" spans="2:9" ht="15.75" customHeight="1">
      <c r="B201" s="386" t="s">
        <v>239</v>
      </c>
      <c r="D201" s="388">
        <f t="shared" ref="D201:F201" si="41">D199+D200</f>
        <v>50238238.028470382</v>
      </c>
      <c r="E201" s="388">
        <f t="shared" si="41"/>
        <v>60459848.63738212</v>
      </c>
      <c r="F201" s="388">
        <f t="shared" si="41"/>
        <v>70681459.246293843</v>
      </c>
    </row>
    <row r="202" spans="2:9" ht="15.75" customHeight="1">
      <c r="B202" s="386" t="s">
        <v>674</v>
      </c>
      <c r="D202" s="388">
        <f>ROUND(D201,-7)</f>
        <v>50000000</v>
      </c>
      <c r="E202" s="390" t="s">
        <v>675</v>
      </c>
      <c r="F202" s="388">
        <f>ROUND(F201,-7)</f>
        <v>70000000</v>
      </c>
    </row>
    <row r="203" spans="2:9" ht="15.75" customHeight="1">
      <c r="B203" s="386" t="s">
        <v>676</v>
      </c>
      <c r="D203" s="391">
        <f>MEDIAN(D202,F202)</f>
        <v>60000000</v>
      </c>
    </row>
    <row r="204" spans="2:9" ht="15.75" customHeight="1"/>
    <row r="205" spans="2:9" ht="15.75" customHeight="1"/>
    <row r="206" spans="2:9" ht="15.75" customHeight="1"/>
    <row r="207" spans="2:9" ht="15.75" customHeight="1">
      <c r="B207" s="1405" t="s">
        <v>678</v>
      </c>
      <c r="C207" s="1305"/>
      <c r="D207" s="1305"/>
      <c r="E207" s="1305"/>
      <c r="F207" s="1305"/>
      <c r="G207" s="1305"/>
      <c r="H207" s="1305"/>
      <c r="I207" s="1305"/>
    </row>
    <row r="208" spans="2:9" ht="15.75" customHeight="1">
      <c r="B208" s="394" t="s">
        <v>679</v>
      </c>
      <c r="C208" s="394" t="s">
        <v>680</v>
      </c>
      <c r="D208" s="394" t="s">
        <v>681</v>
      </c>
      <c r="E208" s="394" t="s">
        <v>682</v>
      </c>
      <c r="F208" s="394" t="s">
        <v>683</v>
      </c>
      <c r="G208" s="394" t="s">
        <v>684</v>
      </c>
      <c r="H208" s="394" t="s">
        <v>685</v>
      </c>
      <c r="I208" s="394" t="s">
        <v>686</v>
      </c>
    </row>
    <row r="209" spans="2:9" ht="58.5">
      <c r="B209" s="395" t="s">
        <v>687</v>
      </c>
      <c r="C209" s="395" t="s">
        <v>688</v>
      </c>
      <c r="D209" s="395" t="s">
        <v>689</v>
      </c>
      <c r="E209" s="396">
        <v>26</v>
      </c>
      <c r="F209" s="395">
        <v>2026</v>
      </c>
      <c r="G209" s="395" t="s">
        <v>690</v>
      </c>
      <c r="H209" s="395" t="s">
        <v>691</v>
      </c>
      <c r="I209" s="397" t="s">
        <v>692</v>
      </c>
    </row>
    <row r="210" spans="2:9" ht="35.5">
      <c r="B210" s="398" t="s">
        <v>693</v>
      </c>
      <c r="C210" s="398" t="s">
        <v>694</v>
      </c>
      <c r="D210" s="398" t="s">
        <v>695</v>
      </c>
      <c r="E210" s="399">
        <v>10</v>
      </c>
      <c r="F210" s="398">
        <v>2026</v>
      </c>
      <c r="G210" s="398" t="s">
        <v>696</v>
      </c>
      <c r="H210" s="398" t="s">
        <v>697</v>
      </c>
      <c r="I210" s="397" t="s">
        <v>698</v>
      </c>
    </row>
    <row r="211" spans="2:9" ht="47">
      <c r="B211" s="395" t="s">
        <v>699</v>
      </c>
      <c r="C211" s="395" t="s">
        <v>700</v>
      </c>
      <c r="D211" s="395" t="s">
        <v>689</v>
      </c>
      <c r="E211" s="396">
        <v>13.5</v>
      </c>
      <c r="F211" s="395">
        <f>F210</f>
        <v>2026</v>
      </c>
      <c r="G211" s="395" t="s">
        <v>701</v>
      </c>
      <c r="H211" s="395" t="s">
        <v>702</v>
      </c>
      <c r="I211" s="397" t="s">
        <v>703</v>
      </c>
    </row>
    <row r="212" spans="2:9" ht="58.5">
      <c r="B212" s="398" t="s">
        <v>704</v>
      </c>
      <c r="C212" s="398" t="s">
        <v>705</v>
      </c>
      <c r="D212" s="398" t="s">
        <v>695</v>
      </c>
      <c r="E212" s="399">
        <v>13</v>
      </c>
      <c r="F212" s="398" t="s">
        <v>706</v>
      </c>
      <c r="G212" s="398" t="s">
        <v>707</v>
      </c>
      <c r="H212" s="398" t="s">
        <v>708</v>
      </c>
      <c r="I212" s="397" t="s">
        <v>709</v>
      </c>
    </row>
    <row r="213" spans="2:9" ht="47">
      <c r="B213" s="395" t="s">
        <v>710</v>
      </c>
      <c r="C213" s="395" t="s">
        <v>711</v>
      </c>
      <c r="D213" s="395" t="s">
        <v>695</v>
      </c>
      <c r="E213" s="396">
        <v>22</v>
      </c>
      <c r="F213" s="395">
        <f>F211</f>
        <v>2026</v>
      </c>
      <c r="G213" s="395" t="s">
        <v>712</v>
      </c>
      <c r="H213" s="395" t="s">
        <v>713</v>
      </c>
      <c r="I213" s="397" t="s">
        <v>714</v>
      </c>
    </row>
    <row r="214" spans="2:9" ht="15.75" customHeight="1">
      <c r="B214" s="400" t="s">
        <v>715</v>
      </c>
      <c r="C214" s="401"/>
      <c r="D214" s="401"/>
      <c r="E214" s="402">
        <f>MEDIAN(E209:E213)</f>
        <v>13.5</v>
      </c>
      <c r="F214" s="401"/>
      <c r="G214" s="401" t="s">
        <v>716</v>
      </c>
      <c r="H214" s="401"/>
      <c r="I214" s="401"/>
    </row>
    <row r="215" spans="2:9" ht="15.75" customHeight="1">
      <c r="B215" s="26"/>
      <c r="C215" s="26"/>
      <c r="D215" s="26"/>
      <c r="E215" s="26"/>
      <c r="F215" s="26"/>
      <c r="G215" s="26"/>
      <c r="H215" s="26"/>
      <c r="I215" s="26"/>
    </row>
    <row r="216" spans="2:9" ht="15.75" customHeight="1">
      <c r="B216" s="1405" t="s">
        <v>717</v>
      </c>
      <c r="C216" s="1305"/>
      <c r="D216" s="1305"/>
      <c r="E216" s="1305"/>
      <c r="F216" s="1305"/>
      <c r="G216" s="1305"/>
      <c r="H216" s="1305"/>
      <c r="I216" s="1305"/>
    </row>
    <row r="217" spans="2:9" ht="15.75" customHeight="1">
      <c r="B217" s="394" t="s">
        <v>718</v>
      </c>
      <c r="C217" s="394" t="s">
        <v>719</v>
      </c>
      <c r="D217" s="394" t="s">
        <v>720</v>
      </c>
      <c r="E217" s="394" t="s">
        <v>682</v>
      </c>
      <c r="F217" s="394" t="s">
        <v>721</v>
      </c>
      <c r="G217" s="394" t="s">
        <v>722</v>
      </c>
      <c r="H217" s="394" t="s">
        <v>685</v>
      </c>
      <c r="I217" s="394" t="s">
        <v>686</v>
      </c>
    </row>
    <row r="218" spans="2:9" ht="58.5">
      <c r="B218" s="398" t="s">
        <v>723</v>
      </c>
      <c r="C218" s="398" t="s">
        <v>724</v>
      </c>
      <c r="D218" s="398" t="s">
        <v>725</v>
      </c>
      <c r="E218" s="399">
        <v>9.5</v>
      </c>
      <c r="F218" s="398">
        <v>2019</v>
      </c>
      <c r="G218" s="398" t="s">
        <v>726</v>
      </c>
      <c r="H218" s="398" t="s">
        <v>727</v>
      </c>
      <c r="I218" s="403" t="s">
        <v>728</v>
      </c>
    </row>
    <row r="219" spans="2:9" ht="58.5">
      <c r="B219" s="395" t="s">
        <v>729</v>
      </c>
      <c r="C219" s="395" t="s">
        <v>730</v>
      </c>
      <c r="D219" s="395" t="s">
        <v>725</v>
      </c>
      <c r="E219" s="396">
        <v>9</v>
      </c>
      <c r="F219" s="395">
        <v>2021</v>
      </c>
      <c r="G219" s="395" t="s">
        <v>731</v>
      </c>
      <c r="H219" s="395" t="s">
        <v>732</v>
      </c>
      <c r="I219" s="403" t="s">
        <v>728</v>
      </c>
    </row>
    <row r="220" spans="2:9" ht="58.5">
      <c r="B220" s="398" t="s">
        <v>733</v>
      </c>
      <c r="C220" s="398" t="s">
        <v>734</v>
      </c>
      <c r="D220" s="398" t="s">
        <v>725</v>
      </c>
      <c r="E220" s="399">
        <f>E212</f>
        <v>13</v>
      </c>
      <c r="F220" s="398">
        <v>2022</v>
      </c>
      <c r="G220" s="398" t="s">
        <v>735</v>
      </c>
      <c r="H220" s="398" t="s">
        <v>736</v>
      </c>
      <c r="I220" s="404" t="str">
        <f>I212</f>
        <v>https://www.reuters.com/markets/asia/crown-plays-its-cards-well-with-blackstone-2022-01-13/</v>
      </c>
    </row>
    <row r="221" spans="2:9" ht="58.5">
      <c r="B221" s="395" t="s">
        <v>737</v>
      </c>
      <c r="C221" s="395" t="s">
        <v>738</v>
      </c>
      <c r="D221" s="395" t="s">
        <v>739</v>
      </c>
      <c r="E221" s="396">
        <v>10</v>
      </c>
      <c r="F221" s="395">
        <v>2019</v>
      </c>
      <c r="G221" s="395" t="s">
        <v>740</v>
      </c>
      <c r="H221" s="395" t="s">
        <v>741</v>
      </c>
      <c r="I221" s="403" t="str">
        <f>I219</f>
        <v>Internet search</v>
      </c>
    </row>
    <row r="222" spans="2:9" ht="58.5">
      <c r="B222" s="398" t="s">
        <v>742</v>
      </c>
      <c r="C222" s="398" t="s">
        <v>743</v>
      </c>
      <c r="D222" s="398" t="s">
        <v>744</v>
      </c>
      <c r="E222" s="399">
        <v>7.5</v>
      </c>
      <c r="F222" s="398">
        <v>2006</v>
      </c>
      <c r="G222" s="398" t="s">
        <v>745</v>
      </c>
      <c r="H222" s="398" t="s">
        <v>746</v>
      </c>
      <c r="I222" s="403" t="str">
        <f>I221</f>
        <v>Internet search</v>
      </c>
    </row>
    <row r="223" spans="2:9" ht="15.75" customHeight="1">
      <c r="B223" s="405" t="s">
        <v>747</v>
      </c>
      <c r="C223" s="406"/>
      <c r="D223" s="406"/>
      <c r="E223" s="407">
        <f>MEDIAN(E218:E222)</f>
        <v>9.5</v>
      </c>
      <c r="F223" s="406"/>
      <c r="G223" s="406"/>
      <c r="H223" s="406"/>
      <c r="I223" s="406"/>
    </row>
    <row r="224" spans="2:9"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B207:I207"/>
    <mergeCell ref="B216:I216"/>
    <mergeCell ref="B86:P86"/>
    <mergeCell ref="B101:P101"/>
    <mergeCell ref="B103:D103"/>
    <mergeCell ref="B113:D113"/>
    <mergeCell ref="B133:N133"/>
    <mergeCell ref="B135:I135"/>
    <mergeCell ref="B146:I146"/>
    <mergeCell ref="B51:N51"/>
    <mergeCell ref="B69:P69"/>
    <mergeCell ref="B76:N76"/>
    <mergeCell ref="B158:N158"/>
    <mergeCell ref="B184:P184"/>
    <mergeCell ref="F24:P24"/>
    <mergeCell ref="F25:P25"/>
    <mergeCell ref="F26:P26"/>
    <mergeCell ref="B29:P29"/>
    <mergeCell ref="B50:P50"/>
    <mergeCell ref="F19:P19"/>
    <mergeCell ref="F20:P20"/>
    <mergeCell ref="F21:P21"/>
    <mergeCell ref="F22:P22"/>
    <mergeCell ref="F23:P23"/>
    <mergeCell ref="D12:P12"/>
    <mergeCell ref="D13:P13"/>
    <mergeCell ref="D14:P14"/>
    <mergeCell ref="D15:P15"/>
    <mergeCell ref="D16:P16"/>
    <mergeCell ref="D7:P7"/>
    <mergeCell ref="D8:P8"/>
    <mergeCell ref="D9:P9"/>
    <mergeCell ref="D10:P10"/>
    <mergeCell ref="D11:P11"/>
    <mergeCell ref="B1:P1"/>
    <mergeCell ref="B2:P2"/>
    <mergeCell ref="B4:P4"/>
    <mergeCell ref="D5:P5"/>
    <mergeCell ref="D6:P6"/>
  </mergeCells>
  <hyperlinks>
    <hyperlink ref="I209" r:id="rId1" xr:uid="{00000000-0004-0000-0800-000000000000}"/>
    <hyperlink ref="I210" r:id="rId2" xr:uid="{00000000-0004-0000-0800-000001000000}"/>
    <hyperlink ref="I211" r:id="rId3" xr:uid="{00000000-0004-0000-0800-000002000000}"/>
    <hyperlink ref="I212" r:id="rId4" xr:uid="{00000000-0004-0000-0800-000003000000}"/>
    <hyperlink ref="I213" r:id="rId5" xr:uid="{00000000-0004-0000-0800-000004000000}"/>
  </hyperlinks>
  <pageMargins left="0.75" right="0.75" top="1" bottom="1"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D9D9D9"/>
    <outlinePr summaryBelow="0" summaryRight="0"/>
  </sheetPr>
  <dimension ref="A1"/>
  <sheetViews>
    <sheetView workbookViewId="0"/>
  </sheetViews>
  <sheetFormatPr defaultColWidth="12.6328125" defaultRowHeight="15" customHeight="1"/>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E699"/>
    <pageSetUpPr fitToPage="1"/>
  </sheetPr>
  <dimension ref="A1:V1169"/>
  <sheetViews>
    <sheetView showGridLines="0" topLeftCell="A508" workbookViewId="0">
      <selection activeCell="E532" sqref="E532"/>
    </sheetView>
  </sheetViews>
  <sheetFormatPr defaultColWidth="12.6328125" defaultRowHeight="15" customHeight="1"/>
  <cols>
    <col min="1" max="1" width="3.90625" customWidth="1"/>
    <col min="2" max="2" width="4.6328125" customWidth="1"/>
    <col min="3" max="3" width="56.7265625" customWidth="1"/>
    <col min="4" max="4" width="36.7265625" customWidth="1"/>
    <col min="5" max="5" width="17.7265625" customWidth="1"/>
    <col min="6" max="6" width="18.453125" customWidth="1"/>
    <col min="7" max="7" width="48.7265625" customWidth="1"/>
    <col min="8" max="8" width="31.36328125" customWidth="1"/>
    <col min="9" max="11" width="20.90625" customWidth="1"/>
    <col min="12" max="12" width="18.6328125" customWidth="1"/>
    <col min="13" max="13" width="23.453125" customWidth="1"/>
    <col min="14" max="15" width="18.6328125" customWidth="1"/>
    <col min="16" max="16" width="13.90625" customWidth="1"/>
    <col min="18" max="18" width="13.90625" customWidth="1"/>
  </cols>
  <sheetData>
    <row r="1" spans="1:16" ht="58">
      <c r="A1" s="408"/>
      <c r="B1" s="176"/>
      <c r="C1" s="176"/>
      <c r="D1" s="140"/>
      <c r="E1" s="250"/>
      <c r="F1" s="409"/>
      <c r="G1" s="410" t="s">
        <v>748</v>
      </c>
      <c r="H1" s="409"/>
      <c r="I1" s="411"/>
      <c r="J1" s="411"/>
      <c r="K1" s="411"/>
      <c r="L1" s="411"/>
      <c r="M1" s="411"/>
      <c r="N1" s="411"/>
      <c r="O1" s="411"/>
      <c r="P1" s="411"/>
    </row>
    <row r="2" spans="1:16" ht="14.5">
      <c r="A2" s="408"/>
      <c r="B2" s="1408" t="s">
        <v>749</v>
      </c>
      <c r="C2" s="1409"/>
      <c r="D2" s="1409"/>
      <c r="E2" s="1409"/>
      <c r="F2" s="1409"/>
      <c r="G2" s="1410"/>
      <c r="H2" s="409"/>
      <c r="I2" s="411"/>
      <c r="J2" s="411"/>
      <c r="K2" s="411"/>
      <c r="L2" s="411"/>
      <c r="M2" s="411"/>
      <c r="N2" s="411"/>
      <c r="O2" s="411"/>
      <c r="P2" s="411"/>
    </row>
    <row r="3" spans="1:16" ht="14.5">
      <c r="A3" s="408"/>
      <c r="B3" s="1411" t="s">
        <v>750</v>
      </c>
      <c r="C3" s="1342"/>
      <c r="D3" s="1342"/>
      <c r="E3" s="1342"/>
      <c r="F3" s="1342"/>
      <c r="G3" s="1412"/>
      <c r="H3" s="409"/>
      <c r="I3" s="412"/>
      <c r="J3" s="412"/>
      <c r="K3" s="411"/>
      <c r="L3" s="411"/>
      <c r="M3" s="411"/>
      <c r="N3" s="411"/>
      <c r="O3" s="411"/>
      <c r="P3" s="411"/>
    </row>
    <row r="4" spans="1:16" ht="14.5">
      <c r="A4" s="408"/>
      <c r="B4" s="413"/>
      <c r="C4" s="176"/>
      <c r="D4" s="140"/>
      <c r="E4" s="250"/>
      <c r="F4" s="409"/>
      <c r="G4" s="414"/>
      <c r="H4" s="409"/>
      <c r="I4" s="412"/>
      <c r="J4" s="412"/>
      <c r="K4" s="411"/>
      <c r="L4" s="411"/>
      <c r="M4" s="411"/>
      <c r="N4" s="411"/>
      <c r="O4" s="411"/>
      <c r="P4" s="411"/>
    </row>
    <row r="5" spans="1:16" ht="14.5">
      <c r="A5" s="408"/>
      <c r="B5" s="413"/>
      <c r="C5" s="415" t="s">
        <v>751</v>
      </c>
      <c r="D5" s="416" t="s">
        <v>317</v>
      </c>
      <c r="E5" s="417" t="s">
        <v>212</v>
      </c>
      <c r="F5" s="418" t="s">
        <v>686</v>
      </c>
      <c r="G5" s="419" t="s">
        <v>229</v>
      </c>
      <c r="H5" s="409"/>
      <c r="I5" s="412"/>
      <c r="J5" s="412"/>
      <c r="K5" s="411"/>
      <c r="L5" s="411"/>
      <c r="M5" s="411"/>
      <c r="N5" s="411"/>
      <c r="O5" s="411"/>
      <c r="P5" s="411"/>
    </row>
    <row r="6" spans="1:16" ht="14.5">
      <c r="A6" s="408"/>
      <c r="B6" s="413"/>
      <c r="C6" s="176"/>
      <c r="D6" s="140"/>
      <c r="E6" s="250"/>
      <c r="F6" s="409"/>
      <c r="G6" s="414"/>
      <c r="H6" s="409"/>
      <c r="I6" s="412"/>
      <c r="J6" s="412"/>
      <c r="K6" s="411"/>
      <c r="L6" s="411"/>
      <c r="M6" s="411"/>
      <c r="N6" s="411"/>
      <c r="O6" s="411"/>
      <c r="P6" s="411"/>
    </row>
    <row r="7" spans="1:16" ht="14.5">
      <c r="A7" s="408"/>
      <c r="B7" s="1413" t="s">
        <v>752</v>
      </c>
      <c r="C7" s="1414"/>
      <c r="D7" s="1414"/>
      <c r="E7" s="1414"/>
      <c r="F7" s="1414"/>
      <c r="G7" s="1415"/>
      <c r="H7" s="247"/>
      <c r="I7" s="1416" t="s">
        <v>753</v>
      </c>
      <c r="J7" s="1417"/>
      <c r="K7" s="411"/>
      <c r="L7" s="411"/>
      <c r="M7" s="411"/>
      <c r="N7" s="411"/>
      <c r="O7" s="411"/>
      <c r="P7" s="411"/>
    </row>
    <row r="8" spans="1:16" ht="14.5">
      <c r="A8" s="408"/>
      <c r="B8" s="420"/>
      <c r="C8" s="421"/>
      <c r="D8" s="422"/>
      <c r="E8" s="423"/>
      <c r="F8" s="424"/>
      <c r="G8" s="425"/>
      <c r="H8" s="409"/>
      <c r="I8" s="426" t="s">
        <v>754</v>
      </c>
      <c r="J8" s="427"/>
      <c r="K8" s="411"/>
      <c r="L8" s="411"/>
      <c r="M8" s="411"/>
      <c r="N8" s="411"/>
      <c r="O8" s="411"/>
      <c r="P8" s="411"/>
    </row>
    <row r="9" spans="1:16" ht="14.5">
      <c r="A9" s="408"/>
      <c r="B9" s="413"/>
      <c r="C9" s="428" t="s">
        <v>755</v>
      </c>
      <c r="D9" s="429" t="s">
        <v>278</v>
      </c>
      <c r="E9" s="430">
        <v>46054</v>
      </c>
      <c r="F9" s="431"/>
      <c r="G9" s="432" t="s">
        <v>756</v>
      </c>
      <c r="H9" s="409"/>
      <c r="I9" s="433" t="s">
        <v>757</v>
      </c>
      <c r="J9" s="434"/>
      <c r="K9" s="411"/>
      <c r="L9" s="411"/>
      <c r="M9" s="411"/>
      <c r="N9" s="411"/>
      <c r="O9" s="411"/>
      <c r="P9" s="411"/>
    </row>
    <row r="10" spans="1:16" ht="14.5">
      <c r="A10" s="408"/>
      <c r="B10" s="413"/>
      <c r="C10" s="435" t="s">
        <v>758</v>
      </c>
      <c r="D10" s="436" t="s">
        <v>278</v>
      </c>
      <c r="E10" s="437">
        <v>50526</v>
      </c>
      <c r="F10" s="438"/>
      <c r="G10" s="439" t="s">
        <v>759</v>
      </c>
      <c r="H10" s="409"/>
      <c r="I10" s="433" t="s">
        <v>760</v>
      </c>
      <c r="J10" s="440"/>
      <c r="K10" s="411"/>
      <c r="L10" s="411"/>
      <c r="M10" s="411"/>
      <c r="N10" s="411"/>
      <c r="O10" s="411"/>
      <c r="P10" s="411"/>
    </row>
    <row r="11" spans="1:16" ht="14.5">
      <c r="A11" s="408"/>
      <c r="B11" s="413"/>
      <c r="C11" s="441" t="s">
        <v>761</v>
      </c>
      <c r="D11" s="442" t="s">
        <v>762</v>
      </c>
      <c r="E11" s="443">
        <v>12</v>
      </c>
      <c r="F11" s="444"/>
      <c r="G11" s="432" t="s">
        <v>763</v>
      </c>
      <c r="H11" s="409"/>
      <c r="I11" s="433" t="s">
        <v>764</v>
      </c>
      <c r="J11" s="445"/>
      <c r="K11" s="411"/>
      <c r="L11" s="411"/>
      <c r="M11" s="411"/>
      <c r="N11" s="411"/>
      <c r="O11" s="411"/>
      <c r="P11" s="411"/>
    </row>
    <row r="12" spans="1:16" ht="14.5">
      <c r="A12" s="408"/>
      <c r="B12" s="413"/>
      <c r="C12" s="435" t="s">
        <v>335</v>
      </c>
      <c r="D12" s="436"/>
      <c r="E12" s="443" t="s">
        <v>336</v>
      </c>
      <c r="F12" s="438"/>
      <c r="G12" s="439" t="s">
        <v>765</v>
      </c>
      <c r="H12" s="409"/>
      <c r="I12" s="433" t="s">
        <v>766</v>
      </c>
      <c r="J12" s="446"/>
      <c r="K12" s="411"/>
      <c r="L12" s="411"/>
      <c r="M12" s="411"/>
      <c r="N12" s="411"/>
      <c r="O12" s="411"/>
      <c r="P12" s="411"/>
    </row>
    <row r="13" spans="1:16" ht="14.5">
      <c r="A13" s="408"/>
      <c r="B13" s="413"/>
      <c r="C13" s="441"/>
      <c r="D13" s="442"/>
      <c r="E13" s="447"/>
      <c r="F13" s="444"/>
      <c r="G13" s="432"/>
      <c r="H13" s="409"/>
      <c r="I13" s="433" t="s">
        <v>767</v>
      </c>
      <c r="J13" s="448"/>
      <c r="K13" s="411"/>
      <c r="L13" s="411"/>
      <c r="M13" s="411"/>
      <c r="N13" s="411"/>
      <c r="O13" s="411"/>
      <c r="P13" s="411"/>
    </row>
    <row r="14" spans="1:16" ht="14.5">
      <c r="A14" s="408"/>
      <c r="B14" s="413"/>
      <c r="C14" s="441" t="s">
        <v>768</v>
      </c>
      <c r="D14" s="442" t="s">
        <v>278</v>
      </c>
      <c r="E14" s="437">
        <v>46357</v>
      </c>
      <c r="F14" s="444"/>
      <c r="G14" s="432" t="s">
        <v>769</v>
      </c>
      <c r="H14" s="409"/>
      <c r="I14" s="449" t="s">
        <v>770</v>
      </c>
      <c r="J14" s="450"/>
      <c r="K14" s="411"/>
      <c r="L14" s="411"/>
      <c r="M14" s="411"/>
      <c r="N14" s="411"/>
      <c r="O14" s="411"/>
      <c r="P14" s="411"/>
    </row>
    <row r="15" spans="1:16" ht="14.5">
      <c r="A15" s="408"/>
      <c r="B15" s="413"/>
      <c r="C15" s="435" t="s">
        <v>771</v>
      </c>
      <c r="D15" s="436" t="s">
        <v>278</v>
      </c>
      <c r="E15" s="437">
        <v>46539</v>
      </c>
      <c r="F15" s="438"/>
      <c r="G15" s="439" t="s">
        <v>772</v>
      </c>
      <c r="H15" s="409"/>
      <c r="I15" s="451" t="s">
        <v>773</v>
      </c>
      <c r="J15" s="452"/>
      <c r="K15" s="411"/>
      <c r="L15" s="411"/>
      <c r="M15" s="411"/>
      <c r="N15" s="411"/>
      <c r="O15" s="411"/>
      <c r="P15" s="411"/>
    </row>
    <row r="16" spans="1:16" ht="14.5">
      <c r="A16" s="408"/>
      <c r="B16" s="413"/>
      <c r="C16" s="441" t="s">
        <v>774</v>
      </c>
      <c r="D16" s="442" t="s">
        <v>278</v>
      </c>
      <c r="E16" s="437">
        <v>46419</v>
      </c>
      <c r="F16" s="444"/>
      <c r="G16" s="432" t="s">
        <v>775</v>
      </c>
      <c r="H16" s="409"/>
      <c r="I16" s="453" t="s">
        <v>776</v>
      </c>
      <c r="J16" s="454" t="s">
        <v>777</v>
      </c>
      <c r="K16" s="411"/>
      <c r="L16" s="411"/>
      <c r="M16" s="411"/>
      <c r="N16" s="411"/>
      <c r="O16" s="411"/>
      <c r="P16" s="411"/>
    </row>
    <row r="17" spans="1:16" ht="14.5">
      <c r="A17" s="408"/>
      <c r="B17" s="413"/>
      <c r="C17" s="435" t="s">
        <v>778</v>
      </c>
      <c r="D17" s="436" t="s">
        <v>278</v>
      </c>
      <c r="E17" s="455">
        <f>DATE(2027,6,30)</f>
        <v>46568</v>
      </c>
      <c r="F17" s="438"/>
      <c r="G17" s="439" t="s">
        <v>779</v>
      </c>
      <c r="H17" s="409"/>
      <c r="I17" s="456" t="s">
        <v>780</v>
      </c>
      <c r="J17" s="457"/>
      <c r="K17" s="411"/>
      <c r="L17" s="411"/>
      <c r="M17" s="411"/>
      <c r="N17" s="411"/>
      <c r="O17" s="411"/>
      <c r="P17" s="411"/>
    </row>
    <row r="18" spans="1:16" ht="14.5">
      <c r="A18" s="408"/>
      <c r="B18" s="413"/>
      <c r="C18" s="441" t="s">
        <v>284</v>
      </c>
      <c r="D18" s="442" t="s">
        <v>278</v>
      </c>
      <c r="E18" s="437">
        <v>46420</v>
      </c>
      <c r="F18" s="444"/>
      <c r="G18" s="432" t="s">
        <v>781</v>
      </c>
      <c r="H18" s="409"/>
      <c r="I18" s="411"/>
      <c r="J18" s="411"/>
      <c r="K18" s="411"/>
      <c r="L18" s="411"/>
      <c r="M18" s="411"/>
      <c r="N18" s="411"/>
      <c r="O18" s="411"/>
      <c r="P18" s="411"/>
    </row>
    <row r="19" spans="1:16" ht="14.5">
      <c r="A19" s="408"/>
      <c r="B19" s="413"/>
      <c r="C19" s="435" t="s">
        <v>286</v>
      </c>
      <c r="D19" s="436" t="s">
        <v>278</v>
      </c>
      <c r="E19" s="437">
        <v>46568</v>
      </c>
      <c r="F19" s="438"/>
      <c r="G19" s="439" t="s">
        <v>782</v>
      </c>
      <c r="H19" s="409"/>
      <c r="I19" s="411"/>
      <c r="J19" s="411"/>
      <c r="K19" s="411"/>
      <c r="L19" s="411"/>
      <c r="M19" s="411"/>
      <c r="N19" s="411"/>
      <c r="O19" s="411"/>
      <c r="P19" s="411"/>
    </row>
    <row r="20" spans="1:16" ht="14.5">
      <c r="A20" s="408"/>
      <c r="B20" s="413"/>
      <c r="C20" s="441" t="s">
        <v>783</v>
      </c>
      <c r="D20" s="442" t="s">
        <v>278</v>
      </c>
      <c r="E20" s="437">
        <v>46508</v>
      </c>
      <c r="F20" s="444"/>
      <c r="G20" s="458">
        <v>46508</v>
      </c>
      <c r="H20" s="409"/>
      <c r="I20" s="411"/>
      <c r="J20" s="411"/>
      <c r="K20" s="411"/>
      <c r="L20" s="411"/>
      <c r="M20" s="411"/>
      <c r="N20" s="411"/>
      <c r="O20" s="411"/>
      <c r="P20" s="411"/>
    </row>
    <row r="21" spans="1:16" ht="15.75" customHeight="1">
      <c r="A21" s="408"/>
      <c r="B21" s="413"/>
      <c r="C21" s="435" t="s">
        <v>784</v>
      </c>
      <c r="D21" s="436" t="s">
        <v>278</v>
      </c>
      <c r="E21" s="437">
        <v>46568</v>
      </c>
      <c r="F21" s="438"/>
      <c r="G21" s="459">
        <v>46539</v>
      </c>
      <c r="H21" s="409"/>
      <c r="I21" s="411"/>
      <c r="J21" s="411"/>
      <c r="K21" s="411"/>
      <c r="L21" s="411"/>
      <c r="M21" s="411"/>
      <c r="N21" s="411"/>
      <c r="O21" s="411"/>
      <c r="P21" s="411"/>
    </row>
    <row r="22" spans="1:16" ht="15.75" customHeight="1">
      <c r="A22" s="408"/>
      <c r="B22" s="413"/>
      <c r="C22" s="441" t="s">
        <v>288</v>
      </c>
      <c r="D22" s="442" t="s">
        <v>278</v>
      </c>
      <c r="E22" s="437">
        <v>46569</v>
      </c>
      <c r="F22" s="444"/>
      <c r="G22" s="432" t="s">
        <v>785</v>
      </c>
      <c r="H22" s="409"/>
      <c r="I22" s="411"/>
      <c r="J22" s="411"/>
      <c r="K22" s="411"/>
      <c r="L22" s="411"/>
      <c r="M22" s="411"/>
      <c r="N22" s="411"/>
      <c r="O22" s="411"/>
      <c r="P22" s="411"/>
    </row>
    <row r="23" spans="1:16" ht="15.75" customHeight="1">
      <c r="A23" s="408"/>
      <c r="B23" s="460"/>
      <c r="C23" s="461" t="s">
        <v>130</v>
      </c>
      <c r="D23" s="462" t="s">
        <v>192</v>
      </c>
      <c r="E23" s="463" t="str">
        <f>E488</f>
        <v>FY38</v>
      </c>
      <c r="F23" s="464"/>
      <c r="G23" s="465" t="s">
        <v>786</v>
      </c>
      <c r="H23" s="409"/>
      <c r="I23" s="411"/>
      <c r="J23" s="411"/>
      <c r="K23" s="411"/>
      <c r="L23" s="411"/>
      <c r="M23" s="411"/>
      <c r="N23" s="411"/>
      <c r="O23" s="411"/>
      <c r="P23" s="411"/>
    </row>
    <row r="24" spans="1:16" ht="15.75" customHeight="1">
      <c r="A24" s="408"/>
      <c r="B24" s="1418" t="s">
        <v>787</v>
      </c>
      <c r="C24" s="1419"/>
      <c r="D24" s="1419"/>
      <c r="E24" s="1419"/>
      <c r="F24" s="1419"/>
      <c r="G24" s="1420"/>
      <c r="H24" s="409"/>
      <c r="I24" s="411"/>
      <c r="J24" s="411"/>
      <c r="K24" s="411"/>
      <c r="L24" s="411"/>
      <c r="M24" s="411"/>
      <c r="N24" s="411"/>
      <c r="O24" s="411"/>
      <c r="P24" s="411"/>
    </row>
    <row r="25" spans="1:16" ht="15.75" customHeight="1">
      <c r="A25" s="408"/>
      <c r="B25" s="413"/>
      <c r="C25" s="428"/>
      <c r="D25" s="429"/>
      <c r="E25" s="466"/>
      <c r="F25" s="431"/>
      <c r="G25" s="432"/>
      <c r="H25" s="409"/>
      <c r="I25" s="411"/>
      <c r="J25" s="411"/>
      <c r="K25" s="411"/>
      <c r="L25" s="411"/>
      <c r="M25" s="411"/>
      <c r="N25" s="411"/>
      <c r="O25" s="411"/>
      <c r="P25" s="411"/>
    </row>
    <row r="26" spans="1:16" ht="15.75" customHeight="1">
      <c r="A26" s="408"/>
      <c r="B26" s="413"/>
      <c r="C26" s="441" t="s">
        <v>788</v>
      </c>
      <c r="D26" s="442" t="s">
        <v>278</v>
      </c>
      <c r="E26" s="437">
        <v>46419</v>
      </c>
      <c r="F26" s="444"/>
      <c r="G26" s="432" t="s">
        <v>789</v>
      </c>
      <c r="H26" s="409"/>
      <c r="I26" s="411"/>
      <c r="J26" s="411"/>
      <c r="K26" s="411"/>
      <c r="L26" s="411"/>
      <c r="M26" s="411"/>
      <c r="N26" s="411"/>
      <c r="O26" s="411"/>
      <c r="P26" s="411"/>
    </row>
    <row r="27" spans="1:16" ht="15.75" customHeight="1">
      <c r="A27" s="408"/>
      <c r="B27" s="413"/>
      <c r="C27" s="435" t="s">
        <v>790</v>
      </c>
      <c r="D27" s="436" t="s">
        <v>762</v>
      </c>
      <c r="E27" s="443">
        <v>20</v>
      </c>
      <c r="F27" s="438"/>
      <c r="G27" s="439" t="s">
        <v>791</v>
      </c>
      <c r="H27" s="409"/>
      <c r="I27" s="411"/>
      <c r="J27" s="411"/>
      <c r="K27" s="411"/>
      <c r="L27" s="411"/>
      <c r="M27" s="411"/>
      <c r="N27" s="411"/>
      <c r="O27" s="411"/>
      <c r="P27" s="411"/>
    </row>
    <row r="28" spans="1:16" ht="15.75" customHeight="1">
      <c r="A28" s="408"/>
      <c r="B28" s="413"/>
      <c r="C28" s="441"/>
      <c r="D28" s="442"/>
      <c r="E28" s="443"/>
      <c r="F28" s="444"/>
      <c r="G28" s="432"/>
      <c r="H28" s="409"/>
      <c r="I28" s="411"/>
      <c r="J28" s="411"/>
      <c r="K28" s="411"/>
      <c r="L28" s="411"/>
      <c r="M28" s="411"/>
      <c r="N28" s="411"/>
      <c r="O28" s="411"/>
      <c r="P28" s="411"/>
    </row>
    <row r="29" spans="1:16" ht="15.75" customHeight="1">
      <c r="A29" s="408"/>
      <c r="B29" s="413"/>
      <c r="C29" s="435" t="s">
        <v>792</v>
      </c>
      <c r="D29" s="436" t="s">
        <v>793</v>
      </c>
      <c r="E29" s="443">
        <v>6</v>
      </c>
      <c r="F29" s="438"/>
      <c r="G29" s="439" t="s">
        <v>794</v>
      </c>
      <c r="H29" s="409"/>
      <c r="I29" s="411"/>
      <c r="J29" s="411"/>
      <c r="K29" s="411"/>
      <c r="L29" s="411"/>
      <c r="M29" s="411"/>
      <c r="N29" s="411"/>
      <c r="O29" s="411"/>
      <c r="P29" s="411"/>
    </row>
    <row r="30" spans="1:16" ht="15.75" customHeight="1">
      <c r="A30" s="408"/>
      <c r="B30" s="413"/>
      <c r="C30" s="441" t="s">
        <v>795</v>
      </c>
      <c r="D30" s="442" t="s">
        <v>793</v>
      </c>
      <c r="E30" s="443">
        <v>18</v>
      </c>
      <c r="F30" s="444"/>
      <c r="G30" s="432" t="s">
        <v>796</v>
      </c>
      <c r="H30" s="409"/>
      <c r="I30" s="411"/>
      <c r="J30" s="411"/>
      <c r="K30" s="411"/>
      <c r="L30" s="411"/>
      <c r="M30" s="411"/>
      <c r="N30" s="411"/>
      <c r="O30" s="411"/>
      <c r="P30" s="411"/>
    </row>
    <row r="31" spans="1:16" ht="15.75" customHeight="1">
      <c r="A31" s="408"/>
      <c r="B31" s="413"/>
      <c r="C31" s="435" t="s">
        <v>797</v>
      </c>
      <c r="D31" s="436" t="s">
        <v>798</v>
      </c>
      <c r="E31" s="443">
        <v>130</v>
      </c>
      <c r="F31" s="438"/>
      <c r="G31" s="439" t="s">
        <v>799</v>
      </c>
      <c r="H31" s="409"/>
      <c r="I31" s="411"/>
      <c r="J31" s="411"/>
      <c r="K31" s="411"/>
      <c r="L31" s="411"/>
      <c r="M31" s="411"/>
      <c r="N31" s="411"/>
      <c r="O31" s="411"/>
      <c r="P31" s="411"/>
    </row>
    <row r="32" spans="1:16" ht="15.75" customHeight="1">
      <c r="A32" s="408"/>
      <c r="B32" s="413"/>
      <c r="C32" s="441" t="s">
        <v>800</v>
      </c>
      <c r="D32" s="442" t="s">
        <v>801</v>
      </c>
      <c r="E32" s="443">
        <v>6300</v>
      </c>
      <c r="F32" s="444"/>
      <c r="G32" s="432" t="s">
        <v>802</v>
      </c>
      <c r="H32" s="409"/>
      <c r="I32" s="411"/>
      <c r="J32" s="411"/>
      <c r="K32" s="411"/>
      <c r="L32" s="411"/>
      <c r="M32" s="411"/>
      <c r="N32" s="411"/>
      <c r="O32" s="411"/>
      <c r="P32" s="411"/>
    </row>
    <row r="33" spans="1:16" ht="15.75" customHeight="1">
      <c r="A33" s="408"/>
      <c r="B33" s="413"/>
      <c r="C33" s="441" t="s">
        <v>803</v>
      </c>
      <c r="D33" s="442" t="s">
        <v>336</v>
      </c>
      <c r="E33" s="467">
        <f>E31*E32</f>
        <v>819000</v>
      </c>
      <c r="F33" s="444" t="s">
        <v>804</v>
      </c>
      <c r="G33" s="432">
        <f>E31*E32</f>
        <v>819000</v>
      </c>
      <c r="H33" s="409"/>
      <c r="I33" s="411"/>
      <c r="J33" s="411"/>
      <c r="K33" s="411"/>
      <c r="L33" s="411"/>
      <c r="M33" s="411"/>
      <c r="N33" s="411"/>
      <c r="O33" s="411"/>
      <c r="P33" s="411"/>
    </row>
    <row r="34" spans="1:16" ht="15.75" customHeight="1">
      <c r="A34" s="408"/>
      <c r="B34" s="413"/>
      <c r="C34" s="435" t="s">
        <v>805</v>
      </c>
      <c r="D34" s="436" t="s">
        <v>336</v>
      </c>
      <c r="E34" s="467">
        <f>E33</f>
        <v>819000</v>
      </c>
      <c r="F34" s="438"/>
      <c r="G34" s="439" t="s">
        <v>806</v>
      </c>
      <c r="H34" s="409"/>
      <c r="I34" s="411"/>
      <c r="J34" s="411"/>
      <c r="K34" s="411"/>
      <c r="L34" s="411"/>
      <c r="M34" s="411"/>
      <c r="N34" s="411"/>
      <c r="O34" s="411"/>
      <c r="P34" s="411"/>
    </row>
    <row r="35" spans="1:16" ht="15.75" customHeight="1">
      <c r="A35" s="408"/>
      <c r="B35" s="413"/>
      <c r="C35" s="441" t="s">
        <v>807</v>
      </c>
      <c r="D35" s="442" t="s">
        <v>808</v>
      </c>
      <c r="E35" s="443">
        <v>3.5000000000000003E-2</v>
      </c>
      <c r="F35" s="444"/>
      <c r="G35" s="432" t="s">
        <v>809</v>
      </c>
      <c r="H35" s="409"/>
      <c r="I35" s="411"/>
      <c r="J35" s="411"/>
      <c r="K35" s="411"/>
      <c r="L35" s="411"/>
      <c r="M35" s="411"/>
      <c r="N35" s="411"/>
      <c r="O35" s="411"/>
      <c r="P35" s="411"/>
    </row>
    <row r="36" spans="1:16" ht="15.75" customHeight="1">
      <c r="A36" s="408"/>
      <c r="B36" s="413"/>
      <c r="C36" s="435" t="s">
        <v>429</v>
      </c>
      <c r="D36" s="436" t="s">
        <v>810</v>
      </c>
      <c r="E36" s="443">
        <v>0.15</v>
      </c>
      <c r="F36" s="438"/>
      <c r="G36" s="439" t="s">
        <v>811</v>
      </c>
      <c r="H36" s="409"/>
      <c r="I36" s="411"/>
      <c r="J36" s="411"/>
      <c r="K36" s="411"/>
      <c r="L36" s="411"/>
      <c r="M36" s="411"/>
      <c r="N36" s="411"/>
      <c r="O36" s="411"/>
      <c r="P36" s="411"/>
    </row>
    <row r="37" spans="1:16" ht="15.75" customHeight="1">
      <c r="A37" s="408"/>
      <c r="B37" s="413"/>
      <c r="C37" s="441" t="s">
        <v>812</v>
      </c>
      <c r="D37" s="442" t="s">
        <v>278</v>
      </c>
      <c r="E37" s="468">
        <f>EDATE(E26,E30)</f>
        <v>46966</v>
      </c>
      <c r="F37" s="444" t="s">
        <v>804</v>
      </c>
      <c r="G37" s="432" t="s">
        <v>813</v>
      </c>
      <c r="H37" s="409"/>
      <c r="I37" s="411"/>
      <c r="J37" s="411"/>
      <c r="K37" s="411"/>
      <c r="L37" s="411"/>
      <c r="M37" s="411"/>
      <c r="N37" s="411"/>
      <c r="O37" s="411"/>
      <c r="P37" s="411"/>
    </row>
    <row r="38" spans="1:16" ht="15.75" customHeight="1">
      <c r="A38" s="408"/>
      <c r="B38" s="413"/>
      <c r="C38" s="435" t="s">
        <v>814</v>
      </c>
      <c r="D38" s="436" t="s">
        <v>793</v>
      </c>
      <c r="E38" s="469">
        <v>48</v>
      </c>
      <c r="F38" s="438"/>
      <c r="G38" s="470" t="s">
        <v>815</v>
      </c>
      <c r="H38" s="409"/>
      <c r="I38" s="411"/>
      <c r="J38" s="411"/>
      <c r="K38" s="411"/>
      <c r="L38" s="411"/>
      <c r="M38" s="411"/>
      <c r="N38" s="411"/>
      <c r="O38" s="411"/>
      <c r="P38" s="411"/>
    </row>
    <row r="39" spans="1:16" ht="15.75" customHeight="1">
      <c r="A39" s="408"/>
      <c r="B39" s="413"/>
      <c r="C39" s="441" t="s">
        <v>816</v>
      </c>
      <c r="D39" s="442" t="s">
        <v>567</v>
      </c>
      <c r="E39" s="469">
        <v>0.5</v>
      </c>
      <c r="F39" s="444"/>
      <c r="G39" s="470" t="s">
        <v>817</v>
      </c>
      <c r="H39" s="409"/>
      <c r="I39" s="411"/>
      <c r="J39" s="411"/>
      <c r="K39" s="411"/>
      <c r="L39" s="411"/>
      <c r="M39" s="411"/>
      <c r="N39" s="411"/>
      <c r="O39" s="411"/>
      <c r="P39" s="411"/>
    </row>
    <row r="40" spans="1:16" ht="15.75" customHeight="1">
      <c r="A40" s="408"/>
      <c r="B40" s="413"/>
      <c r="C40" s="435" t="s">
        <v>818</v>
      </c>
      <c r="D40" s="436" t="s">
        <v>278</v>
      </c>
      <c r="E40" s="471">
        <f>EDATE($E$37,$E$38)</f>
        <v>48427</v>
      </c>
      <c r="F40" s="438"/>
      <c r="G40" s="470" t="s">
        <v>819</v>
      </c>
      <c r="H40" s="409"/>
      <c r="I40" s="411"/>
      <c r="J40" s="411"/>
      <c r="K40" s="411"/>
      <c r="L40" s="411"/>
      <c r="M40" s="411"/>
      <c r="N40" s="411"/>
      <c r="O40" s="411"/>
      <c r="P40" s="411"/>
    </row>
    <row r="41" spans="1:16" ht="15.75" customHeight="1">
      <c r="A41" s="408"/>
      <c r="B41" s="413"/>
      <c r="C41" s="441" t="s">
        <v>820</v>
      </c>
      <c r="D41" s="442" t="s">
        <v>339</v>
      </c>
      <c r="E41" s="443">
        <v>5</v>
      </c>
      <c r="F41" s="444"/>
      <c r="G41" s="432" t="s">
        <v>821</v>
      </c>
      <c r="H41" s="409"/>
      <c r="I41" s="411"/>
      <c r="J41" s="411"/>
      <c r="K41" s="411"/>
      <c r="L41" s="411"/>
      <c r="M41" s="411"/>
      <c r="N41" s="411"/>
      <c r="O41" s="411"/>
      <c r="P41" s="411"/>
    </row>
    <row r="42" spans="1:16" ht="15.75" customHeight="1">
      <c r="A42" s="408"/>
      <c r="B42" s="413"/>
      <c r="C42" s="435" t="s">
        <v>822</v>
      </c>
      <c r="D42" s="436" t="s">
        <v>793</v>
      </c>
      <c r="E42" s="443">
        <v>6</v>
      </c>
      <c r="F42" s="438"/>
      <c r="G42" s="439" t="s">
        <v>823</v>
      </c>
      <c r="H42" s="409"/>
      <c r="I42" s="411"/>
      <c r="J42" s="411"/>
      <c r="K42" s="411"/>
      <c r="L42" s="411"/>
      <c r="M42" s="411"/>
      <c r="N42" s="411"/>
      <c r="O42" s="411"/>
      <c r="P42" s="411"/>
    </row>
    <row r="43" spans="1:16" ht="15.75" customHeight="1">
      <c r="A43" s="408"/>
      <c r="B43" s="472"/>
      <c r="C43" s="441" t="s">
        <v>824</v>
      </c>
      <c r="D43" s="442" t="s">
        <v>762</v>
      </c>
      <c r="E43" s="443">
        <v>5</v>
      </c>
      <c r="F43" s="444"/>
      <c r="G43" s="473" t="s">
        <v>825</v>
      </c>
      <c r="H43" s="409"/>
      <c r="I43" s="411"/>
      <c r="J43" s="411"/>
      <c r="K43" s="411"/>
      <c r="L43" s="411"/>
      <c r="M43" s="411"/>
      <c r="N43" s="411"/>
      <c r="O43" s="411"/>
      <c r="P43" s="411"/>
    </row>
    <row r="44" spans="1:16" ht="15.75" customHeight="1">
      <c r="A44" s="408"/>
      <c r="B44" s="1418" t="s">
        <v>826</v>
      </c>
      <c r="C44" s="1419"/>
      <c r="D44" s="1419"/>
      <c r="E44" s="1419"/>
      <c r="F44" s="1419"/>
      <c r="G44" s="1420"/>
      <c r="H44" s="409"/>
      <c r="I44" s="411"/>
      <c r="J44" s="411"/>
      <c r="K44" s="411"/>
      <c r="L44" s="411"/>
      <c r="M44" s="411"/>
      <c r="N44" s="411"/>
      <c r="O44" s="411"/>
      <c r="P44" s="411"/>
    </row>
    <row r="45" spans="1:16" ht="19.5" customHeight="1">
      <c r="A45" s="408"/>
      <c r="B45" s="413"/>
      <c r="C45" s="428"/>
      <c r="D45" s="429"/>
      <c r="E45" s="466"/>
      <c r="F45" s="431"/>
      <c r="G45" s="432"/>
      <c r="H45" s="474"/>
      <c r="I45" s="411"/>
      <c r="J45" s="411"/>
      <c r="K45" s="411"/>
      <c r="L45" s="411"/>
      <c r="M45" s="411"/>
      <c r="N45" s="411"/>
      <c r="O45" s="411"/>
      <c r="P45" s="411"/>
    </row>
    <row r="46" spans="1:16" ht="15.75" customHeight="1">
      <c r="A46" s="408"/>
      <c r="B46" s="413"/>
      <c r="C46" s="189" t="s">
        <v>827</v>
      </c>
      <c r="D46" s="429"/>
      <c r="E46" s="466"/>
      <c r="F46" s="431"/>
      <c r="G46" s="432"/>
      <c r="H46" s="474"/>
      <c r="I46" s="411"/>
      <c r="J46" s="411"/>
      <c r="K46" s="411"/>
      <c r="L46" s="411"/>
      <c r="M46" s="411"/>
      <c r="N46" s="411"/>
      <c r="O46" s="411"/>
      <c r="P46" s="411"/>
    </row>
    <row r="47" spans="1:16" ht="15.75" customHeight="1">
      <c r="A47" s="408"/>
      <c r="B47" s="413"/>
      <c r="C47" s="428"/>
      <c r="D47" s="475" t="s">
        <v>686</v>
      </c>
      <c r="E47" s="476" t="s">
        <v>828</v>
      </c>
      <c r="F47" s="477" t="s">
        <v>829</v>
      </c>
      <c r="G47" s="478" t="s">
        <v>229</v>
      </c>
      <c r="H47" s="474"/>
      <c r="I47" s="411"/>
      <c r="J47" s="411"/>
      <c r="K47" s="411"/>
      <c r="L47" s="411"/>
      <c r="M47" s="411"/>
      <c r="N47" s="411"/>
      <c r="O47" s="411"/>
      <c r="P47" s="411"/>
    </row>
    <row r="48" spans="1:16" ht="15.75" customHeight="1">
      <c r="A48" s="408"/>
      <c r="B48" s="413"/>
      <c r="C48" s="428"/>
      <c r="D48" s="475"/>
      <c r="E48" s="476"/>
      <c r="F48" s="477"/>
      <c r="G48" s="478"/>
      <c r="H48" s="474"/>
      <c r="I48" s="411"/>
      <c r="J48" s="411"/>
      <c r="K48" s="411"/>
      <c r="L48" s="411"/>
      <c r="M48" s="411"/>
      <c r="N48" s="411"/>
      <c r="O48" s="411"/>
      <c r="P48" s="411"/>
    </row>
    <row r="49" spans="1:16" ht="15.75" customHeight="1">
      <c r="A49" s="408"/>
      <c r="B49" s="413"/>
      <c r="C49" s="189" t="s">
        <v>830</v>
      </c>
      <c r="D49" s="475"/>
      <c r="E49" s="476"/>
      <c r="F49" s="477"/>
      <c r="G49" s="478"/>
      <c r="H49" s="474"/>
      <c r="I49" s="411"/>
      <c r="J49" s="411"/>
      <c r="K49" s="411"/>
      <c r="L49" s="411"/>
      <c r="M49" s="411"/>
      <c r="N49" s="411"/>
      <c r="O49" s="411"/>
      <c r="P49" s="411"/>
    </row>
    <row r="50" spans="1:16" ht="15.75" customHeight="1">
      <c r="A50" s="408"/>
      <c r="B50" s="413"/>
      <c r="C50" s="428"/>
      <c r="D50" s="429" t="s">
        <v>831</v>
      </c>
      <c r="E50" s="479">
        <f>E66</f>
        <v>11856915</v>
      </c>
      <c r="F50" s="480">
        <f t="shared" ref="F50:F53" si="0">IFERROR(E50/$E$60,1)</f>
        <v>0.52706071694838574</v>
      </c>
      <c r="G50" s="432"/>
      <c r="H50" s="409"/>
      <c r="I50" s="411"/>
      <c r="J50" s="411"/>
      <c r="K50" s="411"/>
      <c r="L50" s="411"/>
      <c r="M50" s="411"/>
      <c r="N50" s="411"/>
      <c r="O50" s="411"/>
      <c r="P50" s="411"/>
    </row>
    <row r="51" spans="1:16" ht="15.75" customHeight="1">
      <c r="A51" s="408"/>
      <c r="B51" s="413"/>
      <c r="C51" s="428"/>
      <c r="D51" s="429" t="s">
        <v>832</v>
      </c>
      <c r="E51" s="479">
        <f>E96</f>
        <v>850000</v>
      </c>
      <c r="F51" s="480">
        <f t="shared" si="0"/>
        <v>3.7783994353179376E-2</v>
      </c>
      <c r="G51" s="432"/>
      <c r="H51" s="409"/>
      <c r="I51" s="411"/>
      <c r="J51" s="411"/>
      <c r="K51" s="411"/>
      <c r="L51" s="411"/>
      <c r="M51" s="411"/>
      <c r="N51" s="411"/>
      <c r="O51" s="411"/>
      <c r="P51" s="411"/>
    </row>
    <row r="52" spans="1:16" ht="15.75" customHeight="1">
      <c r="A52" s="408"/>
      <c r="B52" s="413"/>
      <c r="C52" s="189" t="s">
        <v>833</v>
      </c>
      <c r="D52" s="481" t="s">
        <v>834</v>
      </c>
      <c r="E52" s="482">
        <f>E34</f>
        <v>819000</v>
      </c>
      <c r="F52" s="480">
        <f t="shared" si="0"/>
        <v>3.6405989853239895E-2</v>
      </c>
      <c r="G52" s="432"/>
      <c r="H52" s="409"/>
      <c r="I52" s="411"/>
      <c r="J52" s="411"/>
      <c r="K52" s="411"/>
      <c r="L52" s="411"/>
      <c r="M52" s="411"/>
      <c r="N52" s="411"/>
      <c r="O52" s="411"/>
      <c r="P52" s="411"/>
    </row>
    <row r="53" spans="1:16" ht="15.75" customHeight="1">
      <c r="A53" s="408"/>
      <c r="B53" s="413"/>
      <c r="C53" s="428"/>
      <c r="D53" s="483" t="s">
        <v>835</v>
      </c>
      <c r="E53" s="482">
        <f>SUM(E50:E52)</f>
        <v>13525915</v>
      </c>
      <c r="F53" s="480">
        <f t="shared" si="0"/>
        <v>0.60125070115480495</v>
      </c>
      <c r="G53" s="432"/>
      <c r="H53" s="409"/>
      <c r="I53" s="411"/>
      <c r="J53" s="411"/>
      <c r="K53" s="411"/>
      <c r="L53" s="411"/>
      <c r="M53" s="411"/>
      <c r="N53" s="411"/>
      <c r="O53" s="411"/>
      <c r="P53" s="411"/>
    </row>
    <row r="54" spans="1:16" ht="15.75" customHeight="1">
      <c r="A54" s="408"/>
      <c r="B54" s="413"/>
      <c r="C54" s="189"/>
      <c r="D54" s="483"/>
      <c r="E54" s="484"/>
      <c r="F54" s="485"/>
      <c r="G54" s="432"/>
      <c r="H54" s="409"/>
      <c r="I54" s="411"/>
      <c r="J54" s="411"/>
      <c r="K54" s="411"/>
      <c r="L54" s="411"/>
      <c r="M54" s="411"/>
      <c r="N54" s="411"/>
      <c r="O54" s="411"/>
      <c r="P54" s="411"/>
    </row>
    <row r="55" spans="1:16" ht="15.75" customHeight="1">
      <c r="A55" s="408"/>
      <c r="B55" s="413"/>
      <c r="C55" s="428"/>
      <c r="D55" s="429"/>
      <c r="E55" s="486"/>
      <c r="F55" s="485"/>
      <c r="G55" s="432"/>
      <c r="H55" s="409"/>
      <c r="I55" s="411"/>
      <c r="J55" s="411"/>
      <c r="K55" s="411"/>
      <c r="L55" s="411"/>
      <c r="M55" s="411"/>
      <c r="N55" s="411"/>
      <c r="O55" s="411"/>
      <c r="P55" s="411"/>
    </row>
    <row r="56" spans="1:16" ht="15.75" customHeight="1">
      <c r="A56" s="408"/>
      <c r="B56" s="413"/>
      <c r="D56" s="487" t="str">
        <f>C114</f>
        <v>Initial Cash Inflow through advances/deposits via Partnerships</v>
      </c>
      <c r="E56" s="488">
        <f>E114</f>
        <v>1500000</v>
      </c>
      <c r="F56" s="480">
        <f t="shared" ref="F56:F58" si="1">IFERROR(E56/$E$60,1)</f>
        <v>6.6677637093845957E-2</v>
      </c>
      <c r="G56" s="432"/>
      <c r="H56" s="409"/>
      <c r="I56" s="411"/>
      <c r="J56" s="411"/>
      <c r="K56" s="411"/>
      <c r="L56" s="411"/>
      <c r="M56" s="411"/>
      <c r="N56" s="411"/>
      <c r="O56" s="411"/>
      <c r="P56" s="411"/>
    </row>
    <row r="57" spans="1:16" ht="15.75" customHeight="1">
      <c r="A57" s="408"/>
      <c r="B57" s="413"/>
      <c r="C57" s="489" t="s">
        <v>515</v>
      </c>
      <c r="D57" s="487" t="s">
        <v>217</v>
      </c>
      <c r="E57" s="488">
        <f>E118</f>
        <v>7470383.0899999999</v>
      </c>
      <c r="F57" s="480">
        <f t="shared" si="1"/>
        <v>0.33207166175134906</v>
      </c>
      <c r="G57" s="432"/>
      <c r="H57" s="409"/>
      <c r="I57" s="411"/>
      <c r="J57" s="411"/>
      <c r="K57" s="411"/>
      <c r="L57" s="411"/>
      <c r="M57" s="411"/>
      <c r="N57" s="411"/>
      <c r="O57" s="411"/>
      <c r="P57" s="411"/>
    </row>
    <row r="58" spans="1:16" ht="15.75" customHeight="1">
      <c r="A58" s="408"/>
      <c r="B58" s="413"/>
      <c r="C58" s="428"/>
      <c r="D58" s="429" t="s">
        <v>836</v>
      </c>
      <c r="E58" s="490">
        <f>E56+E57</f>
        <v>8970383.0899999999</v>
      </c>
      <c r="F58" s="480">
        <f t="shared" si="1"/>
        <v>0.398749298845195</v>
      </c>
      <c r="G58" s="432"/>
      <c r="H58" s="409"/>
      <c r="I58" s="411"/>
      <c r="J58" s="411"/>
      <c r="K58" s="411"/>
      <c r="L58" s="411"/>
      <c r="M58" s="411"/>
      <c r="N58" s="411"/>
      <c r="O58" s="411"/>
      <c r="P58" s="411"/>
    </row>
    <row r="59" spans="1:16" ht="15.75" customHeight="1">
      <c r="A59" s="408"/>
      <c r="B59" s="413"/>
      <c r="C59" s="428"/>
      <c r="D59" s="429"/>
      <c r="E59" s="466"/>
      <c r="F59" s="431"/>
      <c r="G59" s="432"/>
      <c r="H59" s="409"/>
      <c r="I59" s="411"/>
      <c r="J59" s="411"/>
      <c r="K59" s="411"/>
      <c r="L59" s="411"/>
      <c r="M59" s="411"/>
      <c r="N59" s="411"/>
      <c r="O59" s="411"/>
      <c r="P59" s="411"/>
    </row>
    <row r="60" spans="1:16" ht="15.75" customHeight="1">
      <c r="A60" s="408"/>
      <c r="B60" s="413"/>
      <c r="C60" s="491" t="s">
        <v>837</v>
      </c>
      <c r="D60" s="492" t="s">
        <v>838</v>
      </c>
      <c r="E60" s="493">
        <f>E53+E58</f>
        <v>22496298.09</v>
      </c>
      <c r="F60" s="480">
        <f>IFERROR(E60/$E$60,1)</f>
        <v>1</v>
      </c>
      <c r="G60" s="470" t="s">
        <v>839</v>
      </c>
      <c r="H60" s="409"/>
      <c r="I60" s="411"/>
      <c r="J60" s="411"/>
      <c r="K60" s="411"/>
      <c r="L60" s="411"/>
      <c r="M60" s="411"/>
      <c r="N60" s="411"/>
      <c r="O60" s="411"/>
      <c r="P60" s="411"/>
    </row>
    <row r="61" spans="1:16" ht="15.75" customHeight="1">
      <c r="A61" s="408"/>
      <c r="B61" s="413"/>
      <c r="C61" s="428"/>
      <c r="D61" s="429"/>
      <c r="E61" s="466"/>
      <c r="F61" s="494"/>
      <c r="G61" s="432"/>
      <c r="H61" s="409"/>
      <c r="I61" s="411"/>
      <c r="J61" s="411"/>
      <c r="K61" s="411"/>
      <c r="L61" s="411"/>
      <c r="M61" s="411"/>
      <c r="N61" s="411"/>
      <c r="O61" s="411"/>
      <c r="P61" s="411"/>
    </row>
    <row r="62" spans="1:16" ht="15.75" customHeight="1">
      <c r="A62" s="408"/>
      <c r="B62" s="413"/>
      <c r="C62" s="495" t="s">
        <v>840</v>
      </c>
      <c r="D62" s="496"/>
      <c r="E62" s="497"/>
      <c r="F62" s="498"/>
      <c r="G62" s="499"/>
      <c r="H62" s="409"/>
      <c r="I62" s="411"/>
      <c r="J62" s="411"/>
      <c r="K62" s="411"/>
      <c r="L62" s="411"/>
      <c r="M62" s="411"/>
      <c r="N62" s="411"/>
      <c r="O62" s="411"/>
      <c r="P62" s="411"/>
    </row>
    <row r="63" spans="1:16" ht="15.75" customHeight="1">
      <c r="A63" s="408"/>
      <c r="B63" s="413"/>
      <c r="C63" s="441" t="s">
        <v>841</v>
      </c>
      <c r="D63" s="442" t="s">
        <v>808</v>
      </c>
      <c r="E63" s="500">
        <v>0.08</v>
      </c>
      <c r="F63" s="444"/>
      <c r="G63" s="432" t="s">
        <v>842</v>
      </c>
      <c r="H63" s="409"/>
      <c r="I63" s="411"/>
      <c r="J63" s="411"/>
      <c r="K63" s="411"/>
      <c r="L63" s="411"/>
      <c r="M63" s="411"/>
      <c r="N63" s="411"/>
      <c r="O63" s="411"/>
      <c r="P63" s="411"/>
    </row>
    <row r="64" spans="1:16" ht="15.75" customHeight="1">
      <c r="A64" s="408"/>
      <c r="B64" s="413"/>
      <c r="C64" s="441" t="s">
        <v>843</v>
      </c>
      <c r="D64" s="442" t="s">
        <v>762</v>
      </c>
      <c r="E64" s="443">
        <v>10</v>
      </c>
      <c r="F64" s="444"/>
      <c r="G64" s="432" t="s">
        <v>844</v>
      </c>
      <c r="H64" s="409"/>
      <c r="I64" s="411"/>
      <c r="J64" s="411"/>
      <c r="K64" s="411"/>
      <c r="L64" s="411"/>
      <c r="M64" s="411"/>
      <c r="N64" s="411"/>
      <c r="O64" s="411"/>
      <c r="P64" s="411"/>
    </row>
    <row r="65" spans="1:16" ht="15.75" customHeight="1">
      <c r="A65" s="408"/>
      <c r="B65" s="413"/>
      <c r="C65" s="441" t="s">
        <v>845</v>
      </c>
      <c r="D65" s="442" t="s">
        <v>328</v>
      </c>
      <c r="E65" s="500">
        <v>0.6</v>
      </c>
      <c r="F65" s="444"/>
      <c r="G65" s="432" t="s">
        <v>846</v>
      </c>
      <c r="H65" s="409"/>
      <c r="I65" s="411"/>
      <c r="J65" s="411"/>
      <c r="K65" s="411"/>
      <c r="L65" s="411"/>
      <c r="M65" s="411"/>
      <c r="N65" s="411"/>
      <c r="O65" s="411"/>
      <c r="P65" s="411"/>
    </row>
    <row r="66" spans="1:16" ht="15.75" customHeight="1">
      <c r="A66" s="408"/>
      <c r="B66" s="413"/>
      <c r="C66" s="441" t="s">
        <v>847</v>
      </c>
      <c r="D66" s="442" t="s">
        <v>336</v>
      </c>
      <c r="E66" s="501">
        <f>E65*E159</f>
        <v>11856915</v>
      </c>
      <c r="F66" s="444" t="s">
        <v>804</v>
      </c>
      <c r="G66" s="432" t="s">
        <v>848</v>
      </c>
      <c r="H66" s="409"/>
      <c r="I66" s="411"/>
      <c r="J66" s="411"/>
      <c r="K66" s="411"/>
      <c r="L66" s="411"/>
      <c r="M66" s="411"/>
      <c r="N66" s="411"/>
      <c r="O66" s="411"/>
      <c r="P66" s="411"/>
    </row>
    <row r="67" spans="1:16" ht="15.75" customHeight="1">
      <c r="A67" s="408"/>
      <c r="B67" s="413"/>
      <c r="C67" s="441" t="s">
        <v>849</v>
      </c>
      <c r="D67" s="442"/>
      <c r="E67" s="443" t="s">
        <v>850</v>
      </c>
      <c r="F67" s="444"/>
      <c r="G67" s="432" t="s">
        <v>851</v>
      </c>
      <c r="H67" s="409"/>
      <c r="I67" s="411"/>
      <c r="J67" s="411"/>
      <c r="K67" s="411"/>
      <c r="L67" s="411"/>
      <c r="M67" s="411"/>
      <c r="N67" s="411"/>
      <c r="O67" s="411"/>
      <c r="P67" s="411"/>
    </row>
    <row r="68" spans="1:16" ht="15.75" customHeight="1">
      <c r="A68" s="408"/>
      <c r="B68" s="413"/>
      <c r="C68" s="441" t="s">
        <v>852</v>
      </c>
      <c r="D68" s="442" t="s">
        <v>192</v>
      </c>
      <c r="E68" s="443" t="s">
        <v>152</v>
      </c>
      <c r="F68" s="444"/>
      <c r="G68" s="432" t="s">
        <v>853</v>
      </c>
      <c r="H68" s="409"/>
      <c r="I68" s="411"/>
      <c r="J68" s="411"/>
      <c r="K68" s="411"/>
      <c r="L68" s="411"/>
      <c r="M68" s="411"/>
      <c r="N68" s="411"/>
      <c r="O68" s="411"/>
      <c r="P68" s="411"/>
    </row>
    <row r="69" spans="1:16" ht="15.75" customHeight="1">
      <c r="A69" s="408"/>
      <c r="B69" s="413"/>
      <c r="C69" s="441" t="s">
        <v>854</v>
      </c>
      <c r="D69" s="442" t="s">
        <v>793</v>
      </c>
      <c r="E69" s="443">
        <v>18</v>
      </c>
      <c r="F69" s="444"/>
      <c r="G69" s="432" t="s">
        <v>855</v>
      </c>
      <c r="H69" s="409"/>
      <c r="I69" s="411"/>
      <c r="J69" s="411"/>
      <c r="K69" s="411"/>
      <c r="L69" s="411"/>
      <c r="M69" s="411"/>
      <c r="N69" s="411"/>
      <c r="O69" s="411"/>
      <c r="P69" s="411"/>
    </row>
    <row r="70" spans="1:16" ht="15.75" customHeight="1">
      <c r="A70" s="408"/>
      <c r="B70" s="413"/>
      <c r="C70" s="441"/>
      <c r="D70" s="442"/>
      <c r="E70" s="447"/>
      <c r="F70" s="444"/>
      <c r="G70" s="432"/>
      <c r="H70" s="409"/>
      <c r="I70" s="411"/>
      <c r="J70" s="411"/>
      <c r="K70" s="411"/>
      <c r="L70" s="411"/>
      <c r="M70" s="411"/>
      <c r="N70" s="411"/>
      <c r="O70" s="411"/>
      <c r="P70" s="411"/>
    </row>
    <row r="71" spans="1:16" ht="15.75" customHeight="1">
      <c r="A71" s="408"/>
      <c r="B71" s="413"/>
      <c r="C71" s="495" t="s">
        <v>856</v>
      </c>
      <c r="D71" s="496"/>
      <c r="E71" s="497"/>
      <c r="F71" s="498"/>
      <c r="G71" s="499" t="s">
        <v>857</v>
      </c>
      <c r="H71" s="409"/>
      <c r="I71" s="411"/>
      <c r="J71" s="411"/>
      <c r="K71" s="411"/>
      <c r="L71" s="411"/>
      <c r="M71" s="411"/>
      <c r="N71" s="411"/>
      <c r="O71" s="411"/>
      <c r="P71" s="411"/>
    </row>
    <row r="72" spans="1:16" ht="15.75" customHeight="1">
      <c r="A72" s="408"/>
      <c r="B72" s="413"/>
      <c r="C72" s="441" t="s">
        <v>841</v>
      </c>
      <c r="D72" s="442" t="s">
        <v>808</v>
      </c>
      <c r="E72" s="502">
        <v>0.12</v>
      </c>
      <c r="F72" s="444"/>
      <c r="G72" s="432" t="s">
        <v>858</v>
      </c>
      <c r="H72" s="409"/>
      <c r="I72" s="411"/>
      <c r="J72" s="411"/>
      <c r="K72" s="411"/>
      <c r="L72" s="411"/>
      <c r="M72" s="411"/>
      <c r="N72" s="411"/>
      <c r="O72" s="411"/>
      <c r="P72" s="411"/>
    </row>
    <row r="73" spans="1:16" ht="15.75" customHeight="1">
      <c r="A73" s="408"/>
      <c r="B73" s="413"/>
      <c r="C73" s="441" t="s">
        <v>843</v>
      </c>
      <c r="D73" s="442" t="s">
        <v>762</v>
      </c>
      <c r="E73" s="443">
        <v>10</v>
      </c>
      <c r="F73" s="444"/>
      <c r="G73" s="432" t="s">
        <v>859</v>
      </c>
      <c r="H73" s="409"/>
      <c r="I73" s="411"/>
      <c r="J73" s="411"/>
      <c r="K73" s="411"/>
      <c r="L73" s="411"/>
      <c r="M73" s="411"/>
      <c r="N73" s="411"/>
      <c r="O73" s="411"/>
      <c r="P73" s="411"/>
    </row>
    <row r="74" spans="1:16" ht="15.75" customHeight="1">
      <c r="A74" s="408"/>
      <c r="B74" s="413"/>
      <c r="C74" s="441" t="s">
        <v>845</v>
      </c>
      <c r="D74" s="442" t="s">
        <v>328</v>
      </c>
      <c r="E74" s="502">
        <v>0</v>
      </c>
      <c r="F74" s="444"/>
      <c r="G74" s="432" t="s">
        <v>860</v>
      </c>
      <c r="H74" s="409"/>
      <c r="I74" s="411"/>
      <c r="J74" s="411"/>
      <c r="K74" s="411"/>
      <c r="L74" s="411"/>
      <c r="M74" s="411"/>
      <c r="N74" s="411"/>
      <c r="O74" s="411"/>
      <c r="P74" s="411"/>
    </row>
    <row r="75" spans="1:16" ht="15.75" customHeight="1">
      <c r="A75" s="408"/>
      <c r="B75" s="413"/>
      <c r="C75" s="441" t="s">
        <v>847</v>
      </c>
      <c r="D75" s="442" t="s">
        <v>336</v>
      </c>
      <c r="E75" s="503">
        <f>(E74*E159)*0</f>
        <v>0</v>
      </c>
      <c r="F75" s="444" t="s">
        <v>804</v>
      </c>
      <c r="G75" s="432" t="s">
        <v>848</v>
      </c>
      <c r="H75" s="409"/>
      <c r="I75" s="411"/>
      <c r="J75" s="411"/>
      <c r="K75" s="411"/>
      <c r="L75" s="411"/>
      <c r="M75" s="411"/>
      <c r="N75" s="411"/>
      <c r="O75" s="411"/>
      <c r="P75" s="411"/>
    </row>
    <row r="76" spans="1:16" ht="15.75" customHeight="1">
      <c r="A76" s="408"/>
      <c r="B76" s="413"/>
      <c r="C76" s="441" t="s">
        <v>849</v>
      </c>
      <c r="D76" s="442"/>
      <c r="E76" s="443" t="s">
        <v>850</v>
      </c>
      <c r="F76" s="444"/>
      <c r="G76" s="432" t="s">
        <v>851</v>
      </c>
      <c r="H76" s="409"/>
      <c r="I76" s="411"/>
      <c r="J76" s="411"/>
      <c r="K76" s="411"/>
      <c r="L76" s="411"/>
      <c r="M76" s="411"/>
      <c r="N76" s="411"/>
      <c r="O76" s="411"/>
      <c r="P76" s="411"/>
    </row>
    <row r="77" spans="1:16" ht="15.75" customHeight="1">
      <c r="A77" s="408"/>
      <c r="B77" s="413"/>
      <c r="C77" s="441" t="s">
        <v>852</v>
      </c>
      <c r="D77" s="442" t="s">
        <v>192</v>
      </c>
      <c r="E77" s="443" t="s">
        <v>152</v>
      </c>
      <c r="F77" s="444"/>
      <c r="G77" s="432" t="s">
        <v>853</v>
      </c>
      <c r="H77" s="409"/>
      <c r="I77" s="411"/>
      <c r="J77" s="411"/>
      <c r="K77" s="411"/>
      <c r="L77" s="411"/>
      <c r="M77" s="411"/>
      <c r="N77" s="411"/>
      <c r="O77" s="411"/>
      <c r="P77" s="411"/>
    </row>
    <row r="78" spans="1:16" ht="15.75" customHeight="1">
      <c r="A78" s="408"/>
      <c r="B78" s="413"/>
      <c r="C78" s="441"/>
      <c r="D78" s="442"/>
      <c r="E78" s="447"/>
      <c r="F78" s="444"/>
      <c r="G78" s="432"/>
      <c r="H78" s="409"/>
      <c r="I78" s="411"/>
      <c r="J78" s="411"/>
      <c r="K78" s="411"/>
      <c r="L78" s="411"/>
      <c r="M78" s="411"/>
      <c r="N78" s="411"/>
      <c r="O78" s="411"/>
      <c r="P78" s="411"/>
    </row>
    <row r="79" spans="1:16" ht="15.75" customHeight="1">
      <c r="A79" s="408"/>
      <c r="B79" s="413"/>
      <c r="C79" s="504" t="s">
        <v>861</v>
      </c>
      <c r="D79" s="504"/>
      <c r="E79" s="504"/>
      <c r="F79" s="504"/>
      <c r="G79" s="505"/>
      <c r="H79" s="409"/>
      <c r="I79" s="411"/>
      <c r="J79" s="411"/>
      <c r="K79" s="411"/>
      <c r="L79" s="411"/>
      <c r="M79" s="411"/>
      <c r="N79" s="411"/>
      <c r="O79" s="411"/>
      <c r="P79" s="411"/>
    </row>
    <row r="80" spans="1:16" ht="15.75" customHeight="1">
      <c r="A80" s="408"/>
      <c r="B80" s="413"/>
      <c r="C80" s="408" t="s">
        <v>862</v>
      </c>
      <c r="D80" s="506"/>
      <c r="E80" s="507"/>
      <c r="F80" s="508"/>
      <c r="G80" s="470"/>
      <c r="H80" s="409"/>
      <c r="I80" s="411"/>
      <c r="J80" s="411"/>
      <c r="K80" s="411"/>
      <c r="L80" s="411"/>
      <c r="M80" s="411"/>
      <c r="N80" s="411"/>
      <c r="O80" s="411"/>
      <c r="P80" s="411"/>
    </row>
    <row r="81" spans="1:16" ht="15.75" customHeight="1">
      <c r="A81" s="408"/>
      <c r="B81" s="413"/>
      <c r="C81" s="491"/>
      <c r="D81" s="506"/>
      <c r="E81" s="507"/>
      <c r="F81" s="508"/>
      <c r="G81" s="470"/>
      <c r="H81" s="409"/>
      <c r="I81" s="411"/>
      <c r="J81" s="411"/>
      <c r="K81" s="411"/>
      <c r="L81" s="411"/>
      <c r="M81" s="411"/>
      <c r="N81" s="411"/>
      <c r="O81" s="411"/>
      <c r="P81" s="411"/>
    </row>
    <row r="82" spans="1:16" ht="15.75" customHeight="1">
      <c r="A82" s="408"/>
      <c r="B82" s="413"/>
      <c r="C82" s="491" t="s">
        <v>863</v>
      </c>
      <c r="D82" s="506" t="s">
        <v>864</v>
      </c>
      <c r="E82" s="469">
        <v>1</v>
      </c>
      <c r="F82" s="508"/>
      <c r="G82" s="470" t="s">
        <v>865</v>
      </c>
      <c r="H82" s="409"/>
      <c r="I82" s="411"/>
      <c r="J82" s="411"/>
      <c r="K82" s="411"/>
      <c r="L82" s="411"/>
      <c r="M82" s="411"/>
      <c r="N82" s="411"/>
      <c r="O82" s="411"/>
      <c r="P82" s="411"/>
    </row>
    <row r="83" spans="1:16" ht="15.75" customHeight="1">
      <c r="A83" s="408"/>
      <c r="B83" s="413"/>
      <c r="C83" s="491" t="s">
        <v>841</v>
      </c>
      <c r="D83" s="506" t="s">
        <v>808</v>
      </c>
      <c r="E83" s="509">
        <v>8.5000000000000006E-2</v>
      </c>
      <c r="F83" s="508"/>
      <c r="G83" s="470" t="s">
        <v>866</v>
      </c>
      <c r="H83" s="409"/>
      <c r="I83" s="411"/>
      <c r="J83" s="411"/>
      <c r="K83" s="411"/>
      <c r="L83" s="411"/>
      <c r="M83" s="411"/>
      <c r="N83" s="411"/>
      <c r="O83" s="411"/>
      <c r="P83" s="411"/>
    </row>
    <row r="84" spans="1:16" ht="15.75" customHeight="1">
      <c r="A84" s="408"/>
      <c r="B84" s="413"/>
      <c r="C84" s="491" t="s">
        <v>867</v>
      </c>
      <c r="D84" s="506" t="s">
        <v>808</v>
      </c>
      <c r="E84" s="509">
        <v>0.01</v>
      </c>
      <c r="F84" s="508"/>
      <c r="G84" s="470" t="s">
        <v>868</v>
      </c>
      <c r="H84" s="409"/>
      <c r="I84" s="411"/>
      <c r="J84" s="411"/>
      <c r="K84" s="411"/>
      <c r="L84" s="411"/>
      <c r="M84" s="411"/>
      <c r="N84" s="411"/>
      <c r="O84" s="411"/>
      <c r="P84" s="411"/>
    </row>
    <row r="85" spans="1:16" ht="15.75" customHeight="1">
      <c r="A85" s="408"/>
      <c r="B85" s="413"/>
      <c r="C85" s="491"/>
      <c r="D85" s="506"/>
      <c r="E85" s="510"/>
      <c r="F85" s="508"/>
      <c r="G85" s="470"/>
      <c r="H85" s="409"/>
      <c r="I85" s="411"/>
      <c r="J85" s="411"/>
      <c r="K85" s="411"/>
      <c r="L85" s="411"/>
      <c r="M85" s="411"/>
      <c r="N85" s="411"/>
      <c r="O85" s="411"/>
      <c r="P85" s="411"/>
    </row>
    <row r="86" spans="1:16" ht="15.75" customHeight="1">
      <c r="A86" s="408"/>
      <c r="B86" s="413"/>
      <c r="C86" s="491"/>
      <c r="D86" s="506"/>
      <c r="E86" s="507"/>
      <c r="F86" s="508"/>
      <c r="G86" s="470"/>
      <c r="H86" s="409"/>
      <c r="I86" s="411"/>
      <c r="J86" s="411"/>
      <c r="K86" s="411"/>
      <c r="L86" s="411"/>
      <c r="M86" s="411"/>
      <c r="N86" s="411"/>
      <c r="O86" s="411"/>
      <c r="P86" s="411"/>
    </row>
    <row r="87" spans="1:16" ht="15.75" customHeight="1">
      <c r="A87" s="408"/>
      <c r="B87" s="413"/>
      <c r="C87" s="491" t="s">
        <v>869</v>
      </c>
      <c r="D87" s="506" t="s">
        <v>278</v>
      </c>
      <c r="E87" s="471">
        <v>46327</v>
      </c>
      <c r="F87" s="508"/>
      <c r="G87" s="470" t="s">
        <v>870</v>
      </c>
      <c r="H87" s="409"/>
      <c r="I87" s="411"/>
      <c r="J87" s="411"/>
      <c r="K87" s="411"/>
      <c r="L87" s="411"/>
      <c r="M87" s="411"/>
      <c r="N87" s="411"/>
      <c r="O87" s="411"/>
      <c r="P87" s="411"/>
    </row>
    <row r="88" spans="1:16" ht="15.75" customHeight="1">
      <c r="A88" s="408"/>
      <c r="B88" s="413"/>
      <c r="C88" s="491" t="s">
        <v>871</v>
      </c>
      <c r="D88" s="506" t="s">
        <v>278</v>
      </c>
      <c r="E88" s="471">
        <v>46569</v>
      </c>
      <c r="F88" s="508"/>
      <c r="G88" s="470" t="s">
        <v>872</v>
      </c>
      <c r="H88" s="409"/>
      <c r="I88" s="411"/>
      <c r="J88" s="411"/>
      <c r="K88" s="411"/>
      <c r="L88" s="411"/>
      <c r="M88" s="411"/>
      <c r="N88" s="411"/>
      <c r="O88" s="411"/>
      <c r="P88" s="411"/>
    </row>
    <row r="89" spans="1:16" ht="15.75" customHeight="1">
      <c r="A89" s="408"/>
      <c r="B89" s="413"/>
      <c r="C89" s="491" t="s">
        <v>873</v>
      </c>
      <c r="D89" s="506" t="s">
        <v>278</v>
      </c>
      <c r="E89" s="471">
        <v>46569</v>
      </c>
      <c r="F89" s="508"/>
      <c r="G89" s="470" t="s">
        <v>874</v>
      </c>
      <c r="H89" s="409"/>
      <c r="I89" s="411"/>
      <c r="J89" s="411"/>
      <c r="K89" s="411"/>
      <c r="L89" s="411"/>
      <c r="M89" s="411"/>
      <c r="N89" s="411"/>
      <c r="O89" s="411"/>
      <c r="P89" s="411"/>
    </row>
    <row r="90" spans="1:16" ht="15.75" customHeight="1">
      <c r="A90" s="408"/>
      <c r="B90" s="413"/>
      <c r="C90" s="491" t="s">
        <v>875</v>
      </c>
      <c r="D90" s="506" t="s">
        <v>278</v>
      </c>
      <c r="E90" s="471">
        <v>46934</v>
      </c>
      <c r="F90" s="508"/>
      <c r="G90" s="470" t="s">
        <v>876</v>
      </c>
      <c r="H90" s="409"/>
      <c r="I90" s="411"/>
      <c r="J90" s="411"/>
      <c r="K90" s="411"/>
      <c r="L90" s="411"/>
      <c r="M90" s="411"/>
      <c r="N90" s="411"/>
      <c r="O90" s="411"/>
      <c r="P90" s="411"/>
    </row>
    <row r="91" spans="1:16" ht="15.75" customHeight="1">
      <c r="A91" s="408"/>
      <c r="B91" s="413"/>
      <c r="C91" s="491"/>
      <c r="D91" s="506"/>
      <c r="E91" s="511"/>
      <c r="F91" s="508"/>
      <c r="G91" s="470"/>
      <c r="H91" s="409"/>
      <c r="I91" s="411"/>
      <c r="J91" s="411"/>
      <c r="K91" s="411"/>
      <c r="L91" s="411"/>
      <c r="M91" s="411"/>
      <c r="N91" s="411"/>
      <c r="O91" s="411"/>
      <c r="P91" s="411"/>
    </row>
    <row r="92" spans="1:16" ht="15.75" customHeight="1">
      <c r="A92" s="408"/>
      <c r="B92" s="413"/>
      <c r="C92" s="491" t="s">
        <v>877</v>
      </c>
      <c r="D92" s="506" t="s">
        <v>336</v>
      </c>
      <c r="E92" s="512">
        <v>50000</v>
      </c>
      <c r="F92" s="508"/>
      <c r="G92" s="470" t="s">
        <v>878</v>
      </c>
      <c r="H92" s="409"/>
      <c r="I92" s="411"/>
      <c r="J92" s="411"/>
      <c r="K92" s="411"/>
      <c r="L92" s="411"/>
      <c r="M92" s="411"/>
      <c r="N92" s="411"/>
      <c r="O92" s="411"/>
      <c r="P92" s="411"/>
    </row>
    <row r="93" spans="1:16" ht="15.75" customHeight="1">
      <c r="A93" s="408"/>
      <c r="B93" s="413"/>
      <c r="C93" s="491" t="s">
        <v>879</v>
      </c>
      <c r="D93" s="506" t="s">
        <v>880</v>
      </c>
      <c r="E93" s="511" t="s">
        <v>881</v>
      </c>
      <c r="F93" s="508"/>
      <c r="G93" s="470" t="s">
        <v>882</v>
      </c>
      <c r="H93" s="409"/>
      <c r="I93" s="411"/>
      <c r="J93" s="411"/>
      <c r="K93" s="411"/>
      <c r="L93" s="411"/>
      <c r="M93" s="411"/>
      <c r="N93" s="411"/>
      <c r="O93" s="411"/>
      <c r="P93" s="411"/>
    </row>
    <row r="94" spans="1:16" ht="15.75" customHeight="1">
      <c r="A94" s="408"/>
      <c r="B94" s="413"/>
      <c r="C94" s="491" t="s">
        <v>883</v>
      </c>
      <c r="D94" s="506" t="s">
        <v>336</v>
      </c>
      <c r="E94" s="512">
        <v>850000</v>
      </c>
      <c r="F94" s="508"/>
      <c r="G94" s="470" t="s">
        <v>884</v>
      </c>
      <c r="H94" s="409"/>
      <c r="I94" s="411"/>
      <c r="J94" s="411"/>
      <c r="K94" s="411"/>
      <c r="L94" s="411"/>
      <c r="M94" s="411"/>
      <c r="N94" s="411"/>
      <c r="O94" s="411"/>
      <c r="P94" s="411"/>
    </row>
    <row r="95" spans="1:16" ht="15.75" customHeight="1">
      <c r="A95" s="408"/>
      <c r="B95" s="413"/>
      <c r="C95" s="491" t="s">
        <v>885</v>
      </c>
      <c r="D95" s="506" t="s">
        <v>886</v>
      </c>
      <c r="E95" s="512">
        <v>0</v>
      </c>
      <c r="F95" s="508"/>
      <c r="G95" s="470" t="s">
        <v>887</v>
      </c>
      <c r="H95" s="409"/>
      <c r="I95" s="411"/>
      <c r="J95" s="411"/>
      <c r="K95" s="411"/>
      <c r="L95" s="411"/>
      <c r="M95" s="411"/>
      <c r="N95" s="411"/>
      <c r="O95" s="411"/>
      <c r="P95" s="411"/>
    </row>
    <row r="96" spans="1:16" ht="15.75" customHeight="1">
      <c r="A96" s="408"/>
      <c r="B96" s="413"/>
      <c r="C96" s="491" t="s">
        <v>888</v>
      </c>
      <c r="D96" s="506" t="s">
        <v>336</v>
      </c>
      <c r="E96" s="513">
        <v>850000</v>
      </c>
      <c r="F96" s="508" t="s">
        <v>804</v>
      </c>
      <c r="G96" s="514" t="s">
        <v>889</v>
      </c>
      <c r="H96" s="409"/>
      <c r="I96" s="411"/>
      <c r="J96" s="411"/>
      <c r="K96" s="411"/>
      <c r="L96" s="411"/>
      <c r="M96" s="411"/>
      <c r="N96" s="411"/>
      <c r="O96" s="411"/>
      <c r="P96" s="411"/>
    </row>
    <row r="97" spans="1:16" ht="15.75" customHeight="1">
      <c r="A97" s="408"/>
      <c r="B97" s="413"/>
      <c r="C97" s="491" t="s">
        <v>890</v>
      </c>
      <c r="D97" s="506" t="s">
        <v>864</v>
      </c>
      <c r="E97" s="469">
        <v>1</v>
      </c>
      <c r="F97" s="508"/>
      <c r="G97" s="470" t="s">
        <v>891</v>
      </c>
      <c r="H97" s="409"/>
      <c r="I97" s="411"/>
      <c r="J97" s="411"/>
      <c r="K97" s="411"/>
      <c r="L97" s="411"/>
      <c r="M97" s="411"/>
      <c r="N97" s="411"/>
      <c r="O97" s="411"/>
      <c r="P97" s="411"/>
    </row>
    <row r="98" spans="1:16" ht="15.75" customHeight="1">
      <c r="A98" s="408"/>
      <c r="B98" s="413"/>
      <c r="C98" s="491"/>
      <c r="D98" s="506"/>
      <c r="E98" s="507"/>
      <c r="F98" s="508"/>
      <c r="G98" s="470"/>
      <c r="H98" s="409"/>
      <c r="I98" s="411"/>
      <c r="J98" s="411"/>
      <c r="K98" s="411"/>
      <c r="L98" s="411"/>
      <c r="M98" s="411"/>
      <c r="N98" s="411"/>
      <c r="O98" s="411"/>
      <c r="P98" s="411"/>
    </row>
    <row r="99" spans="1:16" ht="15.75" customHeight="1">
      <c r="A99" s="408"/>
      <c r="B99" s="413"/>
      <c r="C99" s="491" t="s">
        <v>892</v>
      </c>
      <c r="D99" s="506"/>
      <c r="E99" s="507"/>
      <c r="F99" s="508"/>
      <c r="G99" s="470"/>
      <c r="H99" s="409"/>
      <c r="I99" s="411"/>
      <c r="J99" s="411"/>
      <c r="K99" s="411"/>
      <c r="L99" s="411"/>
      <c r="M99" s="411"/>
      <c r="N99" s="411"/>
      <c r="O99" s="411"/>
      <c r="P99" s="411"/>
    </row>
    <row r="100" spans="1:16" ht="15.75" customHeight="1">
      <c r="A100" s="408"/>
      <c r="B100" s="413"/>
      <c r="C100" s="491"/>
      <c r="D100" s="506"/>
      <c r="E100" s="469"/>
      <c r="F100" s="508"/>
      <c r="G100" s="470"/>
      <c r="H100" s="409"/>
      <c r="I100" s="411"/>
      <c r="J100" s="411"/>
      <c r="K100" s="411"/>
      <c r="L100" s="411"/>
      <c r="M100" s="411"/>
      <c r="N100" s="411"/>
      <c r="O100" s="411"/>
      <c r="P100" s="411"/>
    </row>
    <row r="101" spans="1:16" ht="15.75" customHeight="1">
      <c r="A101" s="408"/>
      <c r="B101" s="413"/>
      <c r="C101" s="491"/>
      <c r="D101" s="506"/>
      <c r="E101" s="469"/>
      <c r="F101" s="508"/>
      <c r="G101" s="470"/>
      <c r="H101" s="409"/>
      <c r="I101" s="411"/>
      <c r="J101" s="411"/>
      <c r="K101" s="411"/>
      <c r="L101" s="411"/>
      <c r="M101" s="411"/>
      <c r="N101" s="411"/>
      <c r="O101" s="411"/>
      <c r="P101" s="411"/>
    </row>
    <row r="102" spans="1:16" ht="15.75" customHeight="1">
      <c r="A102" s="408"/>
      <c r="B102" s="413"/>
      <c r="C102" s="491"/>
      <c r="D102" s="506"/>
      <c r="E102" s="469"/>
      <c r="F102" s="508"/>
      <c r="G102" s="470"/>
      <c r="H102" s="409"/>
      <c r="I102" s="411"/>
      <c r="J102" s="411"/>
      <c r="K102" s="411"/>
      <c r="L102" s="411"/>
      <c r="M102" s="411"/>
      <c r="N102" s="411"/>
      <c r="O102" s="411"/>
      <c r="P102" s="411"/>
    </row>
    <row r="103" spans="1:16" ht="15.75" customHeight="1">
      <c r="A103" s="408"/>
      <c r="B103" s="413"/>
      <c r="C103" s="491"/>
      <c r="D103" s="506"/>
      <c r="E103" s="469"/>
      <c r="F103" s="508"/>
      <c r="G103" s="470"/>
      <c r="H103" s="409"/>
      <c r="I103" s="411"/>
      <c r="J103" s="411"/>
      <c r="K103" s="411"/>
      <c r="L103" s="411"/>
      <c r="M103" s="411"/>
      <c r="N103" s="411"/>
      <c r="O103" s="411"/>
      <c r="P103" s="411"/>
    </row>
    <row r="104" spans="1:16" ht="15.75" customHeight="1">
      <c r="A104" s="408"/>
      <c r="B104" s="413"/>
      <c r="C104" s="491"/>
      <c r="D104" s="506"/>
      <c r="E104" s="515"/>
      <c r="F104" s="508"/>
      <c r="G104" s="470"/>
      <c r="H104" s="409"/>
      <c r="I104" s="411"/>
      <c r="J104" s="411"/>
      <c r="K104" s="411"/>
      <c r="L104" s="411"/>
      <c r="M104" s="411"/>
      <c r="N104" s="411"/>
      <c r="O104" s="411"/>
      <c r="P104" s="411"/>
    </row>
    <row r="105" spans="1:16" ht="15.75" customHeight="1">
      <c r="A105" s="408"/>
      <c r="B105" s="413"/>
      <c r="C105" s="491"/>
      <c r="D105" s="506"/>
      <c r="E105" s="469"/>
      <c r="F105" s="508"/>
      <c r="G105" s="470"/>
      <c r="H105" s="409"/>
      <c r="I105" s="411"/>
      <c r="J105" s="411"/>
      <c r="K105" s="411"/>
      <c r="L105" s="411"/>
      <c r="M105" s="411"/>
      <c r="N105" s="411"/>
      <c r="O105" s="411"/>
      <c r="P105" s="411"/>
    </row>
    <row r="106" spans="1:16" ht="15.75" customHeight="1">
      <c r="A106" s="408"/>
      <c r="B106" s="413"/>
      <c r="C106" s="491" t="s">
        <v>845</v>
      </c>
      <c r="D106" s="506" t="s">
        <v>328</v>
      </c>
      <c r="E106" s="515">
        <v>0</v>
      </c>
      <c r="F106" s="508"/>
      <c r="G106" s="470" t="s">
        <v>860</v>
      </c>
      <c r="H106" s="409"/>
      <c r="I106" s="411"/>
      <c r="J106" s="411"/>
      <c r="K106" s="411"/>
      <c r="L106" s="411"/>
      <c r="M106" s="411"/>
      <c r="N106" s="411"/>
      <c r="O106" s="411"/>
      <c r="P106" s="411"/>
    </row>
    <row r="107" spans="1:16" ht="15.75" customHeight="1">
      <c r="A107" s="408"/>
      <c r="B107" s="413"/>
      <c r="C107" s="491" t="s">
        <v>847</v>
      </c>
      <c r="D107" s="506" t="s">
        <v>336</v>
      </c>
      <c r="E107" s="516">
        <f>(E106*E151)*0</f>
        <v>0</v>
      </c>
      <c r="F107" s="508" t="s">
        <v>804</v>
      </c>
      <c r="G107" s="470" t="s">
        <v>848</v>
      </c>
      <c r="H107" s="409"/>
      <c r="I107" s="411"/>
      <c r="J107" s="411"/>
      <c r="K107" s="411"/>
      <c r="L107" s="411"/>
      <c r="M107" s="411"/>
      <c r="N107" s="411"/>
      <c r="O107" s="411"/>
      <c r="P107" s="411"/>
    </row>
    <row r="108" spans="1:16" ht="15.75" customHeight="1">
      <c r="A108" s="408"/>
      <c r="B108" s="413"/>
      <c r="C108" s="491" t="s">
        <v>849</v>
      </c>
      <c r="D108" s="506"/>
      <c r="E108" s="469" t="s">
        <v>850</v>
      </c>
      <c r="F108" s="508"/>
      <c r="G108" s="470" t="s">
        <v>851</v>
      </c>
      <c r="H108" s="409"/>
      <c r="I108" s="411"/>
      <c r="J108" s="411"/>
      <c r="K108" s="411"/>
      <c r="L108" s="411"/>
      <c r="M108" s="411"/>
      <c r="N108" s="411"/>
      <c r="O108" s="411"/>
      <c r="P108" s="411"/>
    </row>
    <row r="109" spans="1:16" ht="15.75" customHeight="1">
      <c r="A109" s="408"/>
      <c r="B109" s="413"/>
      <c r="C109" s="491" t="s">
        <v>852</v>
      </c>
      <c r="D109" s="506" t="s">
        <v>192</v>
      </c>
      <c r="E109" s="469" t="s">
        <v>152</v>
      </c>
      <c r="F109" s="508"/>
      <c r="G109" s="470" t="s">
        <v>853</v>
      </c>
      <c r="H109" s="409"/>
      <c r="I109" s="411"/>
      <c r="J109" s="411"/>
      <c r="K109" s="411"/>
      <c r="L109" s="411"/>
      <c r="M109" s="411"/>
      <c r="N109" s="411"/>
      <c r="O109" s="411"/>
      <c r="P109" s="411"/>
    </row>
    <row r="110" spans="1:16" ht="15.75" customHeight="1">
      <c r="A110" s="408"/>
      <c r="B110" s="413"/>
      <c r="C110" s="441"/>
      <c r="D110" s="442"/>
      <c r="E110" s="447"/>
      <c r="F110" s="444"/>
      <c r="G110" s="432"/>
      <c r="H110" s="409"/>
      <c r="I110" s="411"/>
      <c r="J110" s="411"/>
      <c r="K110" s="411"/>
      <c r="L110" s="411"/>
      <c r="M110" s="411"/>
      <c r="N110" s="411"/>
      <c r="O110" s="411"/>
      <c r="P110" s="411"/>
    </row>
    <row r="111" spans="1:16" ht="15.75" customHeight="1">
      <c r="A111" s="408"/>
      <c r="B111" s="413"/>
      <c r="C111" s="441"/>
      <c r="D111" s="442"/>
      <c r="E111" s="447"/>
      <c r="F111" s="444"/>
      <c r="G111" s="432"/>
      <c r="H111" s="409"/>
      <c r="I111" s="411"/>
      <c r="J111" s="411"/>
      <c r="K111" s="411"/>
      <c r="L111" s="411"/>
      <c r="M111" s="411"/>
      <c r="N111" s="411"/>
      <c r="O111" s="411"/>
      <c r="P111" s="411"/>
    </row>
    <row r="112" spans="1:16" ht="15.75" customHeight="1">
      <c r="A112" s="408"/>
      <c r="B112" s="413"/>
      <c r="C112" s="517" t="s">
        <v>893</v>
      </c>
      <c r="D112" s="496"/>
      <c r="E112" s="497"/>
      <c r="F112" s="498"/>
      <c r="G112" s="499"/>
      <c r="H112" s="409"/>
      <c r="I112" s="411"/>
      <c r="J112" s="411"/>
      <c r="K112" s="411"/>
      <c r="L112" s="411"/>
      <c r="M112" s="411"/>
      <c r="N112" s="411"/>
      <c r="O112" s="411"/>
      <c r="P112" s="411"/>
    </row>
    <row r="113" spans="1:16" ht="15.75" customHeight="1">
      <c r="A113" s="408"/>
      <c r="B113" s="413"/>
      <c r="C113" s="441" t="s">
        <v>894</v>
      </c>
      <c r="D113" s="442"/>
      <c r="E113" s="447"/>
      <c r="F113" s="444"/>
      <c r="G113" s="432"/>
      <c r="H113" s="409"/>
      <c r="I113" s="411"/>
      <c r="J113" s="411"/>
      <c r="K113" s="411"/>
      <c r="L113" s="411"/>
      <c r="M113" s="411"/>
      <c r="N113" s="411"/>
      <c r="O113" s="411"/>
      <c r="P113" s="411"/>
    </row>
    <row r="114" spans="1:16" ht="15.75" customHeight="1">
      <c r="A114" s="408"/>
      <c r="B114" s="413"/>
      <c r="C114" s="441" t="s">
        <v>895</v>
      </c>
      <c r="D114" s="442" t="s">
        <v>336</v>
      </c>
      <c r="E114" s="518">
        <v>1500000</v>
      </c>
      <c r="F114" s="444"/>
      <c r="G114" s="432" t="s">
        <v>896</v>
      </c>
      <c r="H114" s="519"/>
      <c r="I114" s="411"/>
      <c r="J114" s="411"/>
      <c r="K114" s="411"/>
      <c r="L114" s="411"/>
      <c r="M114" s="411"/>
      <c r="N114" s="411"/>
      <c r="O114" s="411"/>
      <c r="P114" s="411"/>
    </row>
    <row r="115" spans="1:16" ht="15.75" customHeight="1">
      <c r="A115" s="408"/>
      <c r="B115" s="413"/>
      <c r="C115" s="441" t="s">
        <v>897</v>
      </c>
      <c r="D115" s="442" t="s">
        <v>886</v>
      </c>
      <c r="E115" s="518">
        <v>1</v>
      </c>
      <c r="F115" s="444"/>
      <c r="G115" s="432" t="s">
        <v>898</v>
      </c>
      <c r="H115" s="409"/>
      <c r="I115" s="411"/>
      <c r="J115" s="411"/>
      <c r="K115" s="411"/>
      <c r="L115" s="411"/>
      <c r="M115" s="411"/>
      <c r="N115" s="411"/>
      <c r="O115" s="411"/>
      <c r="P115" s="411"/>
    </row>
    <row r="116" spans="1:16" ht="15.75" customHeight="1">
      <c r="A116" s="408"/>
      <c r="B116" s="413"/>
      <c r="C116" s="441" t="s">
        <v>899</v>
      </c>
      <c r="D116" s="442" t="s">
        <v>328</v>
      </c>
      <c r="E116" s="502">
        <v>0.4</v>
      </c>
      <c r="F116" s="444"/>
      <c r="G116" s="432" t="s">
        <v>900</v>
      </c>
      <c r="H116" s="409"/>
      <c r="I116" s="411"/>
      <c r="J116" s="411"/>
      <c r="K116" s="411"/>
      <c r="L116" s="411"/>
      <c r="M116" s="411"/>
      <c r="N116" s="411"/>
      <c r="O116" s="411"/>
      <c r="P116" s="411"/>
    </row>
    <row r="117" spans="1:16" ht="15.75" customHeight="1">
      <c r="A117" s="408"/>
      <c r="B117" s="413"/>
      <c r="C117" s="441" t="s">
        <v>901</v>
      </c>
      <c r="D117" s="442" t="s">
        <v>336</v>
      </c>
      <c r="E117" s="518">
        <v>5000000</v>
      </c>
      <c r="F117" s="444"/>
      <c r="G117" s="432" t="s">
        <v>902</v>
      </c>
      <c r="H117" s="409"/>
      <c r="I117" s="411"/>
      <c r="J117" s="411"/>
      <c r="K117" s="411"/>
      <c r="L117" s="411"/>
      <c r="M117" s="411"/>
      <c r="N117" s="411"/>
      <c r="O117" s="411"/>
      <c r="P117" s="411"/>
    </row>
    <row r="118" spans="1:16" ht="15.75" customHeight="1">
      <c r="A118" s="408"/>
      <c r="B118" s="413"/>
      <c r="C118" s="441" t="s">
        <v>903</v>
      </c>
      <c r="D118" s="442" t="s">
        <v>336</v>
      </c>
      <c r="E118" s="518">
        <f>7400000+'Construction Timeline'!E189-E51</f>
        <v>7470383.0899999999</v>
      </c>
      <c r="F118" s="444" t="s">
        <v>804</v>
      </c>
      <c r="G118" s="432" t="s">
        <v>904</v>
      </c>
      <c r="H118" s="409"/>
      <c r="I118" s="411"/>
      <c r="J118" s="411"/>
      <c r="K118" s="411"/>
      <c r="L118" s="411"/>
      <c r="M118" s="411"/>
      <c r="N118" s="411"/>
      <c r="O118" s="411"/>
      <c r="P118" s="411"/>
    </row>
    <row r="119" spans="1:16" ht="15.75" customHeight="1">
      <c r="A119" s="408"/>
      <c r="B119" s="413"/>
      <c r="C119" s="441"/>
      <c r="D119" s="442"/>
      <c r="E119" s="447"/>
      <c r="F119" s="444"/>
      <c r="G119" s="432"/>
      <c r="H119" s="409"/>
      <c r="I119" s="411"/>
      <c r="J119" s="411"/>
      <c r="K119" s="411"/>
      <c r="L119" s="411"/>
      <c r="M119" s="411"/>
      <c r="N119" s="411"/>
      <c r="O119" s="411"/>
      <c r="P119" s="411"/>
    </row>
    <row r="120" spans="1:16" ht="15.75" customHeight="1">
      <c r="A120" s="408"/>
      <c r="B120" s="413"/>
      <c r="C120" s="441" t="s">
        <v>905</v>
      </c>
      <c r="D120" s="442" t="s">
        <v>336</v>
      </c>
      <c r="E120" s="518">
        <f>E114+E118+E127+E129</f>
        <v>8970383.0899999999</v>
      </c>
      <c r="F120" s="444" t="s">
        <v>804</v>
      </c>
      <c r="G120" s="432" t="s">
        <v>906</v>
      </c>
      <c r="H120" s="409"/>
      <c r="I120" s="411"/>
      <c r="J120" s="411"/>
      <c r="K120" s="411"/>
      <c r="L120" s="411"/>
      <c r="M120" s="411"/>
      <c r="N120" s="411"/>
      <c r="O120" s="411"/>
      <c r="P120" s="411"/>
    </row>
    <row r="121" spans="1:16" ht="15.75" customHeight="1">
      <c r="A121" s="408"/>
      <c r="B121" s="413"/>
      <c r="C121" s="441" t="s">
        <v>907</v>
      </c>
      <c r="D121" s="442" t="s">
        <v>328</v>
      </c>
      <c r="E121" s="502">
        <f>E65</f>
        <v>0.6</v>
      </c>
      <c r="F121" s="444" t="s">
        <v>908</v>
      </c>
      <c r="G121" s="520" t="s">
        <v>909</v>
      </c>
      <c r="H121" s="409"/>
      <c r="I121" s="411"/>
      <c r="J121" s="411"/>
      <c r="K121" s="411"/>
      <c r="L121" s="411"/>
      <c r="M121" s="411"/>
      <c r="N121" s="411"/>
      <c r="O121" s="411"/>
      <c r="P121" s="411"/>
    </row>
    <row r="122" spans="1:16" ht="15.75" customHeight="1">
      <c r="A122" s="408"/>
      <c r="B122" s="413"/>
      <c r="C122" s="441" t="s">
        <v>910</v>
      </c>
      <c r="D122" s="442" t="s">
        <v>328</v>
      </c>
      <c r="E122" s="500">
        <v>0.2</v>
      </c>
      <c r="F122" s="444"/>
      <c r="G122" s="432" t="s">
        <v>911</v>
      </c>
      <c r="H122" s="409"/>
      <c r="I122" s="411"/>
      <c r="J122" s="411"/>
      <c r="K122" s="411"/>
      <c r="L122" s="411"/>
      <c r="M122" s="411"/>
      <c r="N122" s="411"/>
      <c r="O122" s="411"/>
      <c r="P122" s="411"/>
    </row>
    <row r="123" spans="1:16" ht="15.75" customHeight="1">
      <c r="A123" s="408"/>
      <c r="B123" s="413"/>
      <c r="C123" s="441" t="s">
        <v>912</v>
      </c>
      <c r="D123" s="442" t="s">
        <v>336</v>
      </c>
      <c r="E123" s="518">
        <f>E122*E159</f>
        <v>3952305</v>
      </c>
      <c r="F123" s="444" t="s">
        <v>804</v>
      </c>
      <c r="G123" s="432" t="s">
        <v>913</v>
      </c>
      <c r="H123" s="409"/>
      <c r="I123" s="411"/>
      <c r="J123" s="411"/>
      <c r="K123" s="411"/>
      <c r="L123" s="411"/>
      <c r="M123" s="411"/>
      <c r="N123" s="411"/>
      <c r="O123" s="411"/>
      <c r="P123" s="411"/>
    </row>
    <row r="124" spans="1:16" ht="15.75" customHeight="1">
      <c r="A124" s="408"/>
      <c r="B124" s="413"/>
      <c r="C124" s="441"/>
      <c r="D124" s="442"/>
      <c r="E124" s="447"/>
      <c r="F124" s="444"/>
      <c r="G124" s="432"/>
      <c r="H124" s="409"/>
      <c r="I124" s="411"/>
      <c r="J124" s="411"/>
      <c r="K124" s="411"/>
      <c r="L124" s="411"/>
      <c r="M124" s="411"/>
      <c r="N124" s="411"/>
      <c r="O124" s="411"/>
      <c r="P124" s="411"/>
    </row>
    <row r="125" spans="1:16" ht="15.75" customHeight="1">
      <c r="A125" s="408"/>
      <c r="B125" s="413"/>
      <c r="C125" s="441" t="s">
        <v>914</v>
      </c>
      <c r="D125" s="442"/>
      <c r="E125" s="447"/>
      <c r="F125" s="444"/>
      <c r="G125" s="432" t="s">
        <v>915</v>
      </c>
      <c r="H125" s="409"/>
      <c r="I125" s="411"/>
      <c r="J125" s="411"/>
      <c r="K125" s="411"/>
      <c r="L125" s="411"/>
      <c r="M125" s="411"/>
      <c r="N125" s="411"/>
      <c r="O125" s="411"/>
      <c r="P125" s="411"/>
    </row>
    <row r="126" spans="1:16" ht="44.25" customHeight="1">
      <c r="A126" s="408"/>
      <c r="B126" s="413"/>
      <c r="C126" s="441" t="s">
        <v>916</v>
      </c>
      <c r="D126" s="442" t="s">
        <v>192</v>
      </c>
      <c r="E126" s="518" t="s">
        <v>152</v>
      </c>
      <c r="F126" s="444"/>
      <c r="G126" s="432" t="s">
        <v>917</v>
      </c>
      <c r="H126" s="409"/>
      <c r="I126" s="411"/>
      <c r="J126" s="411"/>
      <c r="K126" s="411"/>
      <c r="L126" s="411"/>
      <c r="M126" s="411"/>
      <c r="N126" s="411"/>
      <c r="O126" s="411"/>
      <c r="P126" s="411"/>
    </row>
    <row r="127" spans="1:16" ht="15.75" customHeight="1">
      <c r="A127" s="408"/>
      <c r="B127" s="413"/>
      <c r="C127" s="441" t="s">
        <v>918</v>
      </c>
      <c r="D127" s="442" t="s">
        <v>336</v>
      </c>
      <c r="E127" s="518">
        <v>0</v>
      </c>
      <c r="F127" s="444"/>
      <c r="G127" s="432" t="s">
        <v>919</v>
      </c>
      <c r="H127" s="409"/>
      <c r="I127" s="411"/>
      <c r="J127" s="411"/>
      <c r="K127" s="411"/>
      <c r="L127" s="411"/>
      <c r="M127" s="411"/>
      <c r="N127" s="411"/>
      <c r="O127" s="411"/>
      <c r="P127" s="411"/>
    </row>
    <row r="128" spans="1:16" ht="15.75" customHeight="1">
      <c r="A128" s="408"/>
      <c r="B128" s="413"/>
      <c r="C128" s="441" t="s">
        <v>920</v>
      </c>
      <c r="D128" s="442" t="s">
        <v>192</v>
      </c>
      <c r="E128" s="518" t="s">
        <v>152</v>
      </c>
      <c r="F128" s="444"/>
      <c r="G128" s="432" t="s">
        <v>921</v>
      </c>
      <c r="H128" s="409"/>
      <c r="I128" s="411"/>
      <c r="J128" s="411"/>
      <c r="K128" s="411"/>
      <c r="L128" s="411"/>
      <c r="M128" s="411"/>
      <c r="N128" s="411"/>
      <c r="O128" s="411"/>
      <c r="P128" s="411"/>
    </row>
    <row r="129" spans="1:16" ht="15.75" customHeight="1">
      <c r="A129" s="408"/>
      <c r="B129" s="413"/>
      <c r="C129" s="441" t="s">
        <v>922</v>
      </c>
      <c r="D129" s="442" t="s">
        <v>336</v>
      </c>
      <c r="E129" s="518">
        <v>0</v>
      </c>
      <c r="F129" s="444"/>
      <c r="G129" s="432" t="s">
        <v>923</v>
      </c>
      <c r="H129" s="409"/>
      <c r="I129" s="411"/>
      <c r="J129" s="411"/>
      <c r="K129" s="411"/>
      <c r="L129" s="411"/>
      <c r="M129" s="411"/>
      <c r="N129" s="411"/>
      <c r="O129" s="411"/>
      <c r="P129" s="411"/>
    </row>
    <row r="130" spans="1:16" ht="15.75" customHeight="1">
      <c r="A130" s="408"/>
      <c r="B130" s="413"/>
      <c r="C130" s="441" t="s">
        <v>924</v>
      </c>
      <c r="D130" s="442" t="s">
        <v>192</v>
      </c>
      <c r="E130" s="518" t="s">
        <v>153</v>
      </c>
      <c r="F130" s="444"/>
      <c r="G130" s="432" t="s">
        <v>925</v>
      </c>
      <c r="H130" s="409"/>
      <c r="I130" s="411"/>
      <c r="J130" s="411"/>
      <c r="K130" s="411"/>
      <c r="L130" s="411"/>
      <c r="M130" s="411"/>
      <c r="N130" s="411"/>
      <c r="O130" s="411"/>
      <c r="P130" s="411"/>
    </row>
    <row r="131" spans="1:16" ht="15.75" customHeight="1">
      <c r="A131" s="408"/>
      <c r="B131" s="413"/>
      <c r="C131" s="441" t="s">
        <v>220</v>
      </c>
      <c r="D131" s="442" t="s">
        <v>192</v>
      </c>
      <c r="E131" s="518" t="s">
        <v>152</v>
      </c>
      <c r="F131" s="444"/>
      <c r="G131" s="432" t="s">
        <v>926</v>
      </c>
      <c r="H131" s="409"/>
      <c r="I131" s="411"/>
      <c r="J131" s="411"/>
      <c r="K131" s="411"/>
      <c r="L131" s="411"/>
      <c r="M131" s="411"/>
      <c r="N131" s="411"/>
      <c r="O131" s="411"/>
      <c r="P131" s="411"/>
    </row>
    <row r="132" spans="1:16" ht="15.75" customHeight="1">
      <c r="A132" s="408"/>
      <c r="B132" s="413"/>
      <c r="C132" s="441"/>
      <c r="D132" s="442"/>
      <c r="E132" s="447"/>
      <c r="F132" s="444"/>
      <c r="G132" s="432"/>
      <c r="H132" s="409"/>
      <c r="I132" s="411"/>
      <c r="J132" s="411"/>
      <c r="K132" s="411"/>
      <c r="L132" s="411"/>
      <c r="M132" s="411"/>
      <c r="N132" s="411"/>
      <c r="O132" s="411"/>
      <c r="P132" s="411"/>
    </row>
    <row r="133" spans="1:16" ht="15.75" customHeight="1">
      <c r="A133" s="408"/>
      <c r="B133" s="413"/>
      <c r="C133" s="441" t="s">
        <v>224</v>
      </c>
      <c r="D133" s="442" t="s">
        <v>886</v>
      </c>
      <c r="E133" s="518">
        <v>0</v>
      </c>
      <c r="F133" s="444"/>
      <c r="G133" s="432" t="s">
        <v>927</v>
      </c>
      <c r="H133" s="409"/>
      <c r="I133" s="411"/>
      <c r="J133" s="411"/>
      <c r="K133" s="411"/>
      <c r="L133" s="411"/>
      <c r="M133" s="411"/>
      <c r="N133" s="411"/>
      <c r="O133" s="411"/>
      <c r="P133" s="411"/>
    </row>
    <row r="134" spans="1:16" ht="15.75" customHeight="1">
      <c r="A134" s="408"/>
      <c r="B134" s="413"/>
      <c r="C134" s="441" t="s">
        <v>928</v>
      </c>
      <c r="D134" s="442" t="s">
        <v>336</v>
      </c>
      <c r="E134" s="518">
        <v>0</v>
      </c>
      <c r="F134" s="444"/>
      <c r="G134" s="432" t="s">
        <v>929</v>
      </c>
      <c r="H134" s="409"/>
      <c r="I134" s="411"/>
      <c r="J134" s="411"/>
      <c r="K134" s="411"/>
      <c r="L134" s="411"/>
      <c r="M134" s="411"/>
      <c r="N134" s="411"/>
      <c r="O134" s="411"/>
      <c r="P134" s="411"/>
    </row>
    <row r="135" spans="1:16" ht="15.75" customHeight="1">
      <c r="A135" s="408"/>
      <c r="B135" s="413"/>
      <c r="C135" s="441" t="s">
        <v>930</v>
      </c>
      <c r="D135" s="442" t="s">
        <v>192</v>
      </c>
      <c r="E135" s="518" t="s">
        <v>152</v>
      </c>
      <c r="F135" s="444"/>
      <c r="G135" s="432" t="s">
        <v>931</v>
      </c>
      <c r="H135" s="409"/>
      <c r="I135" s="411"/>
      <c r="J135" s="411"/>
      <c r="K135" s="411"/>
      <c r="L135" s="411"/>
      <c r="M135" s="411"/>
      <c r="N135" s="411"/>
      <c r="O135" s="411"/>
      <c r="P135" s="411"/>
    </row>
    <row r="136" spans="1:16" ht="15.75" customHeight="1">
      <c r="A136" s="408"/>
      <c r="B136" s="413"/>
      <c r="C136" s="441"/>
      <c r="D136" s="442"/>
      <c r="E136" s="518"/>
      <c r="F136" s="444"/>
      <c r="G136" s="432"/>
      <c r="H136" s="409"/>
      <c r="I136" s="411"/>
      <c r="J136" s="411"/>
      <c r="K136" s="411"/>
      <c r="L136" s="411"/>
      <c r="M136" s="411"/>
      <c r="N136" s="411"/>
      <c r="O136" s="411"/>
      <c r="P136" s="411"/>
    </row>
    <row r="137" spans="1:16" ht="15.75" customHeight="1">
      <c r="A137" s="408"/>
      <c r="B137" s="413"/>
      <c r="C137" s="441"/>
      <c r="D137" s="442"/>
      <c r="E137" s="518"/>
      <c r="F137" s="444"/>
      <c r="G137" s="432"/>
      <c r="H137" s="409"/>
      <c r="I137" s="411"/>
      <c r="J137" s="411"/>
      <c r="K137" s="411"/>
      <c r="L137" s="411"/>
      <c r="M137" s="411"/>
      <c r="N137" s="411"/>
      <c r="O137" s="411"/>
      <c r="P137" s="411"/>
    </row>
    <row r="138" spans="1:16" ht="15.75" customHeight="1">
      <c r="A138" s="408"/>
      <c r="B138" s="413"/>
      <c r="C138" s="441"/>
      <c r="D138" s="442"/>
      <c r="E138" s="518"/>
      <c r="F138" s="444"/>
      <c r="G138" s="432"/>
      <c r="H138" s="409"/>
      <c r="I138" s="411"/>
      <c r="J138" s="411"/>
      <c r="K138" s="411"/>
      <c r="L138" s="411"/>
      <c r="M138" s="411"/>
      <c r="N138" s="411"/>
      <c r="O138" s="411"/>
      <c r="P138" s="411"/>
    </row>
    <row r="139" spans="1:16" ht="15.75" customHeight="1">
      <c r="A139" s="408"/>
      <c r="B139" s="413"/>
      <c r="C139" s="495" t="s">
        <v>932</v>
      </c>
      <c r="D139" s="496"/>
      <c r="E139" s="497"/>
      <c r="F139" s="498"/>
      <c r="G139" s="499"/>
      <c r="H139" s="409"/>
      <c r="I139" s="411"/>
      <c r="J139" s="411"/>
      <c r="K139" s="411"/>
      <c r="L139" s="411"/>
      <c r="M139" s="411"/>
      <c r="N139" s="411"/>
      <c r="O139" s="411"/>
      <c r="P139" s="411"/>
    </row>
    <row r="140" spans="1:16" ht="15.75" customHeight="1">
      <c r="A140" s="408"/>
      <c r="B140" s="413"/>
      <c r="C140" s="441" t="s">
        <v>321</v>
      </c>
      <c r="D140" s="442" t="s">
        <v>567</v>
      </c>
      <c r="E140" s="443">
        <v>1.2</v>
      </c>
      <c r="F140" s="444"/>
      <c r="G140" s="432" t="s">
        <v>933</v>
      </c>
      <c r="H140" s="409"/>
      <c r="I140" s="411"/>
      <c r="J140" s="411"/>
      <c r="K140" s="411"/>
      <c r="L140" s="411"/>
      <c r="M140" s="411"/>
      <c r="N140" s="411"/>
      <c r="O140" s="411"/>
      <c r="P140" s="411"/>
    </row>
    <row r="141" spans="1:16" ht="15.75" customHeight="1">
      <c r="A141" s="408"/>
      <c r="B141" s="413"/>
      <c r="C141" s="441" t="s">
        <v>326</v>
      </c>
      <c r="D141" s="442" t="s">
        <v>567</v>
      </c>
      <c r="E141" s="443">
        <v>2.5</v>
      </c>
      <c r="F141" s="444"/>
      <c r="G141" s="432" t="s">
        <v>934</v>
      </c>
      <c r="H141" s="409"/>
      <c r="I141" s="411"/>
      <c r="J141" s="411"/>
      <c r="K141" s="411"/>
      <c r="L141" s="411"/>
      <c r="M141" s="411"/>
      <c r="N141" s="411"/>
      <c r="O141" s="411"/>
      <c r="P141" s="411"/>
    </row>
    <row r="142" spans="1:16" ht="15.75" customHeight="1">
      <c r="A142" s="408"/>
      <c r="B142" s="413"/>
      <c r="C142" s="441" t="s">
        <v>935</v>
      </c>
      <c r="D142" s="442" t="s">
        <v>567</v>
      </c>
      <c r="E142" s="443">
        <v>4.5</v>
      </c>
      <c r="F142" s="444"/>
      <c r="G142" s="432" t="s">
        <v>936</v>
      </c>
      <c r="H142" s="409"/>
      <c r="I142" s="411"/>
      <c r="J142" s="411"/>
      <c r="K142" s="411"/>
      <c r="L142" s="411"/>
      <c r="M142" s="411"/>
      <c r="N142" s="411"/>
      <c r="O142" s="411"/>
      <c r="P142" s="411"/>
    </row>
    <row r="143" spans="1:16" ht="15.75" customHeight="1">
      <c r="A143" s="408"/>
      <c r="B143" s="413"/>
      <c r="C143" s="441" t="s">
        <v>937</v>
      </c>
      <c r="D143" s="442"/>
      <c r="E143" s="443"/>
      <c r="F143" s="444"/>
      <c r="G143" s="432"/>
      <c r="H143" s="409"/>
      <c r="I143" s="411"/>
      <c r="J143" s="411"/>
      <c r="K143" s="411"/>
      <c r="L143" s="411"/>
      <c r="M143" s="411"/>
      <c r="N143" s="411"/>
      <c r="O143" s="411"/>
      <c r="P143" s="411"/>
    </row>
    <row r="144" spans="1:16" ht="15.75" customHeight="1">
      <c r="A144" s="408"/>
      <c r="B144" s="413"/>
      <c r="C144" s="441" t="s">
        <v>938</v>
      </c>
      <c r="D144" s="442" t="s">
        <v>192</v>
      </c>
      <c r="E144" s="443" t="s">
        <v>151</v>
      </c>
      <c r="F144" s="444"/>
      <c r="G144" s="432" t="s">
        <v>939</v>
      </c>
      <c r="H144" s="409"/>
      <c r="I144" s="411"/>
      <c r="J144" s="411"/>
      <c r="K144" s="411"/>
      <c r="L144" s="411"/>
      <c r="M144" s="411"/>
      <c r="N144" s="411"/>
      <c r="O144" s="411"/>
      <c r="P144" s="411"/>
    </row>
    <row r="145" spans="1:16" ht="15.75" customHeight="1">
      <c r="A145" s="408"/>
      <c r="B145" s="413"/>
      <c r="C145" s="441"/>
      <c r="D145" s="442"/>
      <c r="E145" s="447"/>
      <c r="F145" s="444"/>
      <c r="G145" s="432"/>
      <c r="H145" s="409"/>
      <c r="I145" s="411"/>
      <c r="J145" s="411"/>
      <c r="K145" s="411"/>
      <c r="L145" s="411"/>
      <c r="M145" s="411"/>
      <c r="N145" s="411"/>
      <c r="O145" s="411"/>
      <c r="P145" s="411"/>
    </row>
    <row r="146" spans="1:16" ht="15.75" customHeight="1">
      <c r="A146" s="408"/>
      <c r="B146" s="1413" t="s">
        <v>940</v>
      </c>
      <c r="C146" s="1414"/>
      <c r="D146" s="1414"/>
      <c r="E146" s="1414"/>
      <c r="F146" s="1414"/>
      <c r="G146" s="1415"/>
      <c r="H146" s="409"/>
      <c r="I146" s="411"/>
      <c r="J146" s="411"/>
      <c r="K146" s="411"/>
      <c r="L146" s="411"/>
      <c r="M146" s="411"/>
      <c r="N146" s="411"/>
      <c r="O146" s="411"/>
      <c r="P146" s="411"/>
    </row>
    <row r="147" spans="1:16" ht="15.75" customHeight="1">
      <c r="A147" s="408"/>
      <c r="B147" s="413"/>
      <c r="C147" s="441"/>
      <c r="D147" s="442"/>
      <c r="E147" s="447"/>
      <c r="F147" s="444"/>
      <c r="G147" s="432"/>
      <c r="H147" s="409"/>
      <c r="I147" s="411"/>
      <c r="J147" s="411"/>
      <c r="K147" s="411"/>
      <c r="L147" s="411"/>
      <c r="M147" s="411"/>
      <c r="N147" s="411"/>
      <c r="O147" s="411"/>
      <c r="P147" s="411"/>
    </row>
    <row r="148" spans="1:16" ht="23.25" customHeight="1">
      <c r="A148" s="408"/>
      <c r="B148" s="413"/>
      <c r="C148" s="441" t="s">
        <v>941</v>
      </c>
      <c r="D148" s="442" t="s">
        <v>336</v>
      </c>
      <c r="E148" s="501">
        <v>2045000</v>
      </c>
      <c r="F148" s="521" t="s">
        <v>942</v>
      </c>
      <c r="G148" s="432" t="s">
        <v>943</v>
      </c>
      <c r="H148" s="409"/>
      <c r="I148" s="411"/>
      <c r="J148" s="411"/>
      <c r="K148" s="411"/>
      <c r="L148" s="411"/>
      <c r="M148" s="411"/>
      <c r="N148" s="411"/>
      <c r="O148" s="411"/>
      <c r="P148" s="411"/>
    </row>
    <row r="149" spans="1:16" ht="23.25" customHeight="1">
      <c r="A149" s="408"/>
      <c r="B149" s="413"/>
      <c r="C149" s="441" t="s">
        <v>944</v>
      </c>
      <c r="D149" s="442" t="s">
        <v>336</v>
      </c>
      <c r="E149" s="501">
        <v>6580000</v>
      </c>
      <c r="F149" s="521" t="s">
        <v>942</v>
      </c>
      <c r="G149" s="432" t="s">
        <v>945</v>
      </c>
      <c r="H149" s="409"/>
      <c r="I149" s="411"/>
      <c r="J149" s="411"/>
      <c r="K149" s="411"/>
      <c r="L149" s="411"/>
      <c r="M149" s="411"/>
      <c r="N149" s="411"/>
      <c r="O149" s="411"/>
      <c r="P149" s="411"/>
    </row>
    <row r="150" spans="1:16" ht="23.25" customHeight="1">
      <c r="A150" s="408"/>
      <c r="B150" s="413"/>
      <c r="C150" s="441" t="s">
        <v>946</v>
      </c>
      <c r="D150" s="442" t="s">
        <v>336</v>
      </c>
      <c r="E150" s="501">
        <v>1500000</v>
      </c>
      <c r="F150" s="521" t="s">
        <v>942</v>
      </c>
      <c r="G150" s="432" t="s">
        <v>947</v>
      </c>
      <c r="H150" s="409"/>
      <c r="I150" s="411"/>
      <c r="J150" s="411"/>
      <c r="K150" s="411"/>
      <c r="L150" s="411"/>
      <c r="M150" s="411"/>
      <c r="N150" s="411"/>
      <c r="O150" s="411"/>
      <c r="P150" s="411"/>
    </row>
    <row r="151" spans="1:16" ht="23.25" customHeight="1">
      <c r="A151" s="408"/>
      <c r="B151" s="413"/>
      <c r="C151" s="441" t="s">
        <v>948</v>
      </c>
      <c r="D151" s="442" t="s">
        <v>336</v>
      </c>
      <c r="E151" s="501">
        <v>490000</v>
      </c>
      <c r="F151" s="521" t="s">
        <v>942</v>
      </c>
      <c r="G151" s="432" t="s">
        <v>949</v>
      </c>
      <c r="H151" s="409"/>
      <c r="I151" s="411"/>
      <c r="J151" s="411"/>
      <c r="K151" s="411"/>
      <c r="L151" s="411"/>
      <c r="M151" s="411"/>
      <c r="N151" s="411"/>
      <c r="O151" s="411"/>
      <c r="P151" s="411"/>
    </row>
    <row r="152" spans="1:16" ht="23.25" customHeight="1">
      <c r="A152" s="408"/>
      <c r="B152" s="413"/>
      <c r="C152" s="441" t="s">
        <v>950</v>
      </c>
      <c r="D152" s="442" t="s">
        <v>336</v>
      </c>
      <c r="E152" s="501">
        <v>1900000</v>
      </c>
      <c r="F152" s="521" t="s">
        <v>942</v>
      </c>
      <c r="G152" s="432" t="s">
        <v>951</v>
      </c>
      <c r="H152" s="409"/>
      <c r="I152" s="411"/>
      <c r="J152" s="411"/>
      <c r="K152" s="411"/>
      <c r="L152" s="411"/>
      <c r="M152" s="411"/>
      <c r="N152" s="411"/>
      <c r="O152" s="411"/>
      <c r="P152" s="411"/>
    </row>
    <row r="153" spans="1:16" ht="23.25" customHeight="1">
      <c r="A153" s="408"/>
      <c r="B153" s="413"/>
      <c r="C153" s="441" t="s">
        <v>952</v>
      </c>
      <c r="D153" s="442" t="s">
        <v>336</v>
      </c>
      <c r="E153" s="501">
        <v>5000000</v>
      </c>
      <c r="F153" s="521" t="s">
        <v>942</v>
      </c>
      <c r="G153" s="432" t="s">
        <v>953</v>
      </c>
      <c r="H153" s="409"/>
      <c r="I153" s="411"/>
      <c r="J153" s="411"/>
      <c r="K153" s="411"/>
      <c r="L153" s="411"/>
      <c r="M153" s="411"/>
      <c r="N153" s="411"/>
      <c r="O153" s="411"/>
      <c r="P153" s="411"/>
    </row>
    <row r="154" spans="1:16" ht="23.25" customHeight="1">
      <c r="A154" s="408"/>
      <c r="B154" s="413"/>
      <c r="C154" s="441" t="s">
        <v>954</v>
      </c>
      <c r="D154" s="442" t="s">
        <v>336</v>
      </c>
      <c r="E154" s="501">
        <v>520000</v>
      </c>
      <c r="F154" s="521" t="s">
        <v>942</v>
      </c>
      <c r="G154" s="432" t="s">
        <v>955</v>
      </c>
      <c r="H154" s="409"/>
      <c r="I154" s="411"/>
      <c r="J154" s="411"/>
      <c r="K154" s="411"/>
      <c r="L154" s="411"/>
      <c r="M154" s="411"/>
      <c r="N154" s="411"/>
      <c r="O154" s="411"/>
      <c r="P154" s="411"/>
    </row>
    <row r="155" spans="1:16" ht="23.25" customHeight="1">
      <c r="A155" s="408"/>
      <c r="B155" s="413"/>
      <c r="C155" s="441" t="s">
        <v>956</v>
      </c>
      <c r="D155" s="442" t="s">
        <v>336</v>
      </c>
      <c r="E155" s="501"/>
      <c r="F155" s="444"/>
      <c r="G155" s="432" t="s">
        <v>957</v>
      </c>
      <c r="H155" s="409"/>
      <c r="I155" s="411"/>
      <c r="J155" s="411"/>
      <c r="K155" s="411"/>
      <c r="L155" s="411"/>
      <c r="M155" s="411"/>
      <c r="N155" s="411"/>
      <c r="O155" s="411"/>
      <c r="P155" s="411"/>
    </row>
    <row r="156" spans="1:16" ht="23.25" customHeight="1">
      <c r="A156" s="408"/>
      <c r="B156" s="413"/>
      <c r="C156" s="441" t="s">
        <v>958</v>
      </c>
      <c r="D156" s="442" t="s">
        <v>336</v>
      </c>
      <c r="E156" s="501">
        <f>'Construction Timeline'!E160</f>
        <v>785500</v>
      </c>
      <c r="F156" s="521" t="s">
        <v>942</v>
      </c>
      <c r="G156" s="432" t="s">
        <v>959</v>
      </c>
      <c r="H156" s="409"/>
      <c r="I156" s="411"/>
      <c r="J156" s="411"/>
      <c r="K156" s="411"/>
      <c r="L156" s="411"/>
      <c r="M156" s="411"/>
      <c r="N156" s="411"/>
      <c r="O156" s="411"/>
      <c r="P156" s="411"/>
    </row>
    <row r="157" spans="1:16" ht="23.25" customHeight="1">
      <c r="A157" s="408"/>
      <c r="B157" s="413"/>
      <c r="C157" s="441" t="s">
        <v>767</v>
      </c>
      <c r="D157" s="442" t="s">
        <v>336</v>
      </c>
      <c r="E157" s="501">
        <f>SUM(E148:E156)</f>
        <v>18820500</v>
      </c>
      <c r="F157" s="444" t="s">
        <v>804</v>
      </c>
      <c r="G157" s="432" t="s">
        <v>770</v>
      </c>
      <c r="H157" s="409"/>
      <c r="I157" s="411"/>
      <c r="J157" s="411"/>
      <c r="K157" s="411"/>
      <c r="L157" s="411"/>
      <c r="M157" s="411"/>
      <c r="N157" s="411"/>
      <c r="O157" s="411"/>
      <c r="P157" s="411"/>
    </row>
    <row r="158" spans="1:16" ht="15.75" customHeight="1">
      <c r="A158" s="408"/>
      <c r="B158" s="413"/>
      <c r="C158" s="441" t="s">
        <v>960</v>
      </c>
      <c r="D158" s="442" t="s">
        <v>336</v>
      </c>
      <c r="E158" s="501">
        <f>E157*F158</f>
        <v>941025</v>
      </c>
      <c r="F158" s="522">
        <v>0.05</v>
      </c>
      <c r="G158" s="432" t="s">
        <v>961</v>
      </c>
      <c r="H158" s="409"/>
      <c r="I158" s="411"/>
      <c r="J158" s="411"/>
      <c r="K158" s="411"/>
      <c r="L158" s="411"/>
      <c r="M158" s="411"/>
      <c r="N158" s="411"/>
      <c r="O158" s="411"/>
      <c r="P158" s="411"/>
    </row>
    <row r="159" spans="1:16" ht="15.75" customHeight="1">
      <c r="A159" s="408"/>
      <c r="B159" s="413"/>
      <c r="C159" s="441" t="s">
        <v>962</v>
      </c>
      <c r="D159" s="442" t="s">
        <v>336</v>
      </c>
      <c r="E159" s="523">
        <f>E158+E157</f>
        <v>19761525</v>
      </c>
      <c r="F159" s="444" t="s">
        <v>804</v>
      </c>
      <c r="G159" s="524">
        <f>E157+E158</f>
        <v>19761525</v>
      </c>
      <c r="H159" s="409"/>
      <c r="I159" s="411"/>
      <c r="J159" s="411"/>
      <c r="K159" s="411"/>
      <c r="L159" s="411"/>
      <c r="M159" s="411"/>
      <c r="N159" s="411"/>
      <c r="O159" s="411"/>
      <c r="P159" s="411"/>
    </row>
    <row r="160" spans="1:16" ht="15.75" customHeight="1">
      <c r="A160" s="408"/>
      <c r="B160" s="413"/>
      <c r="C160" s="441"/>
      <c r="D160" s="442"/>
      <c r="E160" s="443"/>
      <c r="F160" s="444"/>
      <c r="G160" s="432"/>
      <c r="H160" s="409"/>
      <c r="I160" s="411"/>
      <c r="J160" s="411"/>
      <c r="K160" s="411"/>
      <c r="L160" s="411"/>
      <c r="M160" s="411"/>
      <c r="N160" s="411"/>
      <c r="O160" s="411"/>
      <c r="P160" s="411"/>
    </row>
    <row r="161" spans="1:16" ht="15.75" customHeight="1">
      <c r="A161" s="408"/>
      <c r="B161" s="413"/>
      <c r="C161" s="441" t="s">
        <v>963</v>
      </c>
      <c r="D161" s="442"/>
      <c r="E161" s="443"/>
      <c r="F161" s="444"/>
      <c r="G161" s="432"/>
      <c r="H161" s="409"/>
      <c r="I161" s="411"/>
      <c r="J161" s="411"/>
      <c r="K161" s="411"/>
      <c r="L161" s="411"/>
      <c r="M161" s="411"/>
      <c r="N161" s="411"/>
      <c r="O161" s="411"/>
      <c r="P161" s="411"/>
    </row>
    <row r="162" spans="1:16" ht="15.75" customHeight="1">
      <c r="A162" s="408"/>
      <c r="B162" s="413"/>
      <c r="C162" s="441" t="s">
        <v>964</v>
      </c>
      <c r="D162" s="442" t="s">
        <v>965</v>
      </c>
      <c r="E162" s="502">
        <v>0.1</v>
      </c>
      <c r="F162" s="444"/>
      <c r="G162" s="432" t="s">
        <v>966</v>
      </c>
      <c r="H162" s="409"/>
      <c r="I162" s="411"/>
      <c r="J162" s="411"/>
      <c r="K162" s="411"/>
      <c r="L162" s="411"/>
      <c r="M162" s="411"/>
      <c r="N162" s="411"/>
      <c r="O162" s="411"/>
      <c r="P162" s="411"/>
    </row>
    <row r="163" spans="1:16" ht="15.75" customHeight="1">
      <c r="A163" s="408"/>
      <c r="B163" s="413"/>
      <c r="C163" s="441" t="s">
        <v>967</v>
      </c>
      <c r="D163" s="442" t="s">
        <v>965</v>
      </c>
      <c r="E163" s="502">
        <v>0.05</v>
      </c>
      <c r="F163" s="444"/>
      <c r="G163" s="432" t="s">
        <v>968</v>
      </c>
      <c r="H163" s="409"/>
      <c r="I163" s="411"/>
      <c r="J163" s="411"/>
      <c r="K163" s="411"/>
      <c r="L163" s="411"/>
      <c r="M163" s="411"/>
      <c r="N163" s="411"/>
      <c r="O163" s="411"/>
      <c r="P163" s="411"/>
    </row>
    <row r="164" spans="1:16" ht="15.75" customHeight="1">
      <c r="A164" s="408"/>
      <c r="B164" s="413"/>
      <c r="C164" s="441" t="s">
        <v>969</v>
      </c>
      <c r="D164" s="442" t="s">
        <v>328</v>
      </c>
      <c r="E164" s="502">
        <v>0.05</v>
      </c>
      <c r="F164" s="444"/>
      <c r="G164" s="432" t="s">
        <v>970</v>
      </c>
      <c r="H164" s="409"/>
      <c r="I164" s="411"/>
      <c r="J164" s="411"/>
      <c r="K164" s="411"/>
      <c r="L164" s="411"/>
      <c r="M164" s="411"/>
      <c r="N164" s="411"/>
      <c r="O164" s="411"/>
      <c r="P164" s="411"/>
    </row>
    <row r="165" spans="1:16" ht="15.75" customHeight="1">
      <c r="A165" s="408"/>
      <c r="B165" s="413"/>
      <c r="C165" s="441" t="s">
        <v>971</v>
      </c>
      <c r="D165" s="442" t="s">
        <v>793</v>
      </c>
      <c r="E165" s="443">
        <v>12</v>
      </c>
      <c r="F165" s="444"/>
      <c r="G165" s="432" t="s">
        <v>972</v>
      </c>
      <c r="H165" s="409"/>
      <c r="I165" s="411"/>
      <c r="J165" s="411"/>
      <c r="K165" s="411"/>
      <c r="L165" s="411"/>
      <c r="M165" s="411"/>
      <c r="N165" s="411"/>
      <c r="O165" s="411"/>
      <c r="P165" s="411"/>
    </row>
    <row r="166" spans="1:16" ht="15.75" customHeight="1">
      <c r="A166" s="408"/>
      <c r="B166" s="413"/>
      <c r="C166" s="441" t="s">
        <v>973</v>
      </c>
      <c r="D166" s="442" t="s">
        <v>808</v>
      </c>
      <c r="E166" s="502">
        <v>0.08</v>
      </c>
      <c r="F166" s="444"/>
      <c r="G166" s="432" t="s">
        <v>974</v>
      </c>
      <c r="H166" s="409"/>
      <c r="I166" s="411"/>
      <c r="J166" s="411"/>
      <c r="K166" s="411"/>
      <c r="L166" s="411"/>
      <c r="M166" s="411"/>
      <c r="N166" s="411"/>
      <c r="O166" s="411"/>
      <c r="P166" s="411"/>
    </row>
    <row r="167" spans="1:16" ht="15.75" customHeight="1">
      <c r="A167" s="408"/>
      <c r="B167" s="413"/>
      <c r="C167" s="525" t="s">
        <v>975</v>
      </c>
      <c r="D167" s="526"/>
      <c r="E167" s="527"/>
      <c r="F167" s="528"/>
      <c r="G167" s="432"/>
      <c r="H167" s="409"/>
      <c r="I167" s="411"/>
      <c r="J167" s="411"/>
      <c r="K167" s="411"/>
      <c r="L167" s="411"/>
      <c r="M167" s="411"/>
      <c r="N167" s="411"/>
      <c r="O167" s="411"/>
      <c r="P167" s="411"/>
    </row>
    <row r="168" spans="1:16" ht="15.75" customHeight="1">
      <c r="A168" s="408"/>
      <c r="B168" s="413"/>
      <c r="C168" s="529"/>
      <c r="D168" s="526"/>
      <c r="E168" s="530"/>
      <c r="F168" s="528"/>
      <c r="G168" s="432"/>
      <c r="H168" s="409"/>
      <c r="I168" s="411"/>
      <c r="J168" s="411"/>
      <c r="K168" s="411"/>
      <c r="L168" s="411"/>
      <c r="M168" s="411"/>
      <c r="N168" s="411"/>
      <c r="O168" s="411"/>
      <c r="P168" s="411"/>
    </row>
    <row r="169" spans="1:16" ht="15.75" customHeight="1">
      <c r="A169" s="408"/>
      <c r="B169" s="413"/>
      <c r="C169" s="529" t="s">
        <v>976</v>
      </c>
      <c r="D169" s="526" t="s">
        <v>328</v>
      </c>
      <c r="E169" s="531">
        <v>1</v>
      </c>
      <c r="F169" s="528"/>
      <c r="G169" s="432" t="s">
        <v>977</v>
      </c>
      <c r="H169" s="409"/>
      <c r="I169" s="411"/>
      <c r="J169" s="411"/>
      <c r="K169" s="411"/>
      <c r="L169" s="411"/>
      <c r="M169" s="411"/>
      <c r="N169" s="411"/>
      <c r="O169" s="411"/>
      <c r="P169" s="411"/>
    </row>
    <row r="170" spans="1:16" ht="15.75" customHeight="1">
      <c r="A170" s="408"/>
      <c r="B170" s="413"/>
      <c r="C170" s="529"/>
      <c r="D170" s="526"/>
      <c r="E170" s="532"/>
      <c r="F170" s="528"/>
      <c r="G170" s="432"/>
      <c r="H170" s="409"/>
      <c r="I170" s="411"/>
      <c r="J170" s="411"/>
      <c r="K170" s="411"/>
      <c r="L170" s="411"/>
      <c r="M170" s="411"/>
      <c r="N170" s="411"/>
      <c r="O170" s="411"/>
      <c r="P170" s="411"/>
    </row>
    <row r="171" spans="1:16" ht="15.75" customHeight="1">
      <c r="A171" s="408"/>
      <c r="B171" s="413"/>
      <c r="C171" s="533" t="s">
        <v>978</v>
      </c>
      <c r="D171" s="526"/>
      <c r="E171" s="532"/>
      <c r="F171" s="528"/>
      <c r="G171" s="432"/>
      <c r="H171" s="409"/>
      <c r="I171" s="411"/>
      <c r="J171" s="411"/>
      <c r="K171" s="411"/>
      <c r="L171" s="411"/>
      <c r="M171" s="411"/>
      <c r="N171" s="411"/>
      <c r="O171" s="411"/>
      <c r="P171" s="411"/>
    </row>
    <row r="172" spans="1:16" ht="15.75" customHeight="1">
      <c r="A172" s="408"/>
      <c r="B172" s="413"/>
      <c r="C172" s="534" t="s">
        <v>979</v>
      </c>
      <c r="D172" s="526"/>
      <c r="E172" s="532"/>
      <c r="F172" s="528"/>
      <c r="G172" s="432"/>
      <c r="H172" s="409"/>
      <c r="I172" s="411"/>
      <c r="J172" s="411"/>
      <c r="K172" s="411"/>
      <c r="L172" s="411"/>
      <c r="M172" s="411"/>
      <c r="N172" s="411"/>
      <c r="O172" s="411"/>
      <c r="P172" s="411"/>
    </row>
    <row r="173" spans="1:16" ht="15.75" customHeight="1">
      <c r="A173" s="408"/>
      <c r="B173" s="413"/>
      <c r="C173" s="535" t="s">
        <v>980</v>
      </c>
      <c r="D173" s="442" t="s">
        <v>336</v>
      </c>
      <c r="E173" s="536">
        <v>1300000</v>
      </c>
      <c r="F173" s="528"/>
      <c r="G173" s="432"/>
      <c r="H173" s="409"/>
      <c r="I173" s="411"/>
      <c r="J173" s="411"/>
      <c r="K173" s="411"/>
      <c r="L173" s="411"/>
      <c r="M173" s="411"/>
      <c r="N173" s="411"/>
      <c r="O173" s="411"/>
      <c r="P173" s="411"/>
    </row>
    <row r="174" spans="1:16" ht="15.75" customHeight="1">
      <c r="A174" s="408"/>
      <c r="B174" s="413"/>
      <c r="C174" s="535" t="s">
        <v>981</v>
      </c>
      <c r="D174" s="442" t="s">
        <v>336</v>
      </c>
      <c r="E174" s="536">
        <v>50000</v>
      </c>
      <c r="F174" s="528"/>
      <c r="G174" s="432"/>
      <c r="H174" s="409"/>
      <c r="I174" s="411"/>
      <c r="J174" s="411"/>
      <c r="K174" s="411"/>
      <c r="L174" s="411"/>
      <c r="M174" s="411"/>
      <c r="N174" s="411"/>
      <c r="O174" s="411"/>
      <c r="P174" s="411"/>
    </row>
    <row r="175" spans="1:16" ht="15.75" customHeight="1">
      <c r="A175" s="408"/>
      <c r="B175" s="413"/>
      <c r="C175" s="535" t="s">
        <v>982</v>
      </c>
      <c r="D175" s="442" t="s">
        <v>336</v>
      </c>
      <c r="E175" s="536">
        <v>75000</v>
      </c>
      <c r="F175" s="528"/>
      <c r="G175" s="432"/>
      <c r="H175" s="409"/>
      <c r="I175" s="411"/>
      <c r="J175" s="411"/>
      <c r="K175" s="411"/>
      <c r="L175" s="411"/>
      <c r="M175" s="411"/>
      <c r="N175" s="411"/>
      <c r="O175" s="411"/>
      <c r="P175" s="411"/>
    </row>
    <row r="176" spans="1:16" ht="15.75" customHeight="1">
      <c r="A176" s="408"/>
      <c r="B176" s="413"/>
      <c r="C176" s="535" t="s">
        <v>983</v>
      </c>
      <c r="D176" s="442" t="s">
        <v>336</v>
      </c>
      <c r="E176" s="536">
        <v>80000</v>
      </c>
      <c r="F176" s="528"/>
      <c r="G176" s="432"/>
      <c r="H176" s="409"/>
      <c r="I176" s="411"/>
      <c r="J176" s="411"/>
      <c r="K176" s="411"/>
      <c r="L176" s="411"/>
      <c r="M176" s="411"/>
      <c r="N176" s="411"/>
      <c r="O176" s="411"/>
      <c r="P176" s="411"/>
    </row>
    <row r="177" spans="1:16" ht="15.75" customHeight="1">
      <c r="A177" s="408"/>
      <c r="B177" s="413"/>
      <c r="C177" s="535" t="s">
        <v>984</v>
      </c>
      <c r="D177" s="442" t="s">
        <v>336</v>
      </c>
      <c r="E177" s="536">
        <v>90000</v>
      </c>
      <c r="F177" s="528"/>
      <c r="G177" s="432"/>
      <c r="H177" s="409"/>
      <c r="I177" s="411"/>
      <c r="J177" s="411"/>
      <c r="K177" s="411"/>
      <c r="L177" s="411"/>
      <c r="M177" s="411"/>
      <c r="N177" s="411"/>
      <c r="O177" s="411"/>
      <c r="P177" s="411"/>
    </row>
    <row r="178" spans="1:16" ht="15.75" customHeight="1">
      <c r="A178" s="408"/>
      <c r="B178" s="413"/>
      <c r="C178" s="535" t="s">
        <v>985</v>
      </c>
      <c r="D178" s="442" t="s">
        <v>336</v>
      </c>
      <c r="E178" s="536">
        <v>40000</v>
      </c>
      <c r="F178" s="528"/>
      <c r="G178" s="432"/>
      <c r="H178" s="409"/>
      <c r="I178" s="411"/>
      <c r="J178" s="411"/>
      <c r="K178" s="411"/>
      <c r="L178" s="411"/>
      <c r="M178" s="411"/>
      <c r="N178" s="411"/>
      <c r="O178" s="411"/>
      <c r="P178" s="411"/>
    </row>
    <row r="179" spans="1:16" ht="15.75" customHeight="1">
      <c r="A179" s="408"/>
      <c r="B179" s="413"/>
      <c r="C179" s="535" t="s">
        <v>986</v>
      </c>
      <c r="D179" s="442" t="s">
        <v>336</v>
      </c>
      <c r="E179" s="536">
        <v>30000</v>
      </c>
      <c r="F179" s="528"/>
      <c r="G179" s="432"/>
      <c r="H179" s="409"/>
      <c r="I179" s="411"/>
      <c r="J179" s="411"/>
      <c r="K179" s="411"/>
      <c r="L179" s="411"/>
      <c r="M179" s="411"/>
      <c r="N179" s="411"/>
      <c r="O179" s="411"/>
      <c r="P179" s="411"/>
    </row>
    <row r="180" spans="1:16" ht="15.75" customHeight="1">
      <c r="A180" s="408"/>
      <c r="B180" s="413"/>
      <c r="C180" s="535" t="s">
        <v>987</v>
      </c>
      <c r="D180" s="442" t="s">
        <v>336</v>
      </c>
      <c r="E180" s="536">
        <v>100000</v>
      </c>
      <c r="F180" s="528"/>
      <c r="G180" s="432"/>
      <c r="H180" s="409"/>
      <c r="I180" s="411"/>
      <c r="J180" s="411"/>
      <c r="K180" s="411"/>
      <c r="L180" s="411"/>
      <c r="M180" s="411"/>
      <c r="N180" s="411"/>
      <c r="O180" s="411"/>
      <c r="P180" s="411"/>
    </row>
    <row r="181" spans="1:16" ht="15.75" customHeight="1">
      <c r="A181" s="408"/>
      <c r="B181" s="413"/>
      <c r="C181" s="535" t="s">
        <v>948</v>
      </c>
      <c r="D181" s="442" t="s">
        <v>336</v>
      </c>
      <c r="E181" s="536">
        <v>50000</v>
      </c>
      <c r="F181" s="528"/>
      <c r="G181" s="432"/>
      <c r="H181" s="409"/>
      <c r="I181" s="411"/>
      <c r="J181" s="411"/>
      <c r="K181" s="411"/>
      <c r="L181" s="411"/>
      <c r="M181" s="411"/>
      <c r="N181" s="411"/>
      <c r="O181" s="411"/>
      <c r="P181" s="411"/>
    </row>
    <row r="182" spans="1:16" ht="15.75" customHeight="1">
      <c r="A182" s="408"/>
      <c r="B182" s="413"/>
      <c r="C182" s="529" t="s">
        <v>988</v>
      </c>
      <c r="D182" s="442" t="s">
        <v>336</v>
      </c>
      <c r="E182" s="536">
        <v>50000</v>
      </c>
      <c r="F182" s="528"/>
      <c r="G182" s="432"/>
      <c r="H182" s="409"/>
      <c r="I182" s="411"/>
      <c r="J182" s="411"/>
      <c r="K182" s="411"/>
      <c r="L182" s="411"/>
      <c r="M182" s="411"/>
      <c r="N182" s="411"/>
      <c r="O182" s="411"/>
      <c r="P182" s="411"/>
    </row>
    <row r="183" spans="1:16" ht="15.75" customHeight="1">
      <c r="A183" s="408"/>
      <c r="B183" s="413"/>
      <c r="C183" s="529" t="s">
        <v>989</v>
      </c>
      <c r="D183" s="442" t="s">
        <v>336</v>
      </c>
      <c r="E183" s="536">
        <v>150000</v>
      </c>
      <c r="F183" s="528"/>
      <c r="G183" s="432"/>
      <c r="H183" s="409"/>
      <c r="I183" s="411"/>
      <c r="J183" s="411"/>
      <c r="K183" s="411"/>
      <c r="L183" s="411"/>
      <c r="M183" s="411"/>
      <c r="N183" s="411"/>
      <c r="O183" s="411"/>
      <c r="P183" s="411"/>
    </row>
    <row r="184" spans="1:16" ht="15.75" customHeight="1">
      <c r="A184" s="408"/>
      <c r="B184" s="413"/>
      <c r="C184" s="535" t="s">
        <v>990</v>
      </c>
      <c r="D184" s="442" t="s">
        <v>336</v>
      </c>
      <c r="E184" s="536">
        <v>30000</v>
      </c>
      <c r="F184" s="528"/>
      <c r="G184" s="432"/>
      <c r="H184" s="409"/>
      <c r="I184" s="411"/>
      <c r="J184" s="411"/>
      <c r="K184" s="411"/>
      <c r="L184" s="411"/>
      <c r="M184" s="411"/>
      <c r="N184" s="411"/>
      <c r="O184" s="411"/>
      <c r="P184" s="411"/>
    </row>
    <row r="185" spans="1:16" ht="15.75" customHeight="1">
      <c r="A185" s="408"/>
      <c r="B185" s="413"/>
      <c r="C185" s="535" t="s">
        <v>991</v>
      </c>
      <c r="D185" s="442" t="s">
        <v>336</v>
      </c>
      <c r="E185" s="527"/>
      <c r="F185" s="528"/>
      <c r="G185" s="432"/>
      <c r="H185" s="409"/>
      <c r="I185" s="411"/>
      <c r="J185" s="411"/>
      <c r="K185" s="411"/>
      <c r="L185" s="411"/>
      <c r="M185" s="411"/>
      <c r="N185" s="411"/>
      <c r="O185" s="411"/>
      <c r="P185" s="411"/>
    </row>
    <row r="186" spans="1:16" ht="15.75" customHeight="1">
      <c r="A186" s="408"/>
      <c r="B186" s="413"/>
      <c r="C186" s="529"/>
      <c r="D186" s="526"/>
      <c r="E186" s="527"/>
      <c r="F186" s="528"/>
      <c r="G186" s="432"/>
      <c r="H186" s="409"/>
      <c r="I186" s="411"/>
      <c r="J186" s="411"/>
      <c r="K186" s="411"/>
      <c r="L186" s="411"/>
      <c r="M186" s="411"/>
      <c r="N186" s="411"/>
      <c r="O186" s="411"/>
      <c r="P186" s="411"/>
    </row>
    <row r="187" spans="1:16" ht="15.75" customHeight="1">
      <c r="A187" s="408"/>
      <c r="B187" s="413"/>
      <c r="C187" s="533" t="s">
        <v>992</v>
      </c>
      <c r="D187" s="526"/>
      <c r="E187" s="527"/>
      <c r="F187" s="528"/>
      <c r="G187" s="432"/>
      <c r="H187" s="409"/>
      <c r="I187" s="411"/>
      <c r="J187" s="411"/>
      <c r="K187" s="411"/>
      <c r="L187" s="411"/>
      <c r="M187" s="411"/>
      <c r="N187" s="411"/>
      <c r="O187" s="411"/>
      <c r="P187" s="411"/>
    </row>
    <row r="188" spans="1:16" ht="15.75" customHeight="1">
      <c r="A188" s="408"/>
      <c r="B188" s="413"/>
      <c r="C188" s="535" t="s">
        <v>993</v>
      </c>
      <c r="D188" s="442" t="s">
        <v>336</v>
      </c>
      <c r="E188" s="536">
        <v>2700000</v>
      </c>
      <c r="F188" s="528"/>
      <c r="G188" s="432"/>
      <c r="H188" s="409"/>
      <c r="I188" s="411"/>
      <c r="J188" s="411"/>
      <c r="K188" s="411"/>
      <c r="L188" s="411"/>
      <c r="M188" s="411"/>
      <c r="N188" s="411"/>
      <c r="O188" s="411"/>
      <c r="P188" s="411"/>
    </row>
    <row r="189" spans="1:16" ht="15.75" customHeight="1">
      <c r="A189" s="408"/>
      <c r="B189" s="413"/>
      <c r="C189" s="535" t="s">
        <v>994</v>
      </c>
      <c r="D189" s="442" t="s">
        <v>336</v>
      </c>
      <c r="E189" s="536">
        <v>2600000</v>
      </c>
      <c r="F189" s="528"/>
      <c r="G189" s="432"/>
      <c r="H189" s="409"/>
      <c r="I189" s="411"/>
      <c r="J189" s="411"/>
      <c r="K189" s="411"/>
      <c r="L189" s="411"/>
      <c r="M189" s="411"/>
      <c r="N189" s="411"/>
      <c r="O189" s="411"/>
      <c r="P189" s="411"/>
    </row>
    <row r="190" spans="1:16" ht="15.75" customHeight="1">
      <c r="A190" s="408"/>
      <c r="B190" s="413"/>
      <c r="C190" s="535" t="s">
        <v>995</v>
      </c>
      <c r="D190" s="442" t="s">
        <v>336</v>
      </c>
      <c r="E190" s="536">
        <v>250000</v>
      </c>
      <c r="F190" s="528"/>
      <c r="G190" s="432"/>
      <c r="H190" s="409"/>
      <c r="I190" s="411"/>
      <c r="J190" s="411"/>
      <c r="K190" s="411"/>
      <c r="L190" s="411"/>
      <c r="M190" s="411"/>
      <c r="N190" s="411"/>
      <c r="O190" s="411"/>
      <c r="P190" s="411"/>
    </row>
    <row r="191" spans="1:16" ht="15.75" customHeight="1">
      <c r="A191" s="408"/>
      <c r="B191" s="413"/>
      <c r="C191" s="535" t="s">
        <v>996</v>
      </c>
      <c r="D191" s="442" t="s">
        <v>336</v>
      </c>
      <c r="E191" s="536">
        <v>200000</v>
      </c>
      <c r="F191" s="528"/>
      <c r="G191" s="432"/>
      <c r="H191" s="409"/>
      <c r="I191" s="411"/>
      <c r="J191" s="411"/>
      <c r="K191" s="411"/>
      <c r="L191" s="411"/>
      <c r="M191" s="411"/>
      <c r="N191" s="411"/>
      <c r="O191" s="411"/>
      <c r="P191" s="411"/>
    </row>
    <row r="192" spans="1:16" ht="15.75" customHeight="1">
      <c r="A192" s="408"/>
      <c r="B192" s="413"/>
      <c r="C192" s="535" t="s">
        <v>997</v>
      </c>
      <c r="D192" s="442" t="s">
        <v>336</v>
      </c>
      <c r="E192" s="536">
        <v>200000</v>
      </c>
      <c r="F192" s="528"/>
      <c r="G192" s="432"/>
      <c r="H192" s="409"/>
      <c r="I192" s="411"/>
      <c r="J192" s="411"/>
      <c r="K192" s="411"/>
      <c r="L192" s="411"/>
      <c r="M192" s="411"/>
      <c r="N192" s="411"/>
      <c r="O192" s="411"/>
      <c r="P192" s="411"/>
    </row>
    <row r="193" spans="1:16" ht="15.75" customHeight="1">
      <c r="A193" s="408"/>
      <c r="B193" s="413"/>
      <c r="C193" s="535" t="s">
        <v>998</v>
      </c>
      <c r="D193" s="442" t="s">
        <v>336</v>
      </c>
      <c r="E193" s="536">
        <v>230000</v>
      </c>
      <c r="F193" s="528"/>
      <c r="G193" s="432"/>
      <c r="H193" s="409"/>
      <c r="I193" s="411"/>
      <c r="J193" s="411"/>
      <c r="K193" s="411"/>
      <c r="L193" s="411"/>
      <c r="M193" s="411"/>
      <c r="N193" s="411"/>
      <c r="O193" s="411"/>
      <c r="P193" s="411"/>
    </row>
    <row r="194" spans="1:16" ht="15.75" customHeight="1">
      <c r="A194" s="408"/>
      <c r="B194" s="413"/>
      <c r="C194" s="535" t="s">
        <v>999</v>
      </c>
      <c r="D194" s="442" t="s">
        <v>336</v>
      </c>
      <c r="E194" s="536">
        <v>300000</v>
      </c>
      <c r="F194" s="528"/>
      <c r="G194" s="432"/>
      <c r="H194" s="409"/>
      <c r="I194" s="411"/>
      <c r="J194" s="411"/>
      <c r="K194" s="411"/>
      <c r="L194" s="411"/>
      <c r="M194" s="411"/>
      <c r="N194" s="411"/>
      <c r="O194" s="411"/>
      <c r="P194" s="411"/>
    </row>
    <row r="195" spans="1:16" ht="15.75" customHeight="1">
      <c r="A195" s="408"/>
      <c r="B195" s="413"/>
      <c r="C195" s="535" t="s">
        <v>1000</v>
      </c>
      <c r="D195" s="442" t="s">
        <v>336</v>
      </c>
      <c r="E195" s="536">
        <v>30000</v>
      </c>
      <c r="F195" s="528"/>
      <c r="G195" s="432"/>
      <c r="H195" s="409"/>
      <c r="I195" s="411"/>
      <c r="J195" s="411"/>
      <c r="K195" s="411"/>
      <c r="L195" s="411"/>
      <c r="M195" s="411"/>
      <c r="N195" s="411"/>
      <c r="O195" s="411"/>
      <c r="P195" s="411"/>
    </row>
    <row r="196" spans="1:16" ht="15.75" customHeight="1">
      <c r="A196" s="408"/>
      <c r="B196" s="413"/>
      <c r="C196" s="535" t="s">
        <v>1001</v>
      </c>
      <c r="D196" s="442" t="s">
        <v>336</v>
      </c>
      <c r="E196" s="536">
        <v>70000</v>
      </c>
      <c r="F196" s="528"/>
      <c r="G196" s="432"/>
      <c r="H196" s="409"/>
      <c r="I196" s="411"/>
      <c r="J196" s="411"/>
      <c r="K196" s="411"/>
      <c r="L196" s="411"/>
      <c r="M196" s="411"/>
      <c r="N196" s="411"/>
      <c r="O196" s="411"/>
      <c r="P196" s="411"/>
    </row>
    <row r="197" spans="1:16" ht="15.75" customHeight="1">
      <c r="A197" s="408"/>
      <c r="B197" s="413"/>
      <c r="C197" s="529"/>
      <c r="D197" s="526"/>
      <c r="E197" s="527"/>
      <c r="F197" s="528"/>
      <c r="G197" s="432"/>
      <c r="H197" s="409"/>
      <c r="I197" s="411"/>
      <c r="J197" s="411"/>
      <c r="K197" s="411"/>
      <c r="L197" s="411"/>
      <c r="M197" s="411"/>
      <c r="N197" s="411"/>
      <c r="O197" s="411"/>
      <c r="P197" s="411"/>
    </row>
    <row r="198" spans="1:16" ht="15.75" customHeight="1">
      <c r="A198" s="408"/>
      <c r="B198" s="413"/>
      <c r="C198" s="533" t="s">
        <v>1002</v>
      </c>
      <c r="D198" s="526"/>
      <c r="E198" s="527"/>
      <c r="F198" s="528"/>
      <c r="G198" s="432"/>
      <c r="H198" s="409"/>
      <c r="I198" s="411"/>
      <c r="J198" s="411"/>
      <c r="K198" s="411"/>
      <c r="L198" s="411"/>
      <c r="M198" s="411"/>
      <c r="N198" s="411"/>
      <c r="O198" s="411"/>
      <c r="P198" s="411"/>
    </row>
    <row r="199" spans="1:16" ht="15.75" customHeight="1">
      <c r="A199" s="408"/>
      <c r="B199" s="413"/>
      <c r="C199" s="535" t="s">
        <v>1003</v>
      </c>
      <c r="D199" s="442" t="s">
        <v>336</v>
      </c>
      <c r="E199" s="536">
        <v>80000</v>
      </c>
      <c r="F199" s="528"/>
      <c r="G199" s="432"/>
      <c r="H199" s="409"/>
      <c r="I199" s="411"/>
      <c r="J199" s="411"/>
      <c r="K199" s="411"/>
      <c r="L199" s="411"/>
      <c r="M199" s="411"/>
      <c r="N199" s="411"/>
      <c r="O199" s="411"/>
      <c r="P199" s="411"/>
    </row>
    <row r="200" spans="1:16" ht="15.75" customHeight="1">
      <c r="A200" s="408"/>
      <c r="B200" s="413"/>
      <c r="C200" s="535" t="s">
        <v>1004</v>
      </c>
      <c r="D200" s="442" t="s">
        <v>336</v>
      </c>
      <c r="E200" s="536">
        <v>900000</v>
      </c>
      <c r="F200" s="528"/>
      <c r="G200" s="432"/>
      <c r="H200" s="409"/>
      <c r="I200" s="411"/>
      <c r="J200" s="411"/>
      <c r="K200" s="411"/>
      <c r="L200" s="411"/>
      <c r="M200" s="411"/>
      <c r="N200" s="411"/>
      <c r="O200" s="411"/>
      <c r="P200" s="411"/>
    </row>
    <row r="201" spans="1:16" ht="15.75" customHeight="1">
      <c r="A201" s="408"/>
      <c r="B201" s="413"/>
      <c r="C201" s="535" t="s">
        <v>1005</v>
      </c>
      <c r="D201" s="442" t="s">
        <v>336</v>
      </c>
      <c r="E201" s="536">
        <v>70000</v>
      </c>
      <c r="F201" s="528"/>
      <c r="G201" s="432"/>
      <c r="H201" s="409"/>
      <c r="I201" s="411"/>
      <c r="J201" s="411"/>
      <c r="K201" s="411"/>
      <c r="L201" s="411"/>
      <c r="M201" s="411"/>
      <c r="N201" s="411"/>
      <c r="O201" s="411"/>
      <c r="P201" s="411"/>
    </row>
    <row r="202" spans="1:16" ht="15.75" customHeight="1">
      <c r="A202" s="408"/>
      <c r="B202" s="413"/>
      <c r="C202" s="535" t="s">
        <v>1006</v>
      </c>
      <c r="D202" s="442" t="s">
        <v>336</v>
      </c>
      <c r="E202" s="536">
        <v>50000</v>
      </c>
      <c r="F202" s="528"/>
      <c r="G202" s="432"/>
      <c r="H202" s="409"/>
      <c r="I202" s="411"/>
      <c r="J202" s="411"/>
      <c r="K202" s="411"/>
      <c r="L202" s="411"/>
      <c r="M202" s="411"/>
      <c r="N202" s="411"/>
      <c r="O202" s="411"/>
      <c r="P202" s="411"/>
    </row>
    <row r="203" spans="1:16" ht="15.75" customHeight="1">
      <c r="A203" s="408"/>
      <c r="B203" s="413"/>
      <c r="C203" s="535" t="s">
        <v>1007</v>
      </c>
      <c r="D203" s="442" t="s">
        <v>336</v>
      </c>
      <c r="E203" s="536">
        <v>150000</v>
      </c>
      <c r="F203" s="528"/>
      <c r="G203" s="432"/>
      <c r="H203" s="409"/>
      <c r="I203" s="411"/>
      <c r="J203" s="411"/>
      <c r="K203" s="411"/>
      <c r="L203" s="411"/>
      <c r="M203" s="411"/>
      <c r="N203" s="411"/>
      <c r="O203" s="411"/>
      <c r="P203" s="411"/>
    </row>
    <row r="204" spans="1:16" ht="15.75" customHeight="1">
      <c r="A204" s="408"/>
      <c r="B204" s="413"/>
      <c r="C204" s="535" t="s">
        <v>1008</v>
      </c>
      <c r="D204" s="442" t="s">
        <v>336</v>
      </c>
      <c r="E204" s="536">
        <v>150000</v>
      </c>
      <c r="F204" s="528"/>
      <c r="G204" s="432"/>
      <c r="H204" s="409"/>
      <c r="I204" s="411"/>
      <c r="J204" s="411"/>
      <c r="K204" s="411"/>
      <c r="L204" s="411"/>
      <c r="M204" s="411"/>
      <c r="N204" s="411"/>
      <c r="O204" s="411"/>
      <c r="P204" s="411"/>
    </row>
    <row r="205" spans="1:16" ht="15.75" customHeight="1">
      <c r="A205" s="408"/>
      <c r="B205" s="413"/>
      <c r="C205" s="535" t="s">
        <v>1009</v>
      </c>
      <c r="D205" s="442" t="s">
        <v>336</v>
      </c>
      <c r="E205" s="536">
        <v>100000</v>
      </c>
      <c r="F205" s="528"/>
      <c r="G205" s="432"/>
      <c r="H205" s="409"/>
      <c r="I205" s="411"/>
      <c r="J205" s="411"/>
      <c r="K205" s="411"/>
      <c r="L205" s="411"/>
      <c r="M205" s="411"/>
      <c r="N205" s="411"/>
      <c r="O205" s="411"/>
      <c r="P205" s="411"/>
    </row>
    <row r="206" spans="1:16" ht="15.75" customHeight="1">
      <c r="A206" s="408"/>
      <c r="B206" s="413"/>
      <c r="C206" s="529"/>
      <c r="D206" s="526"/>
      <c r="E206" s="527"/>
      <c r="F206" s="528"/>
      <c r="G206" s="432"/>
      <c r="H206" s="409"/>
      <c r="I206" s="411"/>
      <c r="J206" s="411"/>
      <c r="K206" s="411"/>
      <c r="L206" s="411"/>
      <c r="M206" s="411"/>
      <c r="N206" s="411"/>
      <c r="O206" s="411"/>
      <c r="P206" s="411"/>
    </row>
    <row r="207" spans="1:16" ht="15.75" customHeight="1">
      <c r="A207" s="408"/>
      <c r="B207" s="413"/>
      <c r="C207" s="533" t="s">
        <v>948</v>
      </c>
      <c r="D207" s="526"/>
      <c r="E207" s="527"/>
      <c r="F207" s="528"/>
      <c r="G207" s="432"/>
      <c r="H207" s="409"/>
      <c r="I207" s="411"/>
      <c r="J207" s="411"/>
      <c r="K207" s="411"/>
      <c r="L207" s="411"/>
      <c r="M207" s="411"/>
      <c r="N207" s="411"/>
      <c r="O207" s="411"/>
      <c r="P207" s="411"/>
    </row>
    <row r="208" spans="1:16" ht="15.75" customHeight="1">
      <c r="A208" s="408"/>
      <c r="B208" s="413"/>
      <c r="C208" s="529" t="s">
        <v>1010</v>
      </c>
      <c r="D208" s="442" t="s">
        <v>336</v>
      </c>
      <c r="E208" s="536">
        <v>0</v>
      </c>
      <c r="F208" s="528"/>
      <c r="G208" s="432"/>
      <c r="H208" s="409"/>
      <c r="I208" s="411"/>
      <c r="J208" s="411"/>
      <c r="K208" s="411"/>
      <c r="L208" s="411"/>
      <c r="M208" s="411"/>
      <c r="N208" s="411"/>
      <c r="O208" s="411"/>
      <c r="P208" s="411"/>
    </row>
    <row r="209" spans="1:16" ht="15.75" customHeight="1">
      <c r="A209" s="408"/>
      <c r="B209" s="413"/>
      <c r="C209" s="529" t="s">
        <v>1011</v>
      </c>
      <c r="D209" s="442" t="s">
        <v>336</v>
      </c>
      <c r="E209" s="536">
        <v>120000</v>
      </c>
      <c r="F209" s="528"/>
      <c r="G209" s="432"/>
      <c r="H209" s="409"/>
      <c r="I209" s="411"/>
      <c r="J209" s="411"/>
      <c r="K209" s="411"/>
      <c r="L209" s="411"/>
      <c r="M209" s="411"/>
      <c r="N209" s="411"/>
      <c r="O209" s="411"/>
      <c r="P209" s="411"/>
    </row>
    <row r="210" spans="1:16" ht="15.75" customHeight="1">
      <c r="A210" s="408"/>
      <c r="B210" s="413"/>
      <c r="C210" s="529" t="s">
        <v>1012</v>
      </c>
      <c r="D210" s="442" t="s">
        <v>336</v>
      </c>
      <c r="E210" s="536">
        <v>30000</v>
      </c>
      <c r="F210" s="528"/>
      <c r="G210" s="432"/>
      <c r="H210" s="409"/>
      <c r="I210" s="411"/>
      <c r="J210" s="411"/>
      <c r="K210" s="411"/>
      <c r="L210" s="411"/>
      <c r="M210" s="411"/>
      <c r="N210" s="411"/>
      <c r="O210" s="411"/>
      <c r="P210" s="411"/>
    </row>
    <row r="211" spans="1:16" ht="15.75" customHeight="1">
      <c r="A211" s="408"/>
      <c r="B211" s="413"/>
      <c r="C211" s="529" t="s">
        <v>1013</v>
      </c>
      <c r="D211" s="442" t="s">
        <v>336</v>
      </c>
      <c r="E211" s="536">
        <v>15000</v>
      </c>
      <c r="F211" s="528"/>
      <c r="G211" s="432"/>
      <c r="H211" s="409"/>
      <c r="I211" s="411"/>
      <c r="J211" s="411"/>
      <c r="K211" s="411"/>
      <c r="L211" s="411"/>
      <c r="M211" s="411"/>
      <c r="N211" s="411"/>
      <c r="O211" s="411"/>
      <c r="P211" s="411"/>
    </row>
    <row r="212" spans="1:16" ht="15.75" customHeight="1">
      <c r="A212" s="408"/>
      <c r="B212" s="413"/>
      <c r="C212" s="529" t="s">
        <v>1014</v>
      </c>
      <c r="D212" s="442" t="s">
        <v>336</v>
      </c>
      <c r="E212" s="536">
        <v>30000</v>
      </c>
      <c r="F212" s="528"/>
      <c r="G212" s="432"/>
      <c r="H212" s="409"/>
      <c r="I212" s="411"/>
      <c r="J212" s="411"/>
      <c r="K212" s="411"/>
      <c r="L212" s="411"/>
      <c r="M212" s="411"/>
      <c r="N212" s="411"/>
      <c r="O212" s="411"/>
      <c r="P212" s="411"/>
    </row>
    <row r="213" spans="1:16" ht="15.75" customHeight="1">
      <c r="A213" s="408"/>
      <c r="B213" s="413"/>
      <c r="C213" s="529" t="s">
        <v>1015</v>
      </c>
      <c r="D213" s="442" t="s">
        <v>336</v>
      </c>
      <c r="E213" s="536">
        <v>70000</v>
      </c>
      <c r="F213" s="528"/>
      <c r="G213" s="432"/>
      <c r="H213" s="409"/>
      <c r="I213" s="411"/>
      <c r="J213" s="411"/>
      <c r="K213" s="411"/>
      <c r="L213" s="411"/>
      <c r="M213" s="411"/>
      <c r="N213" s="411"/>
      <c r="O213" s="411"/>
      <c r="P213" s="411"/>
    </row>
    <row r="214" spans="1:16" ht="15.75" customHeight="1">
      <c r="A214" s="408"/>
      <c r="B214" s="413"/>
      <c r="C214" s="529" t="s">
        <v>1016</v>
      </c>
      <c r="D214" s="442" t="s">
        <v>336</v>
      </c>
      <c r="E214" s="536">
        <v>0</v>
      </c>
      <c r="F214" s="528"/>
      <c r="G214" s="432"/>
      <c r="H214" s="409"/>
      <c r="I214" s="411"/>
      <c r="J214" s="411"/>
      <c r="K214" s="411"/>
      <c r="L214" s="411"/>
      <c r="M214" s="411"/>
      <c r="N214" s="411"/>
      <c r="O214" s="411"/>
      <c r="P214" s="411"/>
    </row>
    <row r="215" spans="1:16" ht="15.75" customHeight="1">
      <c r="A215" s="408"/>
      <c r="B215" s="413"/>
      <c r="C215" s="529" t="s">
        <v>1017</v>
      </c>
      <c r="D215" s="442" t="s">
        <v>336</v>
      </c>
      <c r="E215" s="536">
        <v>100000</v>
      </c>
      <c r="F215" s="528"/>
      <c r="G215" s="432"/>
      <c r="H215" s="409"/>
      <c r="I215" s="411"/>
      <c r="J215" s="411"/>
      <c r="K215" s="411"/>
      <c r="L215" s="411"/>
      <c r="M215" s="411"/>
      <c r="N215" s="411"/>
      <c r="O215" s="411"/>
      <c r="P215" s="411"/>
    </row>
    <row r="216" spans="1:16" ht="15.75" customHeight="1">
      <c r="A216" s="408"/>
      <c r="B216" s="413"/>
      <c r="C216" s="529" t="s">
        <v>1018</v>
      </c>
      <c r="D216" s="442" t="s">
        <v>336</v>
      </c>
      <c r="E216" s="536">
        <v>0</v>
      </c>
      <c r="F216" s="528"/>
      <c r="G216" s="432"/>
      <c r="H216" s="409"/>
      <c r="I216" s="411"/>
      <c r="J216" s="411"/>
      <c r="K216" s="411"/>
      <c r="L216" s="411"/>
      <c r="M216" s="411"/>
      <c r="N216" s="411"/>
      <c r="O216" s="411"/>
      <c r="P216" s="411"/>
    </row>
    <row r="217" spans="1:16" ht="15.75" customHeight="1">
      <c r="A217" s="408"/>
      <c r="B217" s="413"/>
      <c r="C217" s="529" t="s">
        <v>1019</v>
      </c>
      <c r="D217" s="442" t="s">
        <v>336</v>
      </c>
      <c r="E217" s="536">
        <v>75000</v>
      </c>
      <c r="F217" s="528"/>
      <c r="G217" s="432"/>
      <c r="H217" s="409"/>
      <c r="I217" s="411"/>
      <c r="J217" s="411"/>
      <c r="K217" s="411"/>
      <c r="L217" s="411"/>
      <c r="M217" s="411"/>
      <c r="N217" s="411"/>
      <c r="O217" s="411"/>
      <c r="P217" s="411"/>
    </row>
    <row r="218" spans="1:16" ht="15.75" customHeight="1">
      <c r="A218" s="408"/>
      <c r="B218" s="413"/>
      <c r="C218" s="529" t="s">
        <v>1020</v>
      </c>
      <c r="D218" s="442" t="s">
        <v>336</v>
      </c>
      <c r="E218" s="536">
        <v>50000</v>
      </c>
      <c r="F218" s="528"/>
      <c r="G218" s="432"/>
      <c r="H218" s="409"/>
      <c r="I218" s="411"/>
      <c r="J218" s="411"/>
      <c r="K218" s="411"/>
      <c r="L218" s="411"/>
      <c r="M218" s="411"/>
      <c r="N218" s="411"/>
      <c r="O218" s="411"/>
      <c r="P218" s="411"/>
    </row>
    <row r="219" spans="1:16" ht="15.75" customHeight="1">
      <c r="A219" s="408"/>
      <c r="B219" s="413"/>
      <c r="C219" s="529"/>
      <c r="D219" s="526"/>
      <c r="E219" s="527"/>
      <c r="F219" s="528"/>
      <c r="G219" s="432"/>
      <c r="H219" s="409"/>
      <c r="I219" s="411"/>
      <c r="J219" s="411"/>
      <c r="K219" s="411"/>
      <c r="L219" s="411"/>
      <c r="M219" s="411"/>
      <c r="N219" s="411"/>
      <c r="O219" s="411"/>
      <c r="P219" s="411"/>
    </row>
    <row r="220" spans="1:16" ht="15.75" customHeight="1">
      <c r="A220" s="408"/>
      <c r="B220" s="413"/>
      <c r="C220" s="533" t="s">
        <v>950</v>
      </c>
      <c r="D220" s="526"/>
      <c r="E220" s="527"/>
      <c r="F220" s="528"/>
      <c r="G220" s="432"/>
      <c r="H220" s="409"/>
      <c r="I220" s="411"/>
      <c r="J220" s="411"/>
      <c r="K220" s="411"/>
      <c r="L220" s="411"/>
      <c r="M220" s="411"/>
      <c r="N220" s="411"/>
      <c r="O220" s="411"/>
      <c r="P220" s="411"/>
    </row>
    <row r="221" spans="1:16" ht="15.75" customHeight="1">
      <c r="A221" s="408"/>
      <c r="B221" s="413"/>
      <c r="C221" s="535" t="s">
        <v>1021</v>
      </c>
      <c r="D221" s="442" t="s">
        <v>336</v>
      </c>
      <c r="E221" s="536">
        <v>0</v>
      </c>
      <c r="F221" s="528"/>
      <c r="G221" s="432"/>
      <c r="H221" s="409"/>
      <c r="I221" s="411"/>
      <c r="J221" s="411"/>
      <c r="K221" s="411"/>
      <c r="L221" s="411"/>
      <c r="M221" s="411"/>
      <c r="N221" s="411"/>
      <c r="O221" s="411"/>
      <c r="P221" s="411"/>
    </row>
    <row r="222" spans="1:16" ht="15.75" customHeight="1">
      <c r="A222" s="408"/>
      <c r="B222" s="413"/>
      <c r="C222" s="535" t="s">
        <v>1022</v>
      </c>
      <c r="D222" s="442" t="s">
        <v>336</v>
      </c>
      <c r="E222" s="536">
        <v>0</v>
      </c>
      <c r="F222" s="528"/>
      <c r="G222" s="432"/>
      <c r="H222" s="409"/>
      <c r="I222" s="411"/>
      <c r="J222" s="411"/>
      <c r="K222" s="411"/>
      <c r="L222" s="411"/>
      <c r="M222" s="411"/>
      <c r="N222" s="411"/>
      <c r="O222" s="411"/>
      <c r="P222" s="411"/>
    </row>
    <row r="223" spans="1:16" ht="15.75" customHeight="1">
      <c r="A223" s="408"/>
      <c r="B223" s="413"/>
      <c r="C223" s="535" t="s">
        <v>1023</v>
      </c>
      <c r="D223" s="442" t="s">
        <v>336</v>
      </c>
      <c r="E223" s="536">
        <v>0</v>
      </c>
      <c r="F223" s="528"/>
      <c r="G223" s="432"/>
      <c r="H223" s="409"/>
      <c r="I223" s="411"/>
      <c r="J223" s="411"/>
      <c r="K223" s="411"/>
      <c r="L223" s="411"/>
      <c r="M223" s="411"/>
      <c r="N223" s="411"/>
      <c r="O223" s="411"/>
      <c r="P223" s="411"/>
    </row>
    <row r="224" spans="1:16" ht="15.75" customHeight="1">
      <c r="A224" s="408"/>
      <c r="B224" s="413"/>
      <c r="C224" s="535" t="s">
        <v>1024</v>
      </c>
      <c r="D224" s="442" t="s">
        <v>336</v>
      </c>
      <c r="E224" s="536">
        <v>0</v>
      </c>
      <c r="F224" s="528"/>
      <c r="G224" s="432"/>
      <c r="H224" s="409"/>
      <c r="I224" s="411"/>
      <c r="J224" s="411"/>
      <c r="K224" s="411"/>
      <c r="L224" s="411"/>
      <c r="M224" s="411"/>
      <c r="N224" s="411"/>
      <c r="O224" s="411"/>
      <c r="P224" s="411"/>
    </row>
    <row r="225" spans="1:16" ht="15.75" customHeight="1">
      <c r="A225" s="408"/>
      <c r="B225" s="413"/>
      <c r="C225" s="535" t="s">
        <v>1025</v>
      </c>
      <c r="D225" s="442" t="s">
        <v>336</v>
      </c>
      <c r="E225" s="536">
        <v>0</v>
      </c>
      <c r="F225" s="528"/>
      <c r="G225" s="432"/>
      <c r="H225" s="409"/>
      <c r="I225" s="411"/>
      <c r="J225" s="411"/>
      <c r="K225" s="411"/>
      <c r="L225" s="411"/>
      <c r="M225" s="411"/>
      <c r="N225" s="411"/>
      <c r="O225" s="411"/>
      <c r="P225" s="411"/>
    </row>
    <row r="226" spans="1:16" ht="15.75" customHeight="1">
      <c r="A226" s="408"/>
      <c r="B226" s="413"/>
      <c r="C226" s="535" t="s">
        <v>1026</v>
      </c>
      <c r="D226" s="442" t="s">
        <v>336</v>
      </c>
      <c r="E226" s="536">
        <v>100000</v>
      </c>
      <c r="F226" s="528"/>
      <c r="G226" s="432"/>
      <c r="H226" s="409"/>
      <c r="I226" s="411"/>
      <c r="J226" s="411"/>
      <c r="K226" s="411"/>
      <c r="L226" s="411"/>
      <c r="M226" s="411"/>
      <c r="N226" s="411"/>
      <c r="O226" s="411"/>
      <c r="P226" s="411"/>
    </row>
    <row r="227" spans="1:16" ht="15.75" customHeight="1">
      <c r="A227" s="408"/>
      <c r="B227" s="413"/>
      <c r="C227" s="535" t="s">
        <v>1027</v>
      </c>
      <c r="D227" s="442" t="s">
        <v>336</v>
      </c>
      <c r="E227" s="536">
        <v>250000</v>
      </c>
      <c r="F227" s="528"/>
      <c r="G227" s="432"/>
      <c r="H227" s="409"/>
      <c r="I227" s="411"/>
      <c r="J227" s="411"/>
      <c r="K227" s="411"/>
      <c r="L227" s="411"/>
      <c r="M227" s="411"/>
      <c r="N227" s="411"/>
      <c r="O227" s="411"/>
      <c r="P227" s="411"/>
    </row>
    <row r="228" spans="1:16" ht="15.75" customHeight="1">
      <c r="A228" s="408"/>
      <c r="B228" s="413"/>
      <c r="C228" s="535" t="s">
        <v>1028</v>
      </c>
      <c r="D228" s="442" t="s">
        <v>336</v>
      </c>
      <c r="E228" s="536">
        <v>70000</v>
      </c>
      <c r="F228" s="528"/>
      <c r="G228" s="432"/>
      <c r="H228" s="409"/>
      <c r="I228" s="411"/>
      <c r="J228" s="411"/>
      <c r="K228" s="411"/>
      <c r="L228" s="411"/>
      <c r="M228" s="411"/>
      <c r="N228" s="411"/>
      <c r="O228" s="411"/>
      <c r="P228" s="411"/>
    </row>
    <row r="229" spans="1:16" ht="15.75" customHeight="1">
      <c r="A229" s="408"/>
      <c r="B229" s="413"/>
      <c r="C229" s="535" t="s">
        <v>1029</v>
      </c>
      <c r="D229" s="442" t="s">
        <v>336</v>
      </c>
      <c r="E229" s="536">
        <v>30000</v>
      </c>
      <c r="F229" s="528"/>
      <c r="G229" s="432"/>
      <c r="H229" s="409"/>
      <c r="I229" s="411"/>
      <c r="J229" s="411"/>
      <c r="K229" s="411"/>
      <c r="L229" s="411"/>
      <c r="M229" s="411"/>
      <c r="N229" s="411"/>
      <c r="O229" s="411"/>
      <c r="P229" s="411"/>
    </row>
    <row r="230" spans="1:16" ht="15.75" customHeight="1">
      <c r="A230" s="408"/>
      <c r="B230" s="413"/>
      <c r="C230" s="535" t="s">
        <v>1030</v>
      </c>
      <c r="D230" s="442" t="s">
        <v>336</v>
      </c>
      <c r="E230" s="536">
        <v>30000</v>
      </c>
      <c r="F230" s="528"/>
      <c r="G230" s="432"/>
      <c r="H230" s="409"/>
      <c r="I230" s="411"/>
      <c r="J230" s="411"/>
      <c r="K230" s="411"/>
      <c r="L230" s="411"/>
      <c r="M230" s="411"/>
      <c r="N230" s="411"/>
      <c r="O230" s="411"/>
      <c r="P230" s="411"/>
    </row>
    <row r="231" spans="1:16" ht="15.75" customHeight="1">
      <c r="A231" s="408"/>
      <c r="B231" s="413"/>
      <c r="C231" s="535" t="s">
        <v>1031</v>
      </c>
      <c r="D231" s="442" t="s">
        <v>336</v>
      </c>
      <c r="E231" s="536">
        <v>30000</v>
      </c>
      <c r="F231" s="528"/>
      <c r="G231" s="432"/>
      <c r="H231" s="409"/>
      <c r="I231" s="411"/>
      <c r="J231" s="411"/>
      <c r="K231" s="411"/>
      <c r="L231" s="411"/>
      <c r="M231" s="411"/>
      <c r="N231" s="411"/>
      <c r="O231" s="411"/>
      <c r="P231" s="411"/>
    </row>
    <row r="232" spans="1:16" ht="15.75" customHeight="1">
      <c r="A232" s="408"/>
      <c r="B232" s="413"/>
      <c r="C232" s="535" t="s">
        <v>1032</v>
      </c>
      <c r="D232" s="442" t="s">
        <v>336</v>
      </c>
      <c r="E232" s="536">
        <v>20000</v>
      </c>
      <c r="F232" s="528"/>
      <c r="G232" s="432"/>
      <c r="H232" s="409"/>
      <c r="I232" s="411"/>
      <c r="J232" s="411"/>
      <c r="K232" s="411"/>
      <c r="L232" s="411"/>
      <c r="M232" s="411"/>
      <c r="N232" s="411"/>
      <c r="O232" s="411"/>
      <c r="P232" s="411"/>
    </row>
    <row r="233" spans="1:16" ht="15.75" customHeight="1">
      <c r="A233" s="408"/>
      <c r="B233" s="413"/>
      <c r="C233" s="535" t="s">
        <v>1033</v>
      </c>
      <c r="D233" s="442" t="s">
        <v>336</v>
      </c>
      <c r="E233" s="536">
        <v>10000</v>
      </c>
      <c r="F233" s="528"/>
      <c r="G233" s="432"/>
      <c r="H233" s="409"/>
      <c r="I233" s="411"/>
      <c r="J233" s="411"/>
      <c r="K233" s="411"/>
      <c r="L233" s="411"/>
      <c r="M233" s="411"/>
      <c r="N233" s="411"/>
      <c r="O233" s="411"/>
      <c r="P233" s="411"/>
    </row>
    <row r="234" spans="1:16" ht="15.75" customHeight="1">
      <c r="A234" s="408"/>
      <c r="B234" s="413"/>
      <c r="C234" s="535" t="s">
        <v>1034</v>
      </c>
      <c r="D234" s="442" t="s">
        <v>336</v>
      </c>
      <c r="E234" s="536">
        <v>30000</v>
      </c>
      <c r="F234" s="528"/>
      <c r="G234" s="432"/>
      <c r="H234" s="409"/>
      <c r="I234" s="411"/>
      <c r="J234" s="411"/>
      <c r="K234" s="411"/>
      <c r="L234" s="411"/>
      <c r="M234" s="411"/>
      <c r="N234" s="411"/>
      <c r="O234" s="411"/>
      <c r="P234" s="411"/>
    </row>
    <row r="235" spans="1:16" ht="15.75" customHeight="1">
      <c r="A235" s="408"/>
      <c r="B235" s="413"/>
      <c r="C235" s="535" t="s">
        <v>1035</v>
      </c>
      <c r="D235" s="442" t="s">
        <v>336</v>
      </c>
      <c r="E235" s="536">
        <v>70000</v>
      </c>
      <c r="F235" s="528"/>
      <c r="G235" s="432"/>
      <c r="H235" s="409"/>
      <c r="I235" s="411"/>
      <c r="J235" s="411"/>
      <c r="K235" s="411"/>
      <c r="L235" s="411"/>
      <c r="M235" s="411"/>
      <c r="N235" s="411"/>
      <c r="O235" s="411"/>
      <c r="P235" s="411"/>
    </row>
    <row r="236" spans="1:16" ht="15.75" customHeight="1">
      <c r="A236" s="408"/>
      <c r="B236" s="413"/>
      <c r="C236" s="535" t="s">
        <v>1036</v>
      </c>
      <c r="D236" s="442" t="s">
        <v>336</v>
      </c>
      <c r="E236" s="536">
        <v>150000</v>
      </c>
      <c r="F236" s="528"/>
      <c r="G236" s="432"/>
      <c r="H236" s="409"/>
      <c r="I236" s="411"/>
      <c r="J236" s="411"/>
      <c r="K236" s="411"/>
      <c r="L236" s="411"/>
      <c r="M236" s="411"/>
      <c r="N236" s="411"/>
      <c r="O236" s="411"/>
      <c r="P236" s="411"/>
    </row>
    <row r="237" spans="1:16" ht="15.75" customHeight="1">
      <c r="A237" s="408"/>
      <c r="B237" s="413"/>
      <c r="C237" s="535" t="s">
        <v>1037</v>
      </c>
      <c r="D237" s="442" t="s">
        <v>336</v>
      </c>
      <c r="E237" s="536">
        <v>50000</v>
      </c>
      <c r="F237" s="528"/>
      <c r="G237" s="432"/>
      <c r="H237" s="409"/>
      <c r="I237" s="411"/>
      <c r="J237" s="411"/>
      <c r="K237" s="411"/>
      <c r="L237" s="411"/>
      <c r="M237" s="411"/>
      <c r="N237" s="411"/>
      <c r="O237" s="411"/>
      <c r="P237" s="411"/>
    </row>
    <row r="238" spans="1:16" ht="15.75" customHeight="1">
      <c r="A238" s="408"/>
      <c r="B238" s="413"/>
      <c r="C238" s="535" t="s">
        <v>1038</v>
      </c>
      <c r="D238" s="442" t="s">
        <v>336</v>
      </c>
      <c r="E238" s="536">
        <v>30000</v>
      </c>
      <c r="F238" s="528"/>
      <c r="G238" s="432"/>
      <c r="H238" s="409"/>
      <c r="I238" s="411"/>
      <c r="J238" s="411"/>
      <c r="K238" s="411"/>
      <c r="L238" s="411"/>
      <c r="M238" s="411"/>
      <c r="N238" s="411"/>
      <c r="O238" s="411"/>
      <c r="P238" s="411"/>
    </row>
    <row r="239" spans="1:16" ht="15.75" customHeight="1">
      <c r="A239" s="408"/>
      <c r="B239" s="413"/>
      <c r="C239" s="535" t="s">
        <v>1039</v>
      </c>
      <c r="D239" s="442" t="s">
        <v>336</v>
      </c>
      <c r="E239" s="536">
        <v>5000</v>
      </c>
      <c r="F239" s="528"/>
      <c r="G239" s="432"/>
      <c r="H239" s="409"/>
      <c r="I239" s="411"/>
      <c r="J239" s="411"/>
      <c r="K239" s="411"/>
      <c r="L239" s="411"/>
      <c r="M239" s="411"/>
      <c r="N239" s="411"/>
      <c r="O239" s="411"/>
      <c r="P239" s="411"/>
    </row>
    <row r="240" spans="1:16" ht="15.75" customHeight="1">
      <c r="A240" s="408"/>
      <c r="B240" s="413"/>
      <c r="C240" s="535" t="s">
        <v>1040</v>
      </c>
      <c r="D240" s="442" t="s">
        <v>336</v>
      </c>
      <c r="E240" s="536">
        <v>25000</v>
      </c>
      <c r="F240" s="528"/>
      <c r="G240" s="432"/>
      <c r="H240" s="409"/>
      <c r="I240" s="411"/>
      <c r="J240" s="411"/>
      <c r="K240" s="411"/>
      <c r="L240" s="411"/>
      <c r="M240" s="411"/>
      <c r="N240" s="411"/>
      <c r="O240" s="411"/>
      <c r="P240" s="411"/>
    </row>
    <row r="241" spans="1:16" ht="15.75" customHeight="1">
      <c r="A241" s="408"/>
      <c r="B241" s="413"/>
      <c r="C241" s="535" t="s">
        <v>1041</v>
      </c>
      <c r="D241" s="442" t="s">
        <v>336</v>
      </c>
      <c r="E241" s="536">
        <v>50000</v>
      </c>
      <c r="F241" s="528"/>
      <c r="G241" s="432"/>
      <c r="H241" s="409"/>
      <c r="I241" s="411"/>
      <c r="J241" s="411"/>
      <c r="K241" s="411"/>
      <c r="L241" s="411"/>
      <c r="M241" s="411"/>
      <c r="N241" s="411"/>
      <c r="O241" s="411"/>
      <c r="P241" s="411"/>
    </row>
    <row r="242" spans="1:16" ht="15.75" customHeight="1">
      <c r="A242" s="408"/>
      <c r="B242" s="413"/>
      <c r="C242" s="535" t="s">
        <v>1042</v>
      </c>
      <c r="D242" s="442" t="s">
        <v>336</v>
      </c>
      <c r="E242" s="536">
        <v>30000</v>
      </c>
      <c r="F242" s="528"/>
      <c r="G242" s="432"/>
      <c r="H242" s="409"/>
      <c r="I242" s="411"/>
      <c r="J242" s="411"/>
      <c r="K242" s="411"/>
      <c r="L242" s="411"/>
      <c r="M242" s="411"/>
      <c r="N242" s="411"/>
      <c r="O242" s="411"/>
      <c r="P242" s="411"/>
    </row>
    <row r="243" spans="1:16" ht="15.75" customHeight="1">
      <c r="A243" s="408"/>
      <c r="B243" s="413"/>
      <c r="C243" s="535" t="s">
        <v>1043</v>
      </c>
      <c r="D243" s="442" t="s">
        <v>336</v>
      </c>
      <c r="E243" s="536">
        <v>50000</v>
      </c>
      <c r="F243" s="528"/>
      <c r="G243" s="432"/>
      <c r="H243" s="409"/>
      <c r="I243" s="411"/>
      <c r="J243" s="411"/>
      <c r="K243" s="411"/>
      <c r="L243" s="411"/>
      <c r="M243" s="411"/>
      <c r="N243" s="411"/>
      <c r="O243" s="411"/>
      <c r="P243" s="411"/>
    </row>
    <row r="244" spans="1:16" ht="15.75" customHeight="1">
      <c r="A244" s="408"/>
      <c r="B244" s="413"/>
      <c r="C244" s="535" t="s">
        <v>1044</v>
      </c>
      <c r="D244" s="442" t="s">
        <v>336</v>
      </c>
      <c r="E244" s="536">
        <v>0</v>
      </c>
      <c r="F244" s="528"/>
      <c r="G244" s="432"/>
      <c r="H244" s="409"/>
      <c r="I244" s="411"/>
      <c r="J244" s="411"/>
      <c r="K244" s="411"/>
      <c r="L244" s="411"/>
      <c r="M244" s="411"/>
      <c r="N244" s="411"/>
      <c r="O244" s="411"/>
      <c r="P244" s="411"/>
    </row>
    <row r="245" spans="1:16" ht="15.75" customHeight="1">
      <c r="A245" s="408"/>
      <c r="B245" s="413"/>
      <c r="C245" s="535" t="s">
        <v>1045</v>
      </c>
      <c r="D245" s="442" t="s">
        <v>336</v>
      </c>
      <c r="E245" s="536">
        <v>700000</v>
      </c>
      <c r="F245" s="528"/>
      <c r="G245" s="432"/>
      <c r="H245" s="409"/>
      <c r="I245" s="411"/>
      <c r="J245" s="411"/>
      <c r="K245" s="411"/>
      <c r="L245" s="411"/>
      <c r="M245" s="411"/>
      <c r="N245" s="411"/>
      <c r="O245" s="411"/>
      <c r="P245" s="411"/>
    </row>
    <row r="246" spans="1:16" ht="15.75" customHeight="1">
      <c r="A246" s="408"/>
      <c r="B246" s="413"/>
      <c r="C246" s="535" t="s">
        <v>1046</v>
      </c>
      <c r="D246" s="442" t="s">
        <v>336</v>
      </c>
      <c r="E246" s="536">
        <v>100000</v>
      </c>
      <c r="F246" s="528"/>
      <c r="G246" s="432"/>
      <c r="H246" s="409"/>
      <c r="I246" s="411"/>
      <c r="J246" s="411"/>
      <c r="K246" s="411"/>
      <c r="L246" s="411"/>
      <c r="M246" s="411"/>
      <c r="N246" s="411"/>
      <c r="O246" s="411"/>
      <c r="P246" s="411"/>
    </row>
    <row r="247" spans="1:16" ht="15.75" customHeight="1">
      <c r="A247" s="408"/>
      <c r="B247" s="413"/>
      <c r="C247" s="535" t="s">
        <v>1047</v>
      </c>
      <c r="D247" s="442" t="s">
        <v>336</v>
      </c>
      <c r="E247" s="536">
        <v>70000</v>
      </c>
      <c r="F247" s="528"/>
      <c r="G247" s="432"/>
      <c r="H247" s="409"/>
      <c r="I247" s="411"/>
      <c r="J247" s="411"/>
      <c r="K247" s="411"/>
      <c r="L247" s="411"/>
      <c r="M247" s="411"/>
      <c r="N247" s="411"/>
      <c r="O247" s="411"/>
      <c r="P247" s="411"/>
    </row>
    <row r="248" spans="1:16" ht="15.75" customHeight="1">
      <c r="A248" s="408"/>
      <c r="B248" s="413"/>
      <c r="C248" s="535" t="s">
        <v>1048</v>
      </c>
      <c r="D248" s="442" t="s">
        <v>336</v>
      </c>
      <c r="E248" s="536">
        <v>0</v>
      </c>
      <c r="F248" s="528"/>
      <c r="G248" s="432"/>
      <c r="H248" s="409"/>
      <c r="I248" s="411"/>
      <c r="J248" s="411"/>
      <c r="K248" s="411"/>
      <c r="L248" s="411"/>
      <c r="M248" s="411"/>
      <c r="N248" s="411"/>
      <c r="O248" s="411"/>
      <c r="P248" s="411"/>
    </row>
    <row r="249" spans="1:16" ht="15.75" customHeight="1">
      <c r="A249" s="408"/>
      <c r="B249" s="413"/>
      <c r="C249" s="529"/>
      <c r="D249" s="526"/>
      <c r="E249" s="527"/>
      <c r="F249" s="528"/>
      <c r="G249" s="432"/>
      <c r="H249" s="409"/>
      <c r="I249" s="411"/>
      <c r="J249" s="411"/>
      <c r="K249" s="411"/>
      <c r="L249" s="411"/>
      <c r="M249" s="411"/>
      <c r="N249" s="411"/>
      <c r="O249" s="411"/>
      <c r="P249" s="411"/>
    </row>
    <row r="250" spans="1:16" ht="15.75" customHeight="1">
      <c r="A250" s="408"/>
      <c r="B250" s="413"/>
      <c r="C250" s="533" t="s">
        <v>1049</v>
      </c>
      <c r="D250" s="526"/>
      <c r="E250" s="527"/>
      <c r="F250" s="528"/>
      <c r="G250" s="432"/>
      <c r="H250" s="409"/>
      <c r="I250" s="411"/>
      <c r="J250" s="411"/>
      <c r="K250" s="411"/>
      <c r="L250" s="411"/>
      <c r="M250" s="411"/>
      <c r="N250" s="411"/>
      <c r="O250" s="411"/>
      <c r="P250" s="411"/>
    </row>
    <row r="251" spans="1:16" ht="15.75" customHeight="1">
      <c r="A251" s="408"/>
      <c r="B251" s="413"/>
      <c r="C251" s="535" t="s">
        <v>1050</v>
      </c>
      <c r="D251" s="442" t="s">
        <v>336</v>
      </c>
      <c r="E251" s="536">
        <v>3000000</v>
      </c>
      <c r="F251" s="528"/>
      <c r="G251" s="432"/>
      <c r="H251" s="409"/>
      <c r="I251" s="411"/>
      <c r="J251" s="411"/>
      <c r="K251" s="411"/>
      <c r="L251" s="411"/>
      <c r="M251" s="411"/>
      <c r="N251" s="411"/>
      <c r="O251" s="411"/>
      <c r="P251" s="411"/>
    </row>
    <row r="252" spans="1:16" ht="15.75" customHeight="1">
      <c r="A252" s="408"/>
      <c r="B252" s="413"/>
      <c r="C252" s="535" t="s">
        <v>1051</v>
      </c>
      <c r="D252" s="442" t="s">
        <v>336</v>
      </c>
      <c r="E252" s="536">
        <v>0</v>
      </c>
      <c r="F252" s="528"/>
      <c r="G252" s="432"/>
      <c r="H252" s="409"/>
      <c r="I252" s="411"/>
      <c r="J252" s="411"/>
      <c r="K252" s="411"/>
      <c r="L252" s="411"/>
      <c r="M252" s="411"/>
      <c r="N252" s="411"/>
      <c r="O252" s="411"/>
      <c r="P252" s="411"/>
    </row>
    <row r="253" spans="1:16" ht="15.75" customHeight="1">
      <c r="A253" s="408"/>
      <c r="B253" s="413"/>
      <c r="C253" s="535" t="s">
        <v>1052</v>
      </c>
      <c r="D253" s="442" t="s">
        <v>336</v>
      </c>
      <c r="E253" s="536">
        <v>800000</v>
      </c>
      <c r="F253" s="528"/>
      <c r="G253" s="432"/>
      <c r="H253" s="409"/>
      <c r="I253" s="411"/>
      <c r="J253" s="411"/>
      <c r="K253" s="411"/>
      <c r="L253" s="411"/>
      <c r="M253" s="411"/>
      <c r="N253" s="411"/>
      <c r="O253" s="411"/>
      <c r="P253" s="411"/>
    </row>
    <row r="254" spans="1:16" ht="15.75" customHeight="1">
      <c r="A254" s="408"/>
      <c r="B254" s="413"/>
      <c r="C254" s="535" t="s">
        <v>1053</v>
      </c>
      <c r="D254" s="442" t="s">
        <v>336</v>
      </c>
      <c r="E254" s="536">
        <v>100000</v>
      </c>
      <c r="F254" s="528"/>
      <c r="G254" s="432"/>
      <c r="H254" s="409"/>
      <c r="I254" s="411"/>
      <c r="J254" s="411"/>
      <c r="K254" s="411"/>
      <c r="L254" s="411"/>
      <c r="M254" s="411"/>
      <c r="N254" s="411"/>
      <c r="O254" s="411"/>
      <c r="P254" s="411"/>
    </row>
    <row r="255" spans="1:16" ht="15.75" customHeight="1">
      <c r="A255" s="408"/>
      <c r="B255" s="413"/>
      <c r="C255" s="535" t="s">
        <v>1054</v>
      </c>
      <c r="D255" s="442" t="s">
        <v>336</v>
      </c>
      <c r="E255" s="536">
        <v>100000</v>
      </c>
      <c r="F255" s="528"/>
      <c r="G255" s="432"/>
      <c r="H255" s="409"/>
      <c r="I255" s="411"/>
      <c r="J255" s="411"/>
      <c r="K255" s="411"/>
      <c r="L255" s="411"/>
      <c r="M255" s="411"/>
      <c r="N255" s="411"/>
      <c r="O255" s="411"/>
      <c r="P255" s="411"/>
    </row>
    <row r="256" spans="1:16" ht="15.75" customHeight="1">
      <c r="A256" s="408"/>
      <c r="B256" s="413"/>
      <c r="C256" s="535" t="s">
        <v>1055</v>
      </c>
      <c r="D256" s="442" t="s">
        <v>336</v>
      </c>
      <c r="E256" s="536">
        <v>50000</v>
      </c>
      <c r="F256" s="528"/>
      <c r="G256" s="432"/>
      <c r="H256" s="409"/>
      <c r="I256" s="411"/>
      <c r="J256" s="411"/>
      <c r="K256" s="411"/>
      <c r="L256" s="411"/>
      <c r="M256" s="411"/>
      <c r="N256" s="411"/>
      <c r="O256" s="411"/>
      <c r="P256" s="411"/>
    </row>
    <row r="257" spans="1:16" ht="15.75" customHeight="1">
      <c r="A257" s="408"/>
      <c r="B257" s="413"/>
      <c r="C257" s="535" t="s">
        <v>1056</v>
      </c>
      <c r="D257" s="442" t="s">
        <v>336</v>
      </c>
      <c r="E257" s="536">
        <v>700000</v>
      </c>
      <c r="F257" s="528"/>
      <c r="G257" s="432"/>
      <c r="H257" s="409"/>
      <c r="I257" s="411"/>
      <c r="J257" s="411"/>
      <c r="K257" s="411"/>
      <c r="L257" s="411"/>
      <c r="M257" s="411"/>
      <c r="N257" s="411"/>
      <c r="O257" s="411"/>
      <c r="P257" s="411"/>
    </row>
    <row r="258" spans="1:16" ht="15.75" customHeight="1">
      <c r="A258" s="408"/>
      <c r="B258" s="413"/>
      <c r="C258" s="535" t="s">
        <v>1057</v>
      </c>
      <c r="D258" s="442" t="s">
        <v>336</v>
      </c>
      <c r="E258" s="536">
        <v>100000</v>
      </c>
      <c r="F258" s="528"/>
      <c r="G258" s="432"/>
      <c r="H258" s="409"/>
      <c r="I258" s="411"/>
      <c r="J258" s="411"/>
      <c r="K258" s="411"/>
      <c r="L258" s="411"/>
      <c r="M258" s="411"/>
      <c r="N258" s="411"/>
      <c r="O258" s="411"/>
      <c r="P258" s="411"/>
    </row>
    <row r="259" spans="1:16" ht="15.75" customHeight="1">
      <c r="A259" s="408"/>
      <c r="B259" s="413"/>
      <c r="C259" s="535" t="s">
        <v>1058</v>
      </c>
      <c r="D259" s="442" t="s">
        <v>336</v>
      </c>
      <c r="E259" s="536">
        <v>50000</v>
      </c>
      <c r="F259" s="528"/>
      <c r="G259" s="432"/>
      <c r="H259" s="409"/>
      <c r="I259" s="411"/>
      <c r="J259" s="411"/>
      <c r="K259" s="411"/>
      <c r="L259" s="411"/>
      <c r="M259" s="411"/>
      <c r="N259" s="411"/>
      <c r="O259" s="411"/>
      <c r="P259" s="411"/>
    </row>
    <row r="260" spans="1:16" ht="15.75" customHeight="1">
      <c r="A260" s="408"/>
      <c r="B260" s="413"/>
      <c r="C260" s="535" t="s">
        <v>1059</v>
      </c>
      <c r="D260" s="442" t="s">
        <v>336</v>
      </c>
      <c r="E260" s="536">
        <v>100000</v>
      </c>
      <c r="F260" s="528"/>
      <c r="G260" s="432"/>
      <c r="H260" s="409"/>
      <c r="I260" s="411"/>
      <c r="J260" s="411"/>
      <c r="K260" s="411"/>
      <c r="L260" s="411"/>
      <c r="M260" s="411"/>
      <c r="N260" s="411"/>
      <c r="O260" s="411"/>
      <c r="P260" s="411"/>
    </row>
    <row r="261" spans="1:16" ht="15.75" customHeight="1">
      <c r="A261" s="408"/>
      <c r="B261" s="413"/>
      <c r="C261" s="529"/>
      <c r="D261" s="526"/>
      <c r="E261" s="527"/>
      <c r="F261" s="528"/>
      <c r="G261" s="432"/>
      <c r="H261" s="409"/>
      <c r="I261" s="411"/>
      <c r="J261" s="411"/>
      <c r="K261" s="411"/>
      <c r="L261" s="411"/>
      <c r="M261" s="411"/>
      <c r="N261" s="411"/>
      <c r="O261" s="411"/>
      <c r="P261" s="411"/>
    </row>
    <row r="262" spans="1:16" ht="15.75" customHeight="1">
      <c r="A262" s="408"/>
      <c r="B262" s="413"/>
      <c r="C262" s="533" t="s">
        <v>1060</v>
      </c>
      <c r="D262" s="526"/>
      <c r="E262" s="527"/>
      <c r="F262" s="528"/>
      <c r="G262" s="432"/>
      <c r="H262" s="409"/>
      <c r="I262" s="411"/>
      <c r="J262" s="411"/>
      <c r="K262" s="411"/>
      <c r="L262" s="411"/>
      <c r="M262" s="411"/>
      <c r="N262" s="411"/>
      <c r="O262" s="411"/>
      <c r="P262" s="411"/>
    </row>
    <row r="263" spans="1:16" ht="15.75" customHeight="1">
      <c r="A263" s="408"/>
      <c r="B263" s="413"/>
      <c r="C263" s="535" t="s">
        <v>1061</v>
      </c>
      <c r="D263" s="442" t="s">
        <v>336</v>
      </c>
      <c r="E263" s="536">
        <v>120000</v>
      </c>
      <c r="F263" s="528"/>
      <c r="G263" s="432"/>
      <c r="H263" s="409"/>
      <c r="I263" s="411"/>
      <c r="J263" s="411"/>
      <c r="K263" s="411"/>
      <c r="L263" s="411"/>
      <c r="M263" s="411"/>
      <c r="N263" s="411"/>
      <c r="O263" s="411"/>
      <c r="P263" s="411"/>
    </row>
    <row r="264" spans="1:16" ht="15.75" customHeight="1">
      <c r="A264" s="408"/>
      <c r="B264" s="413"/>
      <c r="C264" s="535" t="s">
        <v>1062</v>
      </c>
      <c r="D264" s="442" t="s">
        <v>336</v>
      </c>
      <c r="E264" s="536">
        <v>100000</v>
      </c>
      <c r="F264" s="528"/>
      <c r="G264" s="432"/>
      <c r="H264" s="409"/>
      <c r="I264" s="411"/>
      <c r="J264" s="411"/>
      <c r="K264" s="411"/>
      <c r="L264" s="411"/>
      <c r="M264" s="411"/>
      <c r="N264" s="411"/>
      <c r="O264" s="411"/>
      <c r="P264" s="411"/>
    </row>
    <row r="265" spans="1:16" ht="15.75" customHeight="1">
      <c r="A265" s="408"/>
      <c r="B265" s="413"/>
      <c r="C265" s="535" t="s">
        <v>1063</v>
      </c>
      <c r="D265" s="442" t="s">
        <v>336</v>
      </c>
      <c r="E265" s="536">
        <v>300000</v>
      </c>
      <c r="F265" s="528"/>
      <c r="G265" s="432"/>
      <c r="H265" s="409"/>
      <c r="I265" s="411"/>
      <c r="J265" s="411"/>
      <c r="K265" s="411"/>
      <c r="L265" s="411"/>
      <c r="M265" s="411"/>
      <c r="N265" s="411"/>
      <c r="O265" s="411"/>
      <c r="P265" s="411"/>
    </row>
    <row r="266" spans="1:16" ht="15.75" customHeight="1">
      <c r="A266" s="408"/>
      <c r="B266" s="413"/>
      <c r="C266" s="529"/>
      <c r="D266" s="526"/>
      <c r="E266" s="527"/>
      <c r="F266" s="528"/>
      <c r="G266" s="432"/>
      <c r="H266" s="409"/>
      <c r="I266" s="411"/>
      <c r="J266" s="411"/>
      <c r="K266" s="411"/>
      <c r="L266" s="411"/>
      <c r="M266" s="411"/>
      <c r="N266" s="411"/>
      <c r="O266" s="411"/>
      <c r="P266" s="411"/>
    </row>
    <row r="267" spans="1:16" ht="15.75" customHeight="1">
      <c r="A267" s="408"/>
      <c r="B267" s="413"/>
      <c r="C267" s="533" t="s">
        <v>1064</v>
      </c>
      <c r="D267" s="526"/>
      <c r="E267" s="527"/>
      <c r="F267" s="528"/>
      <c r="G267" s="432"/>
      <c r="H267" s="409"/>
      <c r="I267" s="411"/>
      <c r="J267" s="411"/>
      <c r="K267" s="411"/>
      <c r="L267" s="411"/>
      <c r="M267" s="411"/>
      <c r="N267" s="411"/>
      <c r="O267" s="411"/>
      <c r="P267" s="411"/>
    </row>
    <row r="268" spans="1:16" ht="15.75" customHeight="1">
      <c r="A268" s="408"/>
      <c r="B268" s="413"/>
      <c r="C268" s="529" t="s">
        <v>961</v>
      </c>
      <c r="D268" s="442" t="s">
        <v>336</v>
      </c>
      <c r="E268" s="537">
        <f>E158</f>
        <v>941025</v>
      </c>
      <c r="F268" s="528"/>
      <c r="G268" s="432"/>
      <c r="H268" s="409"/>
      <c r="I268" s="411"/>
      <c r="J268" s="411"/>
      <c r="K268" s="411"/>
      <c r="L268" s="411"/>
      <c r="M268" s="411"/>
      <c r="N268" s="411"/>
      <c r="O268" s="411"/>
      <c r="P268" s="411"/>
    </row>
    <row r="269" spans="1:16" ht="15.75" customHeight="1">
      <c r="A269" s="408"/>
      <c r="B269" s="413"/>
      <c r="C269" s="529"/>
      <c r="D269" s="526"/>
      <c r="E269" s="532"/>
      <c r="F269" s="528"/>
      <c r="G269" s="432"/>
      <c r="H269" s="409"/>
      <c r="I269" s="411"/>
      <c r="J269" s="411"/>
      <c r="K269" s="411"/>
      <c r="L269" s="411"/>
      <c r="M269" s="411"/>
      <c r="N269" s="411"/>
      <c r="O269" s="411"/>
      <c r="P269" s="411"/>
    </row>
    <row r="270" spans="1:16" ht="15.75" customHeight="1">
      <c r="A270" s="408"/>
      <c r="B270" s="413"/>
      <c r="C270" s="533" t="s">
        <v>1065</v>
      </c>
      <c r="D270" s="526"/>
      <c r="E270" s="532"/>
      <c r="F270" s="528"/>
      <c r="G270" s="432"/>
      <c r="H270" s="409"/>
      <c r="I270" s="411"/>
      <c r="J270" s="411"/>
      <c r="K270" s="411"/>
      <c r="L270" s="411"/>
      <c r="M270" s="411"/>
      <c r="N270" s="411"/>
      <c r="O270" s="411"/>
      <c r="P270" s="411"/>
    </row>
    <row r="271" spans="1:16" ht="15.75" customHeight="1">
      <c r="A271" s="408"/>
      <c r="B271" s="413"/>
      <c r="C271" s="533" t="s">
        <v>1066</v>
      </c>
      <c r="D271" s="526"/>
      <c r="E271" s="532"/>
      <c r="F271" s="528"/>
      <c r="G271" s="432"/>
      <c r="H271" s="409"/>
      <c r="I271" s="411"/>
      <c r="J271" s="411"/>
      <c r="K271" s="411"/>
      <c r="L271" s="411"/>
      <c r="M271" s="411"/>
      <c r="N271" s="411"/>
      <c r="O271" s="411"/>
      <c r="P271" s="411"/>
    </row>
    <row r="272" spans="1:16" ht="15.75" customHeight="1">
      <c r="A272" s="408"/>
      <c r="B272" s="413"/>
      <c r="C272" s="535" t="s">
        <v>993</v>
      </c>
      <c r="D272" s="538">
        <f>E188</f>
        <v>2700000</v>
      </c>
      <c r="E272" s="532"/>
      <c r="F272" s="528"/>
      <c r="G272" s="432"/>
      <c r="H272" s="409"/>
      <c r="I272" s="411"/>
      <c r="J272" s="411"/>
      <c r="K272" s="411"/>
      <c r="L272" s="411"/>
      <c r="M272" s="411"/>
      <c r="N272" s="411"/>
      <c r="O272" s="411"/>
      <c r="P272" s="411"/>
    </row>
    <row r="273" spans="1:16" ht="15.75" customHeight="1">
      <c r="A273" s="408"/>
      <c r="B273" s="413"/>
      <c r="C273" s="535" t="s">
        <v>995</v>
      </c>
      <c r="D273" s="538">
        <f t="shared" ref="D273:D275" si="2">E190</f>
        <v>250000</v>
      </c>
      <c r="E273" s="532"/>
      <c r="F273" s="528"/>
      <c r="G273" s="432"/>
      <c r="H273" s="409"/>
      <c r="I273" s="411"/>
      <c r="J273" s="411"/>
      <c r="K273" s="411"/>
      <c r="L273" s="411"/>
      <c r="M273" s="411"/>
      <c r="N273" s="411"/>
      <c r="O273" s="411"/>
      <c r="P273" s="411"/>
    </row>
    <row r="274" spans="1:16" ht="15.75" customHeight="1">
      <c r="A274" s="408"/>
      <c r="B274" s="413"/>
      <c r="C274" s="535" t="s">
        <v>996</v>
      </c>
      <c r="D274" s="538">
        <f t="shared" si="2"/>
        <v>200000</v>
      </c>
      <c r="E274" s="532"/>
      <c r="F274" s="528"/>
      <c r="G274" s="432"/>
      <c r="H274" s="409"/>
      <c r="I274" s="411"/>
      <c r="J274" s="411"/>
      <c r="K274" s="411"/>
      <c r="L274" s="411"/>
      <c r="M274" s="411"/>
      <c r="N274" s="411"/>
      <c r="O274" s="411"/>
      <c r="P274" s="411"/>
    </row>
    <row r="275" spans="1:16" ht="15.75" customHeight="1">
      <c r="A275" s="408"/>
      <c r="B275" s="413"/>
      <c r="C275" s="535" t="s">
        <v>997</v>
      </c>
      <c r="D275" s="538">
        <f t="shared" si="2"/>
        <v>200000</v>
      </c>
      <c r="E275" s="532"/>
      <c r="F275" s="528"/>
      <c r="G275" s="432"/>
      <c r="H275" s="409"/>
      <c r="I275" s="411"/>
      <c r="J275" s="411"/>
      <c r="K275" s="411"/>
      <c r="L275" s="411"/>
      <c r="M275" s="411"/>
      <c r="N275" s="411"/>
      <c r="O275" s="411"/>
      <c r="P275" s="411"/>
    </row>
    <row r="276" spans="1:16" ht="15.75" customHeight="1">
      <c r="A276" s="408"/>
      <c r="B276" s="413"/>
      <c r="C276" s="529"/>
      <c r="D276" s="539">
        <f>SUM(D272:D275)</f>
        <v>3350000</v>
      </c>
      <c r="E276" s="532"/>
      <c r="F276" s="528"/>
      <c r="G276" s="432"/>
      <c r="H276" s="409"/>
      <c r="I276" s="411"/>
      <c r="J276" s="411"/>
      <c r="K276" s="411"/>
      <c r="L276" s="411"/>
      <c r="M276" s="411"/>
      <c r="N276" s="411"/>
      <c r="O276" s="411"/>
      <c r="P276" s="411"/>
    </row>
    <row r="277" spans="1:16" ht="15.75" customHeight="1">
      <c r="A277" s="408"/>
      <c r="B277" s="413"/>
      <c r="C277" s="529" t="s">
        <v>584</v>
      </c>
      <c r="D277" s="540">
        <v>0.15</v>
      </c>
      <c r="E277" s="541">
        <f>D276*D277</f>
        <v>502500</v>
      </c>
      <c r="F277" s="528"/>
      <c r="G277" s="432"/>
      <c r="H277" s="409"/>
      <c r="I277" s="411"/>
      <c r="J277" s="411"/>
      <c r="K277" s="411"/>
      <c r="L277" s="411"/>
      <c r="M277" s="411"/>
      <c r="N277" s="411"/>
      <c r="O277" s="411"/>
      <c r="P277" s="411"/>
    </row>
    <row r="278" spans="1:16" ht="15.75" customHeight="1">
      <c r="A278" s="408"/>
      <c r="B278" s="413"/>
      <c r="C278" s="529"/>
      <c r="D278" s="526"/>
      <c r="E278" s="532"/>
      <c r="F278" s="528"/>
      <c r="G278" s="432"/>
      <c r="H278" s="409"/>
      <c r="I278" s="411"/>
      <c r="J278" s="411"/>
      <c r="K278" s="411"/>
      <c r="L278" s="411"/>
      <c r="M278" s="411"/>
      <c r="N278" s="411"/>
      <c r="O278" s="411"/>
      <c r="P278" s="411"/>
    </row>
    <row r="279" spans="1:16" ht="15.75" customHeight="1">
      <c r="A279" s="408"/>
      <c r="B279" s="413"/>
      <c r="C279" s="533" t="s">
        <v>1067</v>
      </c>
      <c r="D279" s="542"/>
      <c r="E279" s="532"/>
      <c r="F279" s="528"/>
      <c r="G279" s="432"/>
      <c r="H279" s="409"/>
      <c r="I279" s="411"/>
      <c r="J279" s="411"/>
      <c r="K279" s="411"/>
      <c r="L279" s="411"/>
      <c r="M279" s="411"/>
      <c r="N279" s="411"/>
      <c r="O279" s="411"/>
      <c r="P279" s="411"/>
    </row>
    <row r="280" spans="1:16" ht="15.75" customHeight="1">
      <c r="A280" s="408"/>
      <c r="B280" s="413"/>
      <c r="C280" s="535" t="s">
        <v>998</v>
      </c>
      <c r="D280" s="539">
        <f>E193</f>
        <v>230000</v>
      </c>
      <c r="E280" s="532"/>
      <c r="F280" s="528"/>
      <c r="G280" s="432"/>
      <c r="H280" s="409"/>
      <c r="I280" s="411"/>
      <c r="J280" s="411"/>
      <c r="K280" s="411"/>
      <c r="L280" s="411"/>
      <c r="M280" s="411"/>
      <c r="N280" s="411"/>
      <c r="O280" s="411"/>
      <c r="P280" s="411"/>
    </row>
    <row r="281" spans="1:16" ht="15.75" customHeight="1">
      <c r="A281" s="408"/>
      <c r="B281" s="413"/>
      <c r="C281" s="529" t="s">
        <v>584</v>
      </c>
      <c r="D281" s="540">
        <v>0.1</v>
      </c>
      <c r="E281" s="541">
        <f>D280*D281</f>
        <v>23000</v>
      </c>
      <c r="F281" s="528"/>
      <c r="G281" s="432"/>
      <c r="H281" s="409"/>
      <c r="I281" s="411"/>
      <c r="J281" s="411"/>
      <c r="K281" s="411"/>
      <c r="L281" s="411"/>
      <c r="M281" s="411"/>
      <c r="N281" s="411"/>
      <c r="O281" s="411"/>
      <c r="P281" s="411"/>
    </row>
    <row r="282" spans="1:16" ht="15.75" customHeight="1">
      <c r="A282" s="408"/>
      <c r="B282" s="413"/>
      <c r="C282" s="529"/>
      <c r="D282" s="526"/>
      <c r="E282" s="532"/>
      <c r="F282" s="528"/>
      <c r="G282" s="432"/>
      <c r="H282" s="409"/>
      <c r="I282" s="411"/>
      <c r="J282" s="411"/>
      <c r="K282" s="411"/>
      <c r="L282" s="411"/>
      <c r="M282" s="411"/>
      <c r="N282" s="411"/>
      <c r="O282" s="411"/>
      <c r="P282" s="411"/>
    </row>
    <row r="283" spans="1:16" ht="15.75" customHeight="1">
      <c r="A283" s="408"/>
      <c r="B283" s="413"/>
      <c r="C283" s="534" t="s">
        <v>1068</v>
      </c>
      <c r="D283" s="538"/>
      <c r="E283" s="532"/>
      <c r="F283" s="528"/>
      <c r="G283" s="432"/>
      <c r="H283" s="409"/>
      <c r="I283" s="411"/>
      <c r="J283" s="411"/>
      <c r="K283" s="411"/>
      <c r="L283" s="411"/>
      <c r="M283" s="411"/>
      <c r="N283" s="411"/>
      <c r="O283" s="411"/>
      <c r="P283" s="411"/>
    </row>
    <row r="284" spans="1:16" ht="15.75" customHeight="1">
      <c r="A284" s="408"/>
      <c r="B284" s="413"/>
      <c r="C284" s="535" t="s">
        <v>994</v>
      </c>
      <c r="D284" s="539">
        <f>E189</f>
        <v>2600000</v>
      </c>
      <c r="E284" s="532"/>
      <c r="F284" s="528"/>
      <c r="G284" s="432"/>
      <c r="H284" s="409"/>
      <c r="I284" s="411"/>
      <c r="J284" s="411"/>
      <c r="K284" s="411"/>
      <c r="L284" s="411"/>
      <c r="M284" s="411"/>
      <c r="N284" s="411"/>
      <c r="O284" s="411"/>
      <c r="P284" s="411"/>
    </row>
    <row r="285" spans="1:16" ht="15.75" customHeight="1">
      <c r="A285" s="408"/>
      <c r="B285" s="413"/>
      <c r="C285" s="529" t="s">
        <v>584</v>
      </c>
      <c r="D285" s="540">
        <v>0.1</v>
      </c>
      <c r="E285" s="541">
        <f>D284*D285</f>
        <v>260000</v>
      </c>
      <c r="F285" s="528"/>
      <c r="G285" s="432"/>
      <c r="H285" s="409"/>
      <c r="I285" s="411"/>
      <c r="J285" s="411"/>
      <c r="K285" s="411"/>
      <c r="L285" s="411"/>
      <c r="M285" s="411"/>
      <c r="N285" s="411"/>
      <c r="O285" s="411"/>
      <c r="P285" s="411"/>
    </row>
    <row r="286" spans="1:16" ht="15.75" customHeight="1">
      <c r="A286" s="408"/>
      <c r="B286" s="413"/>
      <c r="C286" s="529"/>
      <c r="D286" s="526"/>
      <c r="E286" s="532"/>
      <c r="F286" s="528"/>
      <c r="G286" s="432"/>
      <c r="H286" s="409"/>
      <c r="I286" s="411"/>
      <c r="J286" s="411"/>
      <c r="K286" s="411"/>
      <c r="L286" s="411"/>
      <c r="M286" s="411"/>
      <c r="N286" s="411"/>
      <c r="O286" s="411"/>
      <c r="P286" s="411"/>
    </row>
    <row r="287" spans="1:16" ht="15.75" customHeight="1">
      <c r="A287" s="408"/>
      <c r="B287" s="413"/>
      <c r="C287" s="529"/>
      <c r="D287" s="526"/>
      <c r="E287" s="532"/>
      <c r="F287" s="528"/>
      <c r="G287" s="432"/>
      <c r="H287" s="409"/>
      <c r="I287" s="411"/>
      <c r="J287" s="411"/>
      <c r="K287" s="411"/>
      <c r="L287" s="411"/>
      <c r="M287" s="411"/>
      <c r="N287" s="411"/>
      <c r="O287" s="411"/>
      <c r="P287" s="411"/>
    </row>
    <row r="288" spans="1:16" ht="15.75" customHeight="1">
      <c r="A288" s="408"/>
      <c r="B288" s="1418" t="s">
        <v>1069</v>
      </c>
      <c r="C288" s="1419"/>
      <c r="D288" s="1419"/>
      <c r="E288" s="1419"/>
      <c r="F288" s="1419"/>
      <c r="G288" s="1420"/>
      <c r="H288" s="409"/>
      <c r="I288" s="411"/>
      <c r="J288" s="411"/>
      <c r="K288" s="411"/>
      <c r="L288" s="411"/>
      <c r="M288" s="411"/>
      <c r="N288" s="411"/>
      <c r="O288" s="411"/>
      <c r="P288" s="411"/>
    </row>
    <row r="289" spans="1:16" ht="15.75" customHeight="1">
      <c r="A289" s="408"/>
      <c r="B289" s="413"/>
      <c r="C289" s="428"/>
      <c r="D289" s="429"/>
      <c r="E289" s="466"/>
      <c r="F289" s="431"/>
      <c r="G289" s="432"/>
      <c r="H289" s="409"/>
      <c r="I289" s="411"/>
      <c r="J289" s="411"/>
      <c r="K289" s="411"/>
      <c r="L289" s="411"/>
      <c r="M289" s="411"/>
      <c r="N289" s="411"/>
      <c r="O289" s="411"/>
      <c r="P289" s="411"/>
    </row>
    <row r="290" spans="1:16" ht="15.75" customHeight="1">
      <c r="A290" s="408"/>
      <c r="B290" s="413"/>
      <c r="C290" s="442" t="s">
        <v>261</v>
      </c>
      <c r="D290" s="543" t="s">
        <v>1070</v>
      </c>
      <c r="E290" s="518">
        <v>5000</v>
      </c>
      <c r="F290" s="444"/>
      <c r="G290" s="432" t="s">
        <v>1071</v>
      </c>
      <c r="H290" s="409"/>
      <c r="I290" s="411"/>
      <c r="J290" s="411"/>
      <c r="K290" s="411"/>
      <c r="L290" s="411"/>
      <c r="M290" s="411"/>
      <c r="N290" s="411"/>
      <c r="O290" s="411"/>
      <c r="P290" s="411"/>
    </row>
    <row r="291" spans="1:16" ht="15.75" customHeight="1">
      <c r="A291" s="408"/>
      <c r="B291" s="413"/>
      <c r="C291" s="442" t="s">
        <v>263</v>
      </c>
      <c r="D291" s="543" t="s">
        <v>1070</v>
      </c>
      <c r="E291" s="518">
        <v>3000</v>
      </c>
      <c r="F291" s="444"/>
      <c r="G291" s="432" t="s">
        <v>1072</v>
      </c>
      <c r="H291" s="409"/>
      <c r="I291" s="411"/>
      <c r="J291" s="411"/>
      <c r="K291" s="411"/>
      <c r="L291" s="411"/>
      <c r="M291" s="411"/>
      <c r="N291" s="411"/>
      <c r="O291" s="411"/>
      <c r="P291" s="411"/>
    </row>
    <row r="292" spans="1:16" ht="15.75" customHeight="1">
      <c r="A292" s="408"/>
      <c r="B292" s="413"/>
      <c r="C292" s="442" t="s">
        <v>265</v>
      </c>
      <c r="D292" s="543" t="s">
        <v>1070</v>
      </c>
      <c r="E292" s="518">
        <v>1500</v>
      </c>
      <c r="F292" s="444"/>
      <c r="G292" s="432" t="s">
        <v>1073</v>
      </c>
      <c r="H292" s="409"/>
      <c r="I292" s="411"/>
      <c r="J292" s="411"/>
      <c r="K292" s="411"/>
      <c r="L292" s="411"/>
      <c r="M292" s="411"/>
      <c r="N292" s="411"/>
      <c r="O292" s="411"/>
      <c r="P292" s="411"/>
    </row>
    <row r="293" spans="1:16" ht="15.75" customHeight="1">
      <c r="A293" s="408"/>
      <c r="B293" s="413"/>
      <c r="C293" s="442" t="s">
        <v>1074</v>
      </c>
      <c r="D293" s="543" t="s">
        <v>1070</v>
      </c>
      <c r="E293" s="518">
        <v>3500</v>
      </c>
      <c r="F293" s="444"/>
      <c r="G293" s="432" t="s">
        <v>1075</v>
      </c>
      <c r="H293" s="409"/>
      <c r="I293" s="411"/>
      <c r="J293" s="411"/>
      <c r="K293" s="411"/>
      <c r="L293" s="411"/>
      <c r="M293" s="411"/>
      <c r="N293" s="411"/>
      <c r="O293" s="411"/>
      <c r="P293" s="411"/>
    </row>
    <row r="294" spans="1:16" ht="15.75" customHeight="1">
      <c r="A294" s="408"/>
      <c r="B294" s="413"/>
      <c r="C294" s="442" t="s">
        <v>1076</v>
      </c>
      <c r="D294" s="543" t="s">
        <v>1070</v>
      </c>
      <c r="E294" s="518">
        <v>3500</v>
      </c>
      <c r="F294" s="444"/>
      <c r="G294" s="432" t="s">
        <v>1077</v>
      </c>
      <c r="H294" s="409"/>
      <c r="I294" s="411"/>
      <c r="J294" s="411"/>
      <c r="K294" s="411"/>
      <c r="L294" s="411"/>
      <c r="M294" s="411"/>
      <c r="N294" s="411"/>
      <c r="O294" s="411"/>
      <c r="P294" s="411"/>
    </row>
    <row r="295" spans="1:16" ht="15.75" customHeight="1">
      <c r="A295" s="408"/>
      <c r="B295" s="413"/>
      <c r="C295" s="442" t="s">
        <v>1078</v>
      </c>
      <c r="D295" s="543" t="s">
        <v>1070</v>
      </c>
      <c r="E295" s="518">
        <v>3500</v>
      </c>
      <c r="F295" s="444"/>
      <c r="G295" s="432" t="s">
        <v>1079</v>
      </c>
      <c r="H295" s="409"/>
      <c r="I295" s="411"/>
      <c r="J295" s="411"/>
      <c r="K295" s="411"/>
      <c r="L295" s="411"/>
      <c r="M295" s="411"/>
      <c r="N295" s="411"/>
      <c r="O295" s="411"/>
      <c r="P295" s="411"/>
    </row>
    <row r="296" spans="1:16" ht="15.75" customHeight="1">
      <c r="A296" s="408"/>
      <c r="B296" s="413"/>
      <c r="C296" s="442" t="s">
        <v>1080</v>
      </c>
      <c r="D296" s="543" t="s">
        <v>1070</v>
      </c>
      <c r="E296" s="518">
        <v>3500</v>
      </c>
      <c r="F296" s="444"/>
      <c r="G296" s="432" t="s">
        <v>1081</v>
      </c>
      <c r="H296" s="409"/>
      <c r="I296" s="411"/>
      <c r="J296" s="411"/>
      <c r="K296" s="411"/>
      <c r="L296" s="411"/>
      <c r="M296" s="411"/>
      <c r="N296" s="411"/>
      <c r="O296" s="411"/>
      <c r="P296" s="411"/>
    </row>
    <row r="297" spans="1:16" ht="15.75" customHeight="1">
      <c r="A297" s="408"/>
      <c r="B297" s="413"/>
      <c r="C297" s="442" t="s">
        <v>311</v>
      </c>
      <c r="D297" s="543" t="s">
        <v>1070</v>
      </c>
      <c r="E297" s="518">
        <v>3500</v>
      </c>
      <c r="F297" s="444"/>
      <c r="G297" s="432" t="s">
        <v>1082</v>
      </c>
      <c r="H297" s="409"/>
      <c r="I297" s="411"/>
      <c r="J297" s="411"/>
      <c r="K297" s="411"/>
      <c r="L297" s="411"/>
      <c r="M297" s="411"/>
      <c r="N297" s="411"/>
      <c r="O297" s="411"/>
      <c r="P297" s="411"/>
    </row>
    <row r="298" spans="1:16" ht="15.75" customHeight="1">
      <c r="A298" s="408"/>
      <c r="B298" s="413"/>
      <c r="C298" s="442" t="s">
        <v>272</v>
      </c>
      <c r="D298" s="543" t="s">
        <v>1070</v>
      </c>
      <c r="E298" s="518">
        <v>2000</v>
      </c>
      <c r="F298" s="444"/>
      <c r="G298" s="432" t="s">
        <v>1083</v>
      </c>
      <c r="H298" s="409"/>
      <c r="I298" s="411"/>
      <c r="J298" s="411"/>
      <c r="K298" s="411"/>
      <c r="L298" s="411"/>
      <c r="M298" s="411"/>
      <c r="N298" s="411"/>
      <c r="O298" s="411"/>
      <c r="P298" s="411"/>
    </row>
    <row r="299" spans="1:16" ht="15.75" customHeight="1">
      <c r="A299" s="408"/>
      <c r="B299" s="413"/>
      <c r="C299" s="442" t="s">
        <v>313</v>
      </c>
      <c r="D299" s="543" t="s">
        <v>1070</v>
      </c>
      <c r="E299" s="518">
        <v>2000</v>
      </c>
      <c r="F299" s="444"/>
      <c r="G299" s="432" t="s">
        <v>1084</v>
      </c>
      <c r="H299" s="409"/>
      <c r="I299" s="411"/>
      <c r="J299" s="411"/>
      <c r="K299" s="411"/>
      <c r="L299" s="411"/>
      <c r="M299" s="411"/>
      <c r="N299" s="411"/>
      <c r="O299" s="411"/>
      <c r="P299" s="411"/>
    </row>
    <row r="300" spans="1:16" ht="15.75" customHeight="1">
      <c r="A300" s="408"/>
      <c r="B300" s="413"/>
      <c r="C300" s="442" t="s">
        <v>1085</v>
      </c>
      <c r="D300" s="543" t="s">
        <v>1070</v>
      </c>
      <c r="E300" s="518">
        <v>4000</v>
      </c>
      <c r="F300" s="444"/>
      <c r="G300" s="432" t="s">
        <v>1086</v>
      </c>
      <c r="H300" s="409"/>
      <c r="I300" s="411"/>
      <c r="J300" s="411"/>
      <c r="K300" s="411"/>
      <c r="L300" s="411"/>
      <c r="M300" s="411"/>
      <c r="N300" s="411"/>
      <c r="O300" s="411"/>
      <c r="P300" s="411"/>
    </row>
    <row r="301" spans="1:16" ht="15.75" customHeight="1">
      <c r="A301" s="408"/>
      <c r="B301" s="413"/>
      <c r="C301" s="442"/>
      <c r="D301" s="442"/>
      <c r="E301" s="447"/>
      <c r="F301" s="444"/>
      <c r="G301" s="432"/>
      <c r="H301" s="409"/>
      <c r="I301" s="411"/>
      <c r="J301" s="411"/>
      <c r="K301" s="411"/>
      <c r="L301" s="411"/>
      <c r="M301" s="411"/>
      <c r="N301" s="411"/>
      <c r="O301" s="411"/>
      <c r="P301" s="411"/>
    </row>
    <row r="302" spans="1:16" ht="15.75" customHeight="1">
      <c r="A302" s="408"/>
      <c r="B302" s="413"/>
      <c r="C302" s="442" t="s">
        <v>1087</v>
      </c>
      <c r="D302" s="543" t="s">
        <v>320</v>
      </c>
      <c r="E302" s="443">
        <v>180</v>
      </c>
      <c r="F302" s="444"/>
      <c r="G302" s="432" t="s">
        <v>1088</v>
      </c>
      <c r="H302" s="409"/>
      <c r="I302" s="411"/>
      <c r="J302" s="411"/>
      <c r="K302" s="411"/>
      <c r="L302" s="411"/>
      <c r="M302" s="411"/>
      <c r="N302" s="411"/>
      <c r="O302" s="411"/>
      <c r="P302" s="411"/>
    </row>
    <row r="303" spans="1:16" ht="15.75" customHeight="1">
      <c r="A303" s="408"/>
      <c r="B303" s="544"/>
      <c r="C303" s="545" t="s">
        <v>1089</v>
      </c>
      <c r="D303" s="546" t="s">
        <v>320</v>
      </c>
      <c r="E303" s="547">
        <v>180</v>
      </c>
      <c r="F303" s="548"/>
      <c r="G303" s="549" t="s">
        <v>1090</v>
      </c>
      <c r="H303" s="409"/>
      <c r="I303" s="411"/>
      <c r="J303" s="411"/>
      <c r="K303" s="411"/>
      <c r="L303" s="411"/>
      <c r="M303" s="411"/>
      <c r="N303" s="411"/>
      <c r="O303" s="411"/>
      <c r="P303" s="411"/>
    </row>
    <row r="304" spans="1:16" ht="15.75" customHeight="1">
      <c r="A304" s="408"/>
      <c r="B304" s="413"/>
      <c r="C304" s="550"/>
      <c r="D304" s="551"/>
      <c r="E304" s="250"/>
      <c r="F304" s="552"/>
      <c r="G304" s="432"/>
      <c r="H304" s="409"/>
      <c r="I304" s="411"/>
      <c r="J304" s="411"/>
      <c r="K304" s="411"/>
      <c r="L304" s="411"/>
      <c r="M304" s="411"/>
      <c r="N304" s="411"/>
      <c r="O304" s="411"/>
      <c r="P304" s="411"/>
    </row>
    <row r="305" spans="1:16" ht="15.75" customHeight="1">
      <c r="A305" s="408"/>
      <c r="B305" s="1418" t="s">
        <v>1091</v>
      </c>
      <c r="C305" s="1419"/>
      <c r="D305" s="1419"/>
      <c r="E305" s="1419"/>
      <c r="F305" s="1419"/>
      <c r="G305" s="1420"/>
      <c r="H305" s="409"/>
      <c r="I305" s="411"/>
      <c r="J305" s="411"/>
      <c r="K305" s="411"/>
      <c r="L305" s="411"/>
      <c r="M305" s="411"/>
      <c r="N305" s="411"/>
      <c r="O305" s="411"/>
      <c r="P305" s="411"/>
    </row>
    <row r="306" spans="1:16" ht="15.75" customHeight="1">
      <c r="A306" s="408"/>
      <c r="B306" s="413"/>
      <c r="C306" s="428"/>
      <c r="D306" s="429"/>
      <c r="E306" s="466"/>
      <c r="F306" s="431"/>
      <c r="G306" s="432"/>
      <c r="H306" s="409"/>
      <c r="I306" s="411"/>
      <c r="J306" s="411"/>
      <c r="K306" s="411"/>
      <c r="L306" s="411"/>
      <c r="M306" s="411"/>
      <c r="N306" s="411"/>
      <c r="O306" s="411"/>
      <c r="P306" s="411"/>
    </row>
    <row r="307" spans="1:16" ht="15.75" customHeight="1">
      <c r="A307" s="408"/>
      <c r="B307" s="413"/>
      <c r="C307" s="495" t="s">
        <v>1092</v>
      </c>
      <c r="D307" s="496"/>
      <c r="E307" s="497"/>
      <c r="F307" s="498"/>
      <c r="G307" s="499"/>
      <c r="H307" s="409"/>
      <c r="I307" s="411"/>
      <c r="J307" s="411"/>
      <c r="K307" s="411"/>
      <c r="L307" s="411"/>
      <c r="M307" s="411"/>
      <c r="N307" s="411"/>
      <c r="O307" s="411"/>
      <c r="P307" s="411"/>
    </row>
    <row r="308" spans="1:16" ht="15.75" customHeight="1">
      <c r="A308" s="408"/>
      <c r="B308" s="413"/>
      <c r="C308" s="441" t="s">
        <v>1093</v>
      </c>
      <c r="D308" s="442" t="s">
        <v>328</v>
      </c>
      <c r="E308" s="502">
        <v>0.13</v>
      </c>
      <c r="F308" s="444"/>
      <c r="G308" s="432" t="s">
        <v>1094</v>
      </c>
      <c r="H308" s="409"/>
      <c r="I308" s="411"/>
      <c r="J308" s="411"/>
      <c r="K308" s="411"/>
      <c r="L308" s="411"/>
      <c r="M308" s="411"/>
      <c r="N308" s="411"/>
      <c r="O308" s="411"/>
      <c r="P308" s="411"/>
    </row>
    <row r="309" spans="1:16" ht="15.75" customHeight="1">
      <c r="A309" s="408"/>
      <c r="B309" s="413"/>
      <c r="C309" s="441" t="s">
        <v>1095</v>
      </c>
      <c r="D309" s="442" t="s">
        <v>328</v>
      </c>
      <c r="E309" s="502">
        <v>0.2</v>
      </c>
      <c r="F309" s="444"/>
      <c r="G309" s="432" t="s">
        <v>1096</v>
      </c>
      <c r="H309" s="409"/>
      <c r="I309" s="411"/>
      <c r="J309" s="411"/>
      <c r="K309" s="411"/>
      <c r="L309" s="411"/>
      <c r="M309" s="411"/>
      <c r="N309" s="411"/>
      <c r="O309" s="411"/>
      <c r="P309" s="411"/>
    </row>
    <row r="310" spans="1:16" ht="15.75" customHeight="1">
      <c r="A310" s="408"/>
      <c r="B310" s="413"/>
      <c r="C310" s="441" t="s">
        <v>1097</v>
      </c>
      <c r="D310" s="442" t="s">
        <v>336</v>
      </c>
      <c r="E310" s="501">
        <v>103</v>
      </c>
      <c r="F310" s="444"/>
      <c r="G310" s="432" t="s">
        <v>1098</v>
      </c>
      <c r="H310" s="409"/>
      <c r="I310" s="411"/>
      <c r="J310" s="411"/>
      <c r="K310" s="411"/>
      <c r="L310" s="411"/>
      <c r="M310" s="411"/>
      <c r="N310" s="411"/>
      <c r="O310" s="411"/>
      <c r="P310" s="411"/>
    </row>
    <row r="311" spans="1:16" ht="15.75" customHeight="1">
      <c r="A311" s="408"/>
      <c r="B311" s="413"/>
      <c r="C311" s="441" t="s">
        <v>1099</v>
      </c>
      <c r="D311" s="442" t="s">
        <v>336</v>
      </c>
      <c r="E311" s="501">
        <v>103</v>
      </c>
      <c r="F311" s="444"/>
      <c r="G311" s="432"/>
      <c r="H311" s="409"/>
      <c r="I311" s="411"/>
      <c r="J311" s="411"/>
      <c r="K311" s="411"/>
      <c r="L311" s="411"/>
      <c r="M311" s="411"/>
      <c r="N311" s="411"/>
      <c r="O311" s="411"/>
      <c r="P311" s="411"/>
    </row>
    <row r="312" spans="1:16" ht="15.75" customHeight="1">
      <c r="A312" s="408"/>
      <c r="B312" s="413"/>
      <c r="C312" s="441" t="s">
        <v>1100</v>
      </c>
      <c r="D312" s="442" t="s">
        <v>336</v>
      </c>
      <c r="E312" s="501">
        <v>88</v>
      </c>
      <c r="F312" s="444"/>
      <c r="G312" s="432"/>
      <c r="H312" s="409"/>
      <c r="I312" s="411"/>
      <c r="J312" s="411"/>
      <c r="K312" s="411"/>
      <c r="L312" s="411"/>
      <c r="M312" s="411"/>
      <c r="N312" s="411"/>
      <c r="O312" s="411"/>
      <c r="P312" s="411"/>
    </row>
    <row r="313" spans="1:16" ht="15.75" customHeight="1">
      <c r="A313" s="408"/>
      <c r="B313" s="413"/>
      <c r="C313" s="441" t="s">
        <v>1101</v>
      </c>
      <c r="D313" s="442" t="s">
        <v>336</v>
      </c>
      <c r="E313" s="501">
        <v>124</v>
      </c>
      <c r="F313" s="444"/>
      <c r="G313" s="432"/>
      <c r="H313" s="409"/>
      <c r="I313" s="411"/>
      <c r="J313" s="411"/>
      <c r="K313" s="411"/>
      <c r="L313" s="411"/>
      <c r="M313" s="411"/>
      <c r="N313" s="411"/>
      <c r="O313" s="411"/>
      <c r="P313" s="411"/>
    </row>
    <row r="314" spans="1:16" ht="15.75" customHeight="1">
      <c r="A314" s="408"/>
      <c r="B314" s="413"/>
      <c r="C314" s="441" t="s">
        <v>1102</v>
      </c>
      <c r="D314" s="442" t="s">
        <v>336</v>
      </c>
      <c r="E314" s="501">
        <v>103</v>
      </c>
      <c r="F314" s="444"/>
      <c r="G314" s="432" t="s">
        <v>1103</v>
      </c>
      <c r="H314" s="409"/>
      <c r="I314" s="411"/>
      <c r="J314" s="411"/>
      <c r="K314" s="411"/>
      <c r="L314" s="411"/>
      <c r="M314" s="411"/>
      <c r="N314" s="411"/>
      <c r="O314" s="411"/>
      <c r="P314" s="411"/>
    </row>
    <row r="315" spans="1:16" ht="15.75" customHeight="1">
      <c r="A315" s="408"/>
      <c r="B315" s="413"/>
      <c r="C315" s="441" t="s">
        <v>1104</v>
      </c>
      <c r="D315" s="442" t="s">
        <v>808</v>
      </c>
      <c r="E315" s="502">
        <v>0.03</v>
      </c>
      <c r="F315" s="444"/>
      <c r="G315" s="432" t="s">
        <v>1105</v>
      </c>
      <c r="H315" s="409"/>
      <c r="I315" s="411"/>
      <c r="J315" s="411"/>
      <c r="K315" s="411"/>
      <c r="L315" s="411"/>
      <c r="M315" s="411"/>
      <c r="N315" s="411"/>
      <c r="O315" s="411"/>
      <c r="P315" s="411"/>
    </row>
    <row r="316" spans="1:16" ht="15.75" customHeight="1">
      <c r="A316" s="408"/>
      <c r="B316" s="413"/>
      <c r="C316" s="441" t="s">
        <v>1106</v>
      </c>
      <c r="D316" s="442" t="s">
        <v>336</v>
      </c>
      <c r="E316" s="501">
        <v>40000</v>
      </c>
      <c r="F316" s="444"/>
      <c r="G316" s="432" t="s">
        <v>1107</v>
      </c>
      <c r="H316" s="409"/>
      <c r="I316" s="411"/>
      <c r="J316" s="411"/>
      <c r="K316" s="411"/>
      <c r="L316" s="411"/>
      <c r="M316" s="411"/>
      <c r="N316" s="411"/>
      <c r="O316" s="411"/>
      <c r="P316" s="411"/>
    </row>
    <row r="317" spans="1:16" ht="15.75" customHeight="1">
      <c r="A317" s="408"/>
      <c r="B317" s="413"/>
      <c r="C317" s="441" t="s">
        <v>1108</v>
      </c>
      <c r="D317" s="442" t="s">
        <v>336</v>
      </c>
      <c r="E317" s="501">
        <v>40000</v>
      </c>
      <c r="F317" s="444"/>
      <c r="G317" s="432" t="s">
        <v>1109</v>
      </c>
      <c r="H317" s="409"/>
      <c r="I317" s="411"/>
      <c r="J317" s="411"/>
      <c r="K317" s="411"/>
      <c r="L317" s="411"/>
      <c r="M317" s="411"/>
      <c r="N317" s="411"/>
      <c r="O317" s="411"/>
      <c r="P317" s="411"/>
    </row>
    <row r="318" spans="1:16" ht="15.75" customHeight="1">
      <c r="A318" s="408"/>
      <c r="B318" s="413"/>
      <c r="C318" s="441" t="s">
        <v>1110</v>
      </c>
      <c r="D318" s="442" t="s">
        <v>336</v>
      </c>
      <c r="E318" s="553">
        <v>30000</v>
      </c>
      <c r="F318" s="444"/>
      <c r="G318" s="432"/>
      <c r="H318" s="409"/>
      <c r="I318" s="411"/>
      <c r="J318" s="411"/>
      <c r="K318" s="411"/>
      <c r="L318" s="411"/>
      <c r="M318" s="411"/>
      <c r="N318" s="411"/>
      <c r="O318" s="411"/>
      <c r="P318" s="411"/>
    </row>
    <row r="319" spans="1:16" ht="15.75" customHeight="1">
      <c r="A319" s="408"/>
      <c r="B319" s="413"/>
      <c r="C319" s="441" t="s">
        <v>1111</v>
      </c>
      <c r="D319" s="442" t="s">
        <v>336</v>
      </c>
      <c r="E319" s="553">
        <v>15000</v>
      </c>
      <c r="F319" s="444"/>
      <c r="G319" s="432"/>
      <c r="H319" s="409"/>
      <c r="I319" s="411"/>
      <c r="J319" s="411"/>
      <c r="K319" s="411"/>
      <c r="L319" s="411"/>
      <c r="M319" s="411"/>
      <c r="N319" s="411"/>
      <c r="O319" s="411"/>
      <c r="P319" s="411"/>
    </row>
    <row r="320" spans="1:16" ht="15.75" customHeight="1">
      <c r="A320" s="408"/>
      <c r="B320" s="413"/>
      <c r="C320" s="441" t="s">
        <v>1112</v>
      </c>
      <c r="D320" s="442" t="s">
        <v>336</v>
      </c>
      <c r="E320" s="553">
        <v>10000</v>
      </c>
      <c r="F320" s="444"/>
      <c r="G320" s="432"/>
      <c r="H320" s="409"/>
      <c r="I320" s="411"/>
      <c r="J320" s="411"/>
      <c r="K320" s="411"/>
      <c r="L320" s="411"/>
      <c r="M320" s="411"/>
      <c r="N320" s="411"/>
      <c r="O320" s="411"/>
      <c r="P320" s="411"/>
    </row>
    <row r="321" spans="1:16" ht="15.75" customHeight="1">
      <c r="A321" s="408"/>
      <c r="B321" s="413"/>
      <c r="C321" s="441" t="s">
        <v>1113</v>
      </c>
      <c r="D321" s="442" t="s">
        <v>336</v>
      </c>
      <c r="E321" s="553">
        <v>20000</v>
      </c>
      <c r="F321" s="444"/>
      <c r="G321" s="432"/>
      <c r="H321" s="409"/>
      <c r="I321" s="411"/>
      <c r="J321" s="411"/>
      <c r="K321" s="411"/>
      <c r="L321" s="411"/>
      <c r="M321" s="411"/>
      <c r="N321" s="411"/>
      <c r="O321" s="411"/>
      <c r="P321" s="411"/>
    </row>
    <row r="322" spans="1:16" ht="15.75" customHeight="1">
      <c r="A322" s="408"/>
      <c r="B322" s="413"/>
      <c r="C322" s="441" t="s">
        <v>1114</v>
      </c>
      <c r="D322" s="442" t="s">
        <v>336</v>
      </c>
      <c r="E322" s="553">
        <v>10000</v>
      </c>
      <c r="F322" s="444"/>
      <c r="G322" s="432"/>
      <c r="H322" s="409"/>
      <c r="I322" s="411"/>
      <c r="J322" s="411"/>
      <c r="K322" s="411"/>
      <c r="L322" s="411"/>
      <c r="M322" s="411"/>
      <c r="N322" s="411"/>
      <c r="O322" s="411"/>
      <c r="P322" s="411"/>
    </row>
    <row r="323" spans="1:16" ht="15.75" customHeight="1">
      <c r="A323" s="408"/>
      <c r="B323" s="413"/>
      <c r="C323" s="441" t="s">
        <v>1115</v>
      </c>
      <c r="D323" s="442" t="s">
        <v>328</v>
      </c>
      <c r="E323" s="554">
        <v>0.1</v>
      </c>
      <c r="F323" s="444"/>
      <c r="G323" s="432" t="s">
        <v>1116</v>
      </c>
      <c r="H323" s="409"/>
      <c r="I323" s="411"/>
      <c r="J323" s="411"/>
      <c r="K323" s="411"/>
      <c r="L323" s="411"/>
      <c r="M323" s="411"/>
      <c r="N323" s="411"/>
      <c r="O323" s="411"/>
      <c r="P323" s="411"/>
    </row>
    <row r="324" spans="1:16" ht="15.75" customHeight="1">
      <c r="A324" s="408"/>
      <c r="B324" s="413"/>
      <c r="C324" s="441"/>
      <c r="D324" s="442"/>
      <c r="E324" s="447"/>
      <c r="F324" s="444"/>
      <c r="G324" s="432"/>
      <c r="H324" s="409"/>
      <c r="I324" s="411"/>
      <c r="J324" s="411"/>
      <c r="K324" s="411"/>
      <c r="L324" s="411"/>
      <c r="M324" s="411"/>
      <c r="N324" s="411"/>
      <c r="O324" s="411"/>
      <c r="P324" s="411"/>
    </row>
    <row r="325" spans="1:16" ht="15.75" customHeight="1">
      <c r="A325" s="408"/>
      <c r="B325" s="413"/>
      <c r="C325" s="495" t="s">
        <v>1117</v>
      </c>
      <c r="D325" s="496"/>
      <c r="E325" s="497"/>
      <c r="F325" s="498"/>
      <c r="G325" s="499"/>
      <c r="H325" s="409"/>
      <c r="I325" s="411"/>
      <c r="J325" s="411"/>
      <c r="K325" s="411"/>
      <c r="L325" s="411"/>
      <c r="M325" s="411"/>
      <c r="N325" s="411"/>
      <c r="O325" s="411"/>
      <c r="P325" s="411"/>
    </row>
    <row r="326" spans="1:16" ht="15.75" customHeight="1">
      <c r="A326" s="408"/>
      <c r="B326" s="413"/>
      <c r="C326" s="441" t="s">
        <v>1118</v>
      </c>
      <c r="D326" s="442" t="s">
        <v>336</v>
      </c>
      <c r="E326" s="443">
        <v>18</v>
      </c>
      <c r="F326" s="444"/>
      <c r="G326" s="432" t="s">
        <v>1119</v>
      </c>
      <c r="H326" s="409"/>
      <c r="I326" s="411"/>
      <c r="J326" s="411"/>
      <c r="K326" s="411"/>
      <c r="L326" s="411"/>
      <c r="M326" s="411"/>
      <c r="N326" s="411"/>
      <c r="O326" s="411"/>
      <c r="P326" s="411"/>
    </row>
    <row r="327" spans="1:16" ht="15.75" customHeight="1">
      <c r="A327" s="408"/>
      <c r="B327" s="413"/>
      <c r="C327" s="441" t="s">
        <v>1120</v>
      </c>
      <c r="D327" s="442" t="s">
        <v>336</v>
      </c>
      <c r="E327" s="443">
        <v>24</v>
      </c>
      <c r="F327" s="444"/>
      <c r="G327" s="432" t="s">
        <v>1121</v>
      </c>
      <c r="H327" s="409"/>
      <c r="I327" s="411"/>
      <c r="J327" s="411"/>
      <c r="K327" s="411"/>
      <c r="L327" s="411"/>
      <c r="M327" s="411"/>
      <c r="N327" s="411"/>
      <c r="O327" s="411"/>
      <c r="P327" s="411"/>
    </row>
    <row r="328" spans="1:16" ht="15.75" customHeight="1">
      <c r="A328" s="408"/>
      <c r="B328" s="413"/>
      <c r="C328" s="441" t="s">
        <v>1122</v>
      </c>
      <c r="D328" s="442" t="s">
        <v>336</v>
      </c>
      <c r="E328" s="443">
        <v>7</v>
      </c>
      <c r="F328" s="444"/>
      <c r="G328" s="432" t="s">
        <v>1123</v>
      </c>
      <c r="H328" s="409"/>
      <c r="I328" s="411"/>
      <c r="J328" s="411"/>
      <c r="K328" s="411"/>
      <c r="L328" s="411"/>
      <c r="M328" s="411"/>
      <c r="N328" s="411"/>
      <c r="O328" s="411"/>
      <c r="P328" s="411"/>
    </row>
    <row r="329" spans="1:16" ht="15.75" customHeight="1">
      <c r="A329" s="408"/>
      <c r="B329" s="413"/>
      <c r="C329" s="441" t="s">
        <v>1124</v>
      </c>
      <c r="D329" s="442" t="s">
        <v>336</v>
      </c>
      <c r="E329" s="443">
        <v>40</v>
      </c>
      <c r="F329" s="444"/>
      <c r="G329" s="432" t="s">
        <v>1125</v>
      </c>
      <c r="H329" s="409"/>
      <c r="I329" s="411"/>
      <c r="J329" s="411"/>
      <c r="K329" s="411"/>
      <c r="L329" s="411"/>
      <c r="M329" s="411"/>
      <c r="N329" s="411"/>
      <c r="O329" s="411"/>
      <c r="P329" s="411"/>
    </row>
    <row r="330" spans="1:16" ht="15.75" customHeight="1">
      <c r="A330" s="408"/>
      <c r="B330" s="413"/>
      <c r="C330" s="441" t="s">
        <v>1126</v>
      </c>
      <c r="D330" s="442" t="s">
        <v>336</v>
      </c>
      <c r="E330" s="443">
        <v>50</v>
      </c>
      <c r="F330" s="444"/>
      <c r="G330" s="432"/>
      <c r="H330" s="409"/>
      <c r="I330" s="411"/>
      <c r="J330" s="411"/>
      <c r="K330" s="411"/>
      <c r="L330" s="411"/>
      <c r="M330" s="411"/>
      <c r="N330" s="411"/>
      <c r="O330" s="411"/>
      <c r="P330" s="411"/>
    </row>
    <row r="331" spans="1:16" ht="15.75" customHeight="1">
      <c r="A331" s="408"/>
      <c r="B331" s="413"/>
      <c r="C331" s="441" t="s">
        <v>1127</v>
      </c>
      <c r="D331" s="442" t="s">
        <v>336</v>
      </c>
      <c r="E331" s="443">
        <v>20</v>
      </c>
      <c r="F331" s="444"/>
      <c r="G331" s="432"/>
      <c r="H331" s="409"/>
      <c r="I331" s="411"/>
      <c r="J331" s="411"/>
      <c r="K331" s="411"/>
      <c r="L331" s="411"/>
      <c r="M331" s="411"/>
      <c r="N331" s="411"/>
      <c r="O331" s="411"/>
      <c r="P331" s="411"/>
    </row>
    <row r="332" spans="1:16" ht="15.75" customHeight="1">
      <c r="A332" s="408"/>
      <c r="B332" s="413"/>
      <c r="C332" s="441" t="s">
        <v>1128</v>
      </c>
      <c r="D332" s="442" t="s">
        <v>336</v>
      </c>
      <c r="E332" s="443">
        <v>5</v>
      </c>
      <c r="F332" s="444"/>
      <c r="G332" s="432" t="s">
        <v>1129</v>
      </c>
      <c r="H332" s="409"/>
      <c r="I332" s="411"/>
      <c r="J332" s="411"/>
      <c r="K332" s="411"/>
      <c r="L332" s="411"/>
      <c r="M332" s="411"/>
      <c r="N332" s="411"/>
      <c r="O332" s="411"/>
      <c r="P332" s="411"/>
    </row>
    <row r="333" spans="1:16" ht="15.75" customHeight="1">
      <c r="A333" s="408"/>
      <c r="B333" s="413"/>
      <c r="C333" s="441" t="s">
        <v>1130</v>
      </c>
      <c r="D333" s="442" t="s">
        <v>808</v>
      </c>
      <c r="E333" s="443">
        <v>0.03</v>
      </c>
      <c r="F333" s="444"/>
      <c r="G333" s="432" t="s">
        <v>1105</v>
      </c>
      <c r="H333" s="409"/>
      <c r="I333" s="411"/>
      <c r="J333" s="411"/>
      <c r="K333" s="411"/>
      <c r="L333" s="411"/>
      <c r="M333" s="411"/>
      <c r="N333" s="411"/>
      <c r="O333" s="411"/>
      <c r="P333" s="411"/>
    </row>
    <row r="334" spans="1:16" ht="15.75" customHeight="1">
      <c r="A334" s="408"/>
      <c r="B334" s="413"/>
      <c r="C334" s="441" t="s">
        <v>1131</v>
      </c>
      <c r="D334" s="442" t="s">
        <v>1132</v>
      </c>
      <c r="E334" s="443">
        <v>50</v>
      </c>
      <c r="F334" s="444"/>
      <c r="G334" s="432" t="s">
        <v>1133</v>
      </c>
      <c r="H334" s="409"/>
      <c r="I334" s="411"/>
      <c r="J334" s="411"/>
      <c r="K334" s="411"/>
      <c r="L334" s="411"/>
      <c r="M334" s="411"/>
      <c r="N334" s="411"/>
      <c r="O334" s="411"/>
      <c r="P334" s="411"/>
    </row>
    <row r="335" spans="1:16" ht="15.75" customHeight="1">
      <c r="A335" s="408"/>
      <c r="B335" s="413"/>
      <c r="C335" s="441" t="s">
        <v>1134</v>
      </c>
      <c r="D335" s="442" t="s">
        <v>567</v>
      </c>
      <c r="E335" s="443">
        <v>1.5</v>
      </c>
      <c r="F335" s="444"/>
      <c r="G335" s="432" t="s">
        <v>1135</v>
      </c>
      <c r="H335" s="409"/>
      <c r="I335" s="411"/>
      <c r="J335" s="411"/>
      <c r="K335" s="411"/>
      <c r="L335" s="411"/>
      <c r="M335" s="411"/>
      <c r="N335" s="411"/>
      <c r="O335" s="411"/>
      <c r="P335" s="411"/>
    </row>
    <row r="336" spans="1:16" ht="15.75" customHeight="1">
      <c r="A336" s="408"/>
      <c r="B336" s="413"/>
      <c r="C336" s="441"/>
      <c r="D336" s="442"/>
      <c r="E336" s="447"/>
      <c r="F336" s="444"/>
      <c r="G336" s="432"/>
      <c r="H336" s="409"/>
      <c r="I336" s="411"/>
      <c r="J336" s="411"/>
      <c r="K336" s="411"/>
      <c r="L336" s="411"/>
      <c r="M336" s="411"/>
      <c r="N336" s="411"/>
      <c r="O336" s="411"/>
      <c r="P336" s="411"/>
    </row>
    <row r="337" spans="1:16" ht="15.75" customHeight="1">
      <c r="A337" s="408"/>
      <c r="B337" s="413"/>
      <c r="C337" s="495" t="s">
        <v>1136</v>
      </c>
      <c r="D337" s="496"/>
      <c r="E337" s="497"/>
      <c r="F337" s="498"/>
      <c r="G337" s="499"/>
      <c r="H337" s="409"/>
      <c r="I337" s="411"/>
      <c r="J337" s="411"/>
      <c r="K337" s="411"/>
      <c r="L337" s="411"/>
      <c r="M337" s="411"/>
      <c r="N337" s="411"/>
      <c r="O337" s="411"/>
      <c r="P337" s="411"/>
    </row>
    <row r="338" spans="1:16" ht="15.75" customHeight="1">
      <c r="A338" s="408"/>
      <c r="B338" s="413"/>
      <c r="C338" s="441" t="s">
        <v>1137</v>
      </c>
      <c r="D338" s="442" t="s">
        <v>336</v>
      </c>
      <c r="E338" s="501">
        <v>600000</v>
      </c>
      <c r="F338" s="444"/>
      <c r="G338" s="432" t="s">
        <v>1138</v>
      </c>
      <c r="H338" s="409"/>
      <c r="I338" s="411"/>
      <c r="J338" s="411"/>
      <c r="K338" s="411"/>
      <c r="L338" s="411"/>
      <c r="M338" s="411"/>
      <c r="N338" s="411"/>
      <c r="O338" s="411"/>
      <c r="P338" s="411"/>
    </row>
    <row r="339" spans="1:16" ht="15.75" customHeight="1">
      <c r="A339" s="408"/>
      <c r="B339" s="413"/>
      <c r="C339" s="441" t="s">
        <v>1139</v>
      </c>
      <c r="D339" s="442" t="s">
        <v>336</v>
      </c>
      <c r="E339" s="501">
        <v>150000</v>
      </c>
      <c r="F339" s="444"/>
      <c r="G339" s="432"/>
      <c r="H339" s="409"/>
      <c r="I339" s="411"/>
      <c r="J339" s="411"/>
      <c r="K339" s="411"/>
      <c r="L339" s="411"/>
      <c r="M339" s="411"/>
      <c r="N339" s="411"/>
      <c r="O339" s="411"/>
      <c r="P339" s="411"/>
    </row>
    <row r="340" spans="1:16" ht="15.75" customHeight="1">
      <c r="A340" s="408"/>
      <c r="B340" s="413"/>
      <c r="C340" s="441" t="s">
        <v>1140</v>
      </c>
      <c r="D340" s="442" t="s">
        <v>336</v>
      </c>
      <c r="E340" s="501">
        <v>150000</v>
      </c>
      <c r="F340" s="444"/>
      <c r="G340" s="432"/>
      <c r="H340" s="409"/>
      <c r="I340" s="411"/>
      <c r="J340" s="411"/>
      <c r="K340" s="411"/>
      <c r="L340" s="411"/>
      <c r="M340" s="412"/>
      <c r="N340" s="412"/>
      <c r="O340" s="412"/>
      <c r="P340" s="411"/>
    </row>
    <row r="341" spans="1:16" ht="15.75" customHeight="1">
      <c r="A341" s="408"/>
      <c r="B341" s="413"/>
      <c r="C341" s="441" t="s">
        <v>1141</v>
      </c>
      <c r="D341" s="442" t="s">
        <v>336</v>
      </c>
      <c r="E341" s="501">
        <v>100000</v>
      </c>
      <c r="F341" s="444"/>
      <c r="G341" s="432" t="s">
        <v>1142</v>
      </c>
      <c r="H341" s="409"/>
      <c r="I341" s="411"/>
      <c r="J341" s="411"/>
      <c r="K341" s="411"/>
      <c r="L341" s="411"/>
      <c r="M341" s="412"/>
      <c r="N341" s="412"/>
      <c r="O341" s="412"/>
      <c r="P341" s="411"/>
    </row>
    <row r="342" spans="1:16" ht="15.75" customHeight="1">
      <c r="A342" s="408"/>
      <c r="B342" s="413"/>
      <c r="C342" s="441" t="s">
        <v>1143</v>
      </c>
      <c r="D342" s="442" t="s">
        <v>336</v>
      </c>
      <c r="E342" s="501">
        <v>50000</v>
      </c>
      <c r="F342" s="444"/>
      <c r="G342" s="432" t="s">
        <v>1144</v>
      </c>
      <c r="H342" s="409"/>
      <c r="I342" s="411"/>
      <c r="J342" s="411"/>
      <c r="K342" s="411"/>
      <c r="L342" s="411"/>
      <c r="M342" s="412"/>
      <c r="N342" s="412"/>
      <c r="O342" s="412"/>
      <c r="P342" s="411"/>
    </row>
    <row r="343" spans="1:16" ht="15.75" customHeight="1">
      <c r="A343" s="408"/>
      <c r="B343" s="413"/>
      <c r="C343" s="441" t="s">
        <v>1145</v>
      </c>
      <c r="D343" s="442" t="s">
        <v>336</v>
      </c>
      <c r="E343" s="501">
        <v>350000</v>
      </c>
      <c r="F343" s="444"/>
      <c r="G343" s="432" t="s">
        <v>1146</v>
      </c>
      <c r="H343" s="409"/>
      <c r="I343" s="411"/>
      <c r="J343" s="411"/>
      <c r="K343" s="411"/>
      <c r="L343" s="411"/>
      <c r="M343" s="412"/>
      <c r="N343" s="412"/>
      <c r="O343" s="412"/>
      <c r="P343" s="411"/>
    </row>
    <row r="344" spans="1:16" ht="15.75" customHeight="1">
      <c r="A344" s="408"/>
      <c r="B344" s="413"/>
      <c r="C344" s="441" t="s">
        <v>1147</v>
      </c>
      <c r="D344" s="442" t="s">
        <v>336</v>
      </c>
      <c r="E344" s="501">
        <v>250000</v>
      </c>
      <c r="F344" s="444"/>
      <c r="G344" s="432" t="s">
        <v>1148</v>
      </c>
      <c r="H344" s="409"/>
      <c r="I344" s="411"/>
      <c r="J344" s="411"/>
      <c r="K344" s="411"/>
      <c r="L344" s="411"/>
      <c r="M344" s="412"/>
      <c r="N344" s="412"/>
      <c r="O344" s="412"/>
      <c r="P344" s="411"/>
    </row>
    <row r="345" spans="1:16" ht="15.75" customHeight="1">
      <c r="A345" s="408"/>
      <c r="B345" s="413"/>
      <c r="C345" s="441" t="s">
        <v>1149</v>
      </c>
      <c r="D345" s="442" t="s">
        <v>336</v>
      </c>
      <c r="E345" s="501">
        <v>200000</v>
      </c>
      <c r="F345" s="444"/>
      <c r="G345" s="432" t="s">
        <v>1150</v>
      </c>
      <c r="H345" s="409"/>
      <c r="I345" s="411"/>
      <c r="J345" s="411"/>
      <c r="K345" s="411"/>
      <c r="L345" s="411"/>
      <c r="M345" s="412"/>
      <c r="N345" s="412"/>
      <c r="O345" s="412"/>
      <c r="P345" s="411"/>
    </row>
    <row r="346" spans="1:16" ht="15.75" customHeight="1">
      <c r="A346" s="408"/>
      <c r="B346" s="413"/>
      <c r="C346" s="441" t="s">
        <v>1151</v>
      </c>
      <c r="D346" s="442" t="s">
        <v>336</v>
      </c>
      <c r="E346" s="501">
        <v>375000</v>
      </c>
      <c r="F346" s="444"/>
      <c r="G346" s="432" t="s">
        <v>1152</v>
      </c>
      <c r="H346" s="409"/>
      <c r="I346" s="411"/>
      <c r="J346" s="411"/>
      <c r="K346" s="411"/>
      <c r="L346" s="411"/>
      <c r="M346" s="412"/>
      <c r="N346" s="412"/>
      <c r="O346" s="412"/>
      <c r="P346" s="411"/>
    </row>
    <row r="347" spans="1:16" ht="15.75" customHeight="1">
      <c r="A347" s="408"/>
      <c r="B347" s="413"/>
      <c r="C347" s="441" t="s">
        <v>1153</v>
      </c>
      <c r="D347" s="442" t="s">
        <v>336</v>
      </c>
      <c r="E347" s="501">
        <v>200000</v>
      </c>
      <c r="F347" s="444"/>
      <c r="G347" s="432" t="s">
        <v>1154</v>
      </c>
      <c r="H347" s="409"/>
      <c r="I347" s="411"/>
      <c r="J347" s="411"/>
      <c r="K347" s="411"/>
      <c r="L347" s="411"/>
      <c r="M347" s="412"/>
      <c r="N347" s="412"/>
      <c r="O347" s="412"/>
      <c r="P347" s="411"/>
    </row>
    <row r="348" spans="1:16" ht="15.75" customHeight="1">
      <c r="A348" s="408"/>
      <c r="B348" s="413"/>
      <c r="C348" s="441" t="s">
        <v>1155</v>
      </c>
      <c r="D348" s="442"/>
      <c r="E348" s="555">
        <f>E349</f>
        <v>2.5000000000000001E-2</v>
      </c>
      <c r="F348" s="444"/>
      <c r="G348" s="432" t="s">
        <v>1156</v>
      </c>
      <c r="H348" s="409"/>
      <c r="I348" s="411"/>
      <c r="J348" s="411"/>
      <c r="K348" s="411"/>
      <c r="L348" s="411"/>
      <c r="M348" s="412"/>
      <c r="N348" s="412"/>
      <c r="O348" s="412"/>
      <c r="P348" s="411"/>
    </row>
    <row r="349" spans="1:16" ht="15.75" customHeight="1">
      <c r="A349" s="408"/>
      <c r="B349" s="413"/>
      <c r="C349" s="441" t="s">
        <v>1155</v>
      </c>
      <c r="D349" s="442" t="s">
        <v>808</v>
      </c>
      <c r="E349" s="502">
        <v>2.5000000000000001E-2</v>
      </c>
      <c r="F349" s="444"/>
      <c r="G349" s="432" t="s">
        <v>1156</v>
      </c>
      <c r="H349" s="409"/>
      <c r="I349" s="411"/>
      <c r="J349" s="411"/>
      <c r="K349" s="411"/>
      <c r="L349" s="411"/>
      <c r="M349" s="412"/>
      <c r="N349" s="412"/>
      <c r="O349" s="412"/>
      <c r="P349" s="411"/>
    </row>
    <row r="350" spans="1:16" ht="15.75" customHeight="1">
      <c r="A350" s="408"/>
      <c r="B350" s="413"/>
      <c r="C350" s="441"/>
      <c r="D350" s="442"/>
      <c r="E350" s="502"/>
      <c r="F350" s="444"/>
      <c r="G350" s="432"/>
      <c r="H350" s="409"/>
      <c r="I350" s="411"/>
      <c r="J350" s="411"/>
      <c r="K350" s="411"/>
      <c r="L350" s="411"/>
      <c r="M350" s="412"/>
      <c r="N350" s="412"/>
      <c r="O350" s="412"/>
      <c r="P350" s="411"/>
    </row>
    <row r="351" spans="1:16" ht="15.75" customHeight="1">
      <c r="A351" s="408"/>
      <c r="B351" s="413"/>
      <c r="C351" s="441"/>
      <c r="D351" s="442"/>
      <c r="E351" s="502"/>
      <c r="F351" s="444"/>
      <c r="G351" s="432"/>
      <c r="H351" s="409"/>
      <c r="I351" s="411"/>
      <c r="J351" s="411"/>
      <c r="K351" s="411"/>
      <c r="L351" s="411"/>
      <c r="M351" s="412"/>
      <c r="N351" s="412"/>
      <c r="O351" s="412"/>
      <c r="P351" s="411"/>
    </row>
    <row r="352" spans="1:16" ht="15.75" customHeight="1">
      <c r="A352" s="408"/>
      <c r="B352" s="413"/>
      <c r="C352" s="441" t="s">
        <v>486</v>
      </c>
      <c r="D352" s="442" t="s">
        <v>328</v>
      </c>
      <c r="E352" s="502">
        <v>0.15</v>
      </c>
      <c r="F352" s="444"/>
      <c r="G352" s="432" t="s">
        <v>1157</v>
      </c>
      <c r="H352" s="409"/>
      <c r="I352" s="411"/>
      <c r="J352" s="411"/>
      <c r="K352" s="411"/>
      <c r="L352" s="411"/>
      <c r="M352" s="412"/>
      <c r="N352" s="412"/>
      <c r="O352" s="412"/>
      <c r="P352" s="411"/>
    </row>
    <row r="353" spans="1:16" ht="15.75" customHeight="1">
      <c r="A353" s="408"/>
      <c r="B353" s="413"/>
      <c r="C353" s="441" t="s">
        <v>487</v>
      </c>
      <c r="D353" s="442" t="s">
        <v>328</v>
      </c>
      <c r="E353" s="502">
        <v>0.05</v>
      </c>
      <c r="F353" s="444"/>
      <c r="G353" s="432" t="s">
        <v>1158</v>
      </c>
      <c r="H353" s="409"/>
      <c r="I353" s="411"/>
      <c r="J353" s="411"/>
      <c r="K353" s="411"/>
      <c r="L353" s="411"/>
      <c r="M353" s="412"/>
      <c r="N353" s="412"/>
      <c r="O353" s="412"/>
      <c r="P353" s="411"/>
    </row>
    <row r="354" spans="1:16" ht="15.75" customHeight="1">
      <c r="A354" s="408"/>
      <c r="B354" s="413"/>
      <c r="C354" s="176"/>
      <c r="D354" s="140"/>
      <c r="E354" s="250"/>
      <c r="F354" s="409"/>
      <c r="G354" s="432"/>
      <c r="H354" s="409"/>
      <c r="I354" s="411"/>
      <c r="J354" s="411"/>
      <c r="K354" s="411"/>
      <c r="L354" s="411"/>
      <c r="M354" s="412"/>
      <c r="N354" s="412"/>
      <c r="O354" s="412"/>
      <c r="P354" s="411"/>
    </row>
    <row r="355" spans="1:16" ht="15.75" customHeight="1">
      <c r="A355" s="408"/>
      <c r="B355" s="413"/>
      <c r="C355" s="176"/>
      <c r="D355" s="140"/>
      <c r="E355" s="250"/>
      <c r="F355" s="409"/>
      <c r="G355" s="432"/>
      <c r="H355" s="409"/>
      <c r="I355" s="411"/>
      <c r="J355" s="411"/>
      <c r="K355" s="411"/>
      <c r="L355" s="411"/>
      <c r="M355" s="412"/>
      <c r="N355" s="412"/>
      <c r="O355" s="412"/>
      <c r="P355" s="411"/>
    </row>
    <row r="356" spans="1:16" ht="15.75" customHeight="1">
      <c r="A356" s="556"/>
      <c r="B356" s="413"/>
      <c r="C356" s="495" t="s">
        <v>1159</v>
      </c>
      <c r="D356" s="496"/>
      <c r="E356" s="497"/>
      <c r="F356" s="498"/>
      <c r="G356" s="499"/>
      <c r="H356" s="412"/>
      <c r="I356" s="412"/>
      <c r="J356" s="412"/>
      <c r="K356" s="412"/>
      <c r="L356" s="412"/>
      <c r="M356" s="412"/>
      <c r="N356" s="412"/>
      <c r="O356" s="412"/>
      <c r="P356" s="411"/>
    </row>
    <row r="357" spans="1:16" ht="15.75" customHeight="1">
      <c r="A357" s="556"/>
      <c r="B357" s="413"/>
      <c r="C357" s="411"/>
      <c r="D357" s="557"/>
      <c r="E357" s="250"/>
      <c r="F357" s="412"/>
      <c r="G357" s="432"/>
      <c r="H357" s="412"/>
      <c r="I357" s="412"/>
      <c r="J357" s="412"/>
      <c r="K357" s="412"/>
      <c r="L357" s="412"/>
      <c r="M357" s="412"/>
      <c r="N357" s="412"/>
      <c r="O357" s="412"/>
      <c r="P357" s="411"/>
    </row>
    <row r="358" spans="1:16" ht="15.75" customHeight="1">
      <c r="A358" s="556"/>
      <c r="B358" s="413"/>
      <c r="C358" s="441" t="s">
        <v>1160</v>
      </c>
      <c r="D358" s="442" t="s">
        <v>336</v>
      </c>
      <c r="E358" s="501">
        <v>5000</v>
      </c>
      <c r="F358" s="444"/>
      <c r="G358" s="432" t="s">
        <v>1161</v>
      </c>
      <c r="H358" s="412"/>
      <c r="I358" s="412"/>
      <c r="J358" s="412"/>
      <c r="K358" s="412"/>
      <c r="L358" s="412"/>
      <c r="M358" s="412"/>
      <c r="N358" s="412"/>
      <c r="O358" s="412"/>
      <c r="P358" s="411"/>
    </row>
    <row r="359" spans="1:16" ht="15.75" customHeight="1">
      <c r="A359" s="556"/>
      <c r="B359" s="413"/>
      <c r="C359" s="441" t="s">
        <v>1162</v>
      </c>
      <c r="D359" s="442" t="s">
        <v>336</v>
      </c>
      <c r="E359" s="501">
        <v>10000</v>
      </c>
      <c r="F359" s="444"/>
      <c r="G359" s="432" t="s">
        <v>1163</v>
      </c>
      <c r="H359" s="412"/>
      <c r="I359" s="412"/>
      <c r="J359" s="412"/>
      <c r="K359" s="412"/>
      <c r="L359" s="412"/>
      <c r="M359" s="412"/>
      <c r="N359" s="412"/>
      <c r="O359" s="412"/>
      <c r="P359" s="411"/>
    </row>
    <row r="360" spans="1:16" ht="15.75" customHeight="1">
      <c r="A360" s="556"/>
      <c r="B360" s="413"/>
      <c r="C360" s="441" t="s">
        <v>1164</v>
      </c>
      <c r="D360" s="442" t="s">
        <v>336</v>
      </c>
      <c r="E360" s="503">
        <v>3</v>
      </c>
      <c r="F360" s="444"/>
      <c r="G360" s="432" t="s">
        <v>1165</v>
      </c>
      <c r="H360" s="412"/>
      <c r="I360" s="412"/>
      <c r="J360" s="412"/>
      <c r="K360" s="412"/>
      <c r="L360" s="412"/>
      <c r="M360" s="412"/>
      <c r="N360" s="412"/>
      <c r="O360" s="412"/>
      <c r="P360" s="411"/>
    </row>
    <row r="361" spans="1:16" ht="15.75" customHeight="1">
      <c r="A361" s="556"/>
      <c r="B361" s="413"/>
      <c r="C361" s="441"/>
      <c r="D361" s="442"/>
      <c r="E361" s="502"/>
      <c r="F361" s="444"/>
      <c r="G361" s="432"/>
      <c r="H361" s="412"/>
      <c r="I361" s="412"/>
      <c r="J361" s="412"/>
      <c r="K361" s="412"/>
      <c r="L361" s="412"/>
      <c r="M361" s="412"/>
      <c r="N361" s="412"/>
      <c r="O361" s="412"/>
      <c r="P361" s="411"/>
    </row>
    <row r="362" spans="1:16" ht="15.75" customHeight="1">
      <c r="A362" s="556"/>
      <c r="B362" s="413"/>
      <c r="C362" s="441" t="s">
        <v>1166</v>
      </c>
      <c r="D362" s="442" t="s">
        <v>336</v>
      </c>
      <c r="E362" s="503">
        <v>3</v>
      </c>
      <c r="F362" s="444"/>
      <c r="G362" s="432" t="s">
        <v>1167</v>
      </c>
      <c r="H362" s="412"/>
      <c r="I362" s="412" t="s">
        <v>1168</v>
      </c>
      <c r="J362" s="412"/>
      <c r="K362" s="412"/>
      <c r="L362" s="412"/>
      <c r="M362" s="412"/>
      <c r="N362" s="412"/>
      <c r="O362" s="412"/>
      <c r="P362" s="411"/>
    </row>
    <row r="363" spans="1:16" ht="15.75" customHeight="1">
      <c r="A363" s="556"/>
      <c r="B363" s="413"/>
      <c r="C363" s="441" t="s">
        <v>1169</v>
      </c>
      <c r="D363" s="442" t="s">
        <v>808</v>
      </c>
      <c r="E363" s="502">
        <v>0.03</v>
      </c>
      <c r="F363" s="444"/>
      <c r="G363" s="432" t="s">
        <v>1170</v>
      </c>
      <c r="H363" s="412"/>
      <c r="I363" s="412"/>
      <c r="J363" s="412"/>
      <c r="K363" s="412"/>
      <c r="L363" s="412"/>
      <c r="M363" s="412"/>
      <c r="N363" s="412"/>
      <c r="O363" s="412"/>
      <c r="P363" s="411"/>
    </row>
    <row r="364" spans="1:16" ht="15.75" customHeight="1">
      <c r="A364" s="556"/>
      <c r="B364" s="558"/>
      <c r="C364" s="411"/>
      <c r="D364" s="557"/>
      <c r="E364" s="250"/>
      <c r="F364" s="412"/>
      <c r="G364" s="432"/>
      <c r="H364" s="412"/>
      <c r="I364" s="412"/>
      <c r="J364" s="412"/>
      <c r="K364" s="412"/>
      <c r="L364" s="412"/>
      <c r="M364" s="412"/>
      <c r="N364" s="412"/>
      <c r="O364" s="412"/>
      <c r="P364" s="411"/>
    </row>
    <row r="365" spans="1:16" ht="15.75" customHeight="1">
      <c r="A365" s="556"/>
      <c r="B365" s="558"/>
      <c r="C365" s="411"/>
      <c r="D365" s="557"/>
      <c r="E365" s="250"/>
      <c r="F365" s="412"/>
      <c r="G365" s="432"/>
      <c r="H365" s="412"/>
      <c r="I365" s="412"/>
      <c r="J365" s="412"/>
      <c r="K365" s="412"/>
      <c r="L365" s="412"/>
      <c r="M365" s="412"/>
      <c r="N365" s="412"/>
      <c r="O365" s="412"/>
      <c r="P365" s="411"/>
    </row>
    <row r="366" spans="1:16" ht="15.75" customHeight="1">
      <c r="A366" s="556"/>
      <c r="B366" s="558"/>
      <c r="C366" s="411"/>
      <c r="D366" s="557"/>
      <c r="E366" s="250"/>
      <c r="F366" s="412"/>
      <c r="G366" s="432"/>
      <c r="H366" s="412"/>
      <c r="I366" s="412"/>
      <c r="J366" s="412"/>
      <c r="K366" s="412"/>
      <c r="L366" s="412"/>
      <c r="M366" s="411"/>
      <c r="N366" s="411"/>
      <c r="O366" s="411"/>
      <c r="P366" s="411"/>
    </row>
    <row r="367" spans="1:16" ht="15.75" customHeight="1">
      <c r="A367" s="556"/>
      <c r="B367" s="558"/>
      <c r="C367" s="411"/>
      <c r="D367" s="557"/>
      <c r="E367" s="250"/>
      <c r="F367" s="412"/>
      <c r="G367" s="432"/>
      <c r="H367" s="412"/>
      <c r="I367" s="412"/>
      <c r="J367" s="412"/>
      <c r="K367" s="412"/>
      <c r="L367" s="412"/>
      <c r="M367" s="411"/>
      <c r="N367" s="411"/>
      <c r="O367" s="411"/>
      <c r="P367" s="411"/>
    </row>
    <row r="368" spans="1:16" ht="15.75" customHeight="1">
      <c r="A368" s="556"/>
      <c r="B368" s="558"/>
      <c r="C368" s="411"/>
      <c r="D368" s="557"/>
      <c r="E368" s="250"/>
      <c r="F368" s="412"/>
      <c r="G368" s="432"/>
      <c r="H368" s="412"/>
      <c r="I368" s="412"/>
      <c r="J368" s="412"/>
      <c r="K368" s="412"/>
      <c r="L368" s="412"/>
      <c r="M368" s="411"/>
      <c r="N368" s="411"/>
      <c r="O368" s="411"/>
      <c r="P368" s="411"/>
    </row>
    <row r="369" spans="1:16" ht="15.75" customHeight="1">
      <c r="A369" s="556"/>
      <c r="B369" s="558"/>
      <c r="C369" s="411"/>
      <c r="D369" s="557"/>
      <c r="E369" s="250"/>
      <c r="F369" s="412"/>
      <c r="G369" s="432"/>
      <c r="H369" s="412"/>
      <c r="I369" s="412"/>
      <c r="J369" s="412"/>
      <c r="K369" s="412"/>
      <c r="L369" s="412"/>
      <c r="M369" s="411"/>
      <c r="N369" s="411"/>
      <c r="O369" s="411"/>
      <c r="P369" s="411"/>
    </row>
    <row r="370" spans="1:16" ht="15.75" customHeight="1">
      <c r="A370" s="408"/>
      <c r="B370" s="1418" t="s">
        <v>1171</v>
      </c>
      <c r="C370" s="1419"/>
      <c r="D370" s="1419"/>
      <c r="E370" s="1419"/>
      <c r="F370" s="1419"/>
      <c r="G370" s="1420"/>
      <c r="H370" s="409"/>
      <c r="I370" s="412"/>
      <c r="J370" s="412"/>
      <c r="K370" s="412"/>
      <c r="L370" s="412"/>
      <c r="M370" s="411"/>
      <c r="N370" s="411"/>
      <c r="O370" s="411"/>
      <c r="P370" s="411"/>
    </row>
    <row r="371" spans="1:16" ht="15.75" customHeight="1">
      <c r="A371" s="408"/>
      <c r="B371" s="413"/>
      <c r="C371" s="441"/>
      <c r="D371" s="442"/>
      <c r="E371" s="447"/>
      <c r="F371" s="444"/>
      <c r="G371" s="432"/>
      <c r="H371" s="559"/>
      <c r="I371" s="412"/>
      <c r="J371" s="412"/>
      <c r="K371" s="412"/>
      <c r="L371" s="412"/>
      <c r="M371" s="411"/>
      <c r="N371" s="411"/>
      <c r="O371" s="411"/>
      <c r="P371" s="411"/>
    </row>
    <row r="372" spans="1:16" ht="15.75" customHeight="1">
      <c r="A372" s="408"/>
      <c r="B372" s="413"/>
      <c r="C372" s="495" t="s">
        <v>301</v>
      </c>
      <c r="D372" s="496"/>
      <c r="E372" s="497"/>
      <c r="F372" s="498"/>
      <c r="G372" s="499"/>
      <c r="H372" s="409"/>
      <c r="I372" s="412"/>
      <c r="J372" s="412"/>
      <c r="K372" s="412"/>
      <c r="L372" s="412"/>
      <c r="M372" s="411"/>
      <c r="N372" s="411"/>
      <c r="O372" s="411"/>
      <c r="P372" s="411"/>
    </row>
    <row r="373" spans="1:16" ht="15.75" customHeight="1">
      <c r="A373" s="408"/>
      <c r="B373" s="413"/>
      <c r="C373" s="560" t="s">
        <v>1172</v>
      </c>
      <c r="D373" s="561" t="s">
        <v>1173</v>
      </c>
      <c r="E373" s="562" t="s">
        <v>1174</v>
      </c>
      <c r="F373" s="563" t="s">
        <v>1175</v>
      </c>
      <c r="G373" s="564" t="s">
        <v>229</v>
      </c>
      <c r="H373" s="409"/>
      <c r="I373" s="412"/>
      <c r="J373" s="412"/>
      <c r="K373" s="412"/>
      <c r="L373" s="412"/>
      <c r="M373" s="411"/>
      <c r="N373" s="411"/>
      <c r="O373" s="411"/>
      <c r="P373" s="411"/>
    </row>
    <row r="374" spans="1:16" ht="15.75" customHeight="1">
      <c r="A374" s="408"/>
      <c r="B374" s="413"/>
      <c r="C374" s="441" t="s">
        <v>1176</v>
      </c>
      <c r="D374" s="565">
        <v>1</v>
      </c>
      <c r="E374" s="501">
        <v>220000</v>
      </c>
      <c r="F374" s="566">
        <v>0.25</v>
      </c>
      <c r="G374" s="432" t="s">
        <v>1177</v>
      </c>
      <c r="H374" s="412"/>
      <c r="I374" s="412"/>
      <c r="J374" s="412"/>
      <c r="K374" s="412"/>
      <c r="L374" s="412"/>
      <c r="M374" s="411"/>
      <c r="N374" s="411"/>
      <c r="O374" s="411"/>
      <c r="P374" s="411"/>
    </row>
    <row r="375" spans="1:16" ht="15.75" customHeight="1">
      <c r="A375" s="408"/>
      <c r="B375" s="413"/>
      <c r="C375" s="441" t="s">
        <v>1178</v>
      </c>
      <c r="D375" s="565">
        <v>1</v>
      </c>
      <c r="E375" s="501">
        <v>75000</v>
      </c>
      <c r="F375" s="566">
        <v>0.12</v>
      </c>
      <c r="G375" s="432"/>
      <c r="H375" s="412"/>
      <c r="I375" s="412"/>
      <c r="J375" s="412"/>
      <c r="K375" s="412"/>
      <c r="L375" s="412"/>
      <c r="M375" s="411"/>
      <c r="N375" s="411"/>
      <c r="O375" s="411"/>
      <c r="P375" s="411"/>
    </row>
    <row r="376" spans="1:16" ht="15.75" customHeight="1">
      <c r="A376" s="408"/>
      <c r="B376" s="413"/>
      <c r="C376" s="441" t="s">
        <v>1179</v>
      </c>
      <c r="D376" s="565">
        <v>1</v>
      </c>
      <c r="E376" s="501">
        <v>150000</v>
      </c>
      <c r="F376" s="566">
        <v>0.2</v>
      </c>
      <c r="G376" s="432"/>
      <c r="H376" s="412"/>
      <c r="I376" s="412"/>
      <c r="J376" s="412"/>
      <c r="K376" s="412"/>
      <c r="L376" s="412"/>
      <c r="M376" s="411"/>
      <c r="N376" s="411"/>
      <c r="O376" s="411"/>
      <c r="P376" s="411"/>
    </row>
    <row r="377" spans="1:16" ht="15.75" customHeight="1">
      <c r="A377" s="408"/>
      <c r="B377" s="413"/>
      <c r="C377" s="441" t="s">
        <v>1180</v>
      </c>
      <c r="D377" s="565">
        <v>1</v>
      </c>
      <c r="E377" s="501">
        <v>120000</v>
      </c>
      <c r="F377" s="566">
        <v>0.18</v>
      </c>
      <c r="G377" s="432"/>
      <c r="H377" s="412"/>
      <c r="I377" s="412"/>
      <c r="J377" s="412"/>
      <c r="K377" s="412"/>
      <c r="L377" s="412"/>
      <c r="M377" s="411"/>
      <c r="N377" s="411"/>
      <c r="O377" s="411"/>
      <c r="P377" s="411"/>
    </row>
    <row r="378" spans="1:16" ht="15.75" customHeight="1">
      <c r="A378" s="408"/>
      <c r="B378" s="413"/>
      <c r="C378" s="441" t="s">
        <v>1181</v>
      </c>
      <c r="D378" s="565">
        <v>1</v>
      </c>
      <c r="E378" s="501">
        <v>100000</v>
      </c>
      <c r="F378" s="566">
        <v>0.15</v>
      </c>
      <c r="G378" s="432"/>
      <c r="H378" s="412"/>
      <c r="I378" s="412"/>
      <c r="J378" s="412"/>
      <c r="K378" s="412"/>
      <c r="L378" s="412"/>
      <c r="M378" s="411"/>
      <c r="N378" s="411"/>
      <c r="O378" s="411"/>
      <c r="P378" s="411"/>
    </row>
    <row r="379" spans="1:16" ht="15.75" customHeight="1">
      <c r="A379" s="408"/>
      <c r="B379" s="413"/>
      <c r="C379" s="441" t="s">
        <v>1182</v>
      </c>
      <c r="D379" s="565">
        <v>1</v>
      </c>
      <c r="E379" s="501">
        <v>110000</v>
      </c>
      <c r="F379" s="566">
        <v>0.18</v>
      </c>
      <c r="G379" s="432"/>
      <c r="H379" s="412"/>
      <c r="I379" s="412"/>
      <c r="J379" s="412"/>
      <c r="K379" s="412"/>
      <c r="L379" s="412"/>
      <c r="M379" s="411"/>
      <c r="N379" s="411"/>
      <c r="O379" s="411"/>
      <c r="P379" s="411"/>
    </row>
    <row r="380" spans="1:16" ht="15.75" customHeight="1">
      <c r="A380" s="408"/>
      <c r="B380" s="413"/>
      <c r="C380" s="441" t="s">
        <v>1183</v>
      </c>
      <c r="D380" s="565">
        <v>4</v>
      </c>
      <c r="E380" s="501">
        <v>65000</v>
      </c>
      <c r="F380" s="566">
        <v>0.15</v>
      </c>
      <c r="G380" s="432" t="s">
        <v>1184</v>
      </c>
      <c r="H380" s="412"/>
      <c r="I380" s="412"/>
      <c r="J380" s="412"/>
      <c r="K380" s="412"/>
      <c r="L380" s="412"/>
      <c r="M380" s="411"/>
      <c r="N380" s="411"/>
      <c r="O380" s="411"/>
      <c r="P380" s="411"/>
    </row>
    <row r="381" spans="1:16" ht="15.75" customHeight="1">
      <c r="A381" s="408"/>
      <c r="B381" s="413"/>
      <c r="C381" s="441" t="s">
        <v>1185</v>
      </c>
      <c r="D381" s="565">
        <v>1</v>
      </c>
      <c r="E381" s="501">
        <v>110000</v>
      </c>
      <c r="F381" s="566">
        <v>0.18</v>
      </c>
      <c r="G381" s="432"/>
      <c r="H381" s="412"/>
      <c r="I381" s="412"/>
      <c r="J381" s="412"/>
      <c r="K381" s="412"/>
      <c r="L381" s="412"/>
      <c r="M381" s="411"/>
      <c r="N381" s="411"/>
      <c r="O381" s="411"/>
      <c r="P381" s="411"/>
    </row>
    <row r="382" spans="1:16" ht="15.75" customHeight="1">
      <c r="A382" s="408"/>
      <c r="B382" s="413"/>
      <c r="C382" s="441" t="s">
        <v>1186</v>
      </c>
      <c r="D382" s="565">
        <v>1</v>
      </c>
      <c r="E382" s="501">
        <v>100000</v>
      </c>
      <c r="F382" s="566">
        <v>0.18</v>
      </c>
      <c r="G382" s="432"/>
      <c r="H382" s="412"/>
      <c r="I382" s="411"/>
      <c r="J382" s="411"/>
      <c r="K382" s="411"/>
      <c r="L382" s="411"/>
      <c r="M382" s="411"/>
      <c r="N382" s="411"/>
      <c r="O382" s="411"/>
      <c r="P382" s="411"/>
    </row>
    <row r="383" spans="1:16" ht="15.75" customHeight="1">
      <c r="A383" s="408"/>
      <c r="B383" s="413"/>
      <c r="C383" s="441" t="s">
        <v>1187</v>
      </c>
      <c r="D383" s="565">
        <v>1</v>
      </c>
      <c r="E383" s="501">
        <v>130000</v>
      </c>
      <c r="F383" s="566">
        <v>0.2</v>
      </c>
      <c r="G383" s="432"/>
      <c r="H383" s="412"/>
      <c r="I383" s="411"/>
      <c r="J383" s="411"/>
      <c r="K383" s="411"/>
      <c r="L383" s="411"/>
      <c r="M383" s="411"/>
      <c r="N383" s="411"/>
      <c r="O383" s="411"/>
      <c r="P383" s="411"/>
    </row>
    <row r="384" spans="1:16" ht="15.75" customHeight="1">
      <c r="A384" s="408"/>
      <c r="B384" s="413"/>
      <c r="C384" s="441" t="s">
        <v>1188</v>
      </c>
      <c r="D384" s="565">
        <v>1</v>
      </c>
      <c r="E384" s="501">
        <v>70000</v>
      </c>
      <c r="F384" s="566">
        <v>0.12</v>
      </c>
      <c r="G384" s="432"/>
      <c r="H384" s="412"/>
      <c r="I384" s="411"/>
      <c r="J384" s="411"/>
      <c r="K384" s="411"/>
      <c r="L384" s="411"/>
      <c r="M384" s="411"/>
      <c r="N384" s="411"/>
      <c r="O384" s="411"/>
      <c r="P384" s="411"/>
    </row>
    <row r="385" spans="1:16" ht="15.75" customHeight="1">
      <c r="A385" s="408"/>
      <c r="B385" s="413"/>
      <c r="C385" s="441" t="s">
        <v>1189</v>
      </c>
      <c r="D385" s="565">
        <v>1</v>
      </c>
      <c r="E385" s="501">
        <v>85000</v>
      </c>
      <c r="F385" s="566">
        <v>0.15</v>
      </c>
      <c r="G385" s="432"/>
      <c r="H385" s="412"/>
      <c r="I385" s="411"/>
      <c r="J385" s="411"/>
      <c r="K385" s="411"/>
      <c r="L385" s="411"/>
      <c r="M385" s="411"/>
      <c r="N385" s="411"/>
      <c r="O385" s="411"/>
      <c r="P385" s="411"/>
    </row>
    <row r="386" spans="1:16" ht="15.75" customHeight="1">
      <c r="A386" s="408"/>
      <c r="B386" s="413"/>
      <c r="C386" s="441"/>
      <c r="D386" s="442"/>
      <c r="E386" s="447"/>
      <c r="F386" s="444"/>
      <c r="G386" s="432"/>
      <c r="H386" s="409"/>
      <c r="I386" s="411"/>
      <c r="J386" s="411"/>
      <c r="K386" s="411"/>
      <c r="L386" s="411"/>
      <c r="M386" s="411"/>
      <c r="N386" s="411"/>
      <c r="O386" s="411"/>
      <c r="P386" s="411"/>
    </row>
    <row r="387" spans="1:16" ht="15.75" customHeight="1">
      <c r="A387" s="408"/>
      <c r="B387" s="413"/>
      <c r="C387" s="441" t="s">
        <v>1190</v>
      </c>
      <c r="D387" s="442" t="s">
        <v>808</v>
      </c>
      <c r="E387" s="443">
        <v>3.1E-2</v>
      </c>
      <c r="F387" s="444"/>
      <c r="G387" s="432" t="s">
        <v>1191</v>
      </c>
      <c r="H387" s="412"/>
      <c r="I387" s="411"/>
      <c r="J387" s="411"/>
      <c r="K387" s="411"/>
      <c r="L387" s="411"/>
      <c r="M387" s="411"/>
      <c r="N387" s="411"/>
      <c r="O387" s="411"/>
      <c r="P387" s="411"/>
    </row>
    <row r="388" spans="1:16" ht="15.75" customHeight="1">
      <c r="A388" s="408"/>
      <c r="B388" s="413"/>
      <c r="C388" s="441"/>
      <c r="D388" s="442"/>
      <c r="E388" s="447"/>
      <c r="F388" s="444"/>
      <c r="G388" s="432"/>
      <c r="H388" s="409"/>
      <c r="I388" s="411"/>
      <c r="J388" s="411"/>
      <c r="K388" s="411"/>
      <c r="L388" s="411"/>
      <c r="M388" s="411"/>
      <c r="N388" s="411"/>
      <c r="O388" s="411"/>
      <c r="P388" s="411"/>
    </row>
    <row r="389" spans="1:16" ht="15.75" customHeight="1">
      <c r="A389" s="408"/>
      <c r="B389" s="413"/>
      <c r="C389" s="495" t="s">
        <v>1192</v>
      </c>
      <c r="D389" s="496"/>
      <c r="E389" s="497"/>
      <c r="F389" s="498"/>
      <c r="G389" s="499"/>
      <c r="H389" s="409"/>
      <c r="I389" s="411"/>
      <c r="J389" s="411"/>
      <c r="K389" s="411"/>
      <c r="L389" s="411"/>
      <c r="M389" s="411"/>
      <c r="N389" s="411"/>
      <c r="O389" s="411"/>
      <c r="P389" s="411"/>
    </row>
    <row r="390" spans="1:16" ht="15.75" customHeight="1">
      <c r="A390" s="408"/>
      <c r="B390" s="413"/>
      <c r="C390" s="441"/>
      <c r="D390" s="442"/>
      <c r="E390" s="447"/>
      <c r="F390" s="444"/>
      <c r="G390" s="432"/>
      <c r="H390" s="409"/>
      <c r="I390" s="411"/>
      <c r="J390" s="411"/>
      <c r="K390" s="411"/>
      <c r="L390" s="411"/>
      <c r="M390" s="411"/>
      <c r="N390" s="411"/>
      <c r="O390" s="411"/>
      <c r="P390" s="411"/>
    </row>
    <row r="391" spans="1:16" ht="15.75" customHeight="1">
      <c r="A391" s="408"/>
      <c r="B391" s="413"/>
      <c r="C391" s="441" t="s">
        <v>1193</v>
      </c>
      <c r="D391" s="567"/>
      <c r="E391" s="501">
        <v>200000</v>
      </c>
      <c r="F391" s="444"/>
      <c r="G391" s="432"/>
      <c r="H391" s="409"/>
      <c r="I391" s="411"/>
      <c r="J391" s="411"/>
      <c r="K391" s="411"/>
      <c r="L391" s="411"/>
      <c r="M391" s="411"/>
      <c r="N391" s="411"/>
      <c r="O391" s="411"/>
      <c r="P391" s="411"/>
    </row>
    <row r="392" spans="1:16" ht="15.75" customHeight="1">
      <c r="A392" s="408"/>
      <c r="B392" s="413"/>
      <c r="C392" s="441" t="s">
        <v>1194</v>
      </c>
      <c r="D392" s="567"/>
      <c r="E392" s="501">
        <v>100000</v>
      </c>
      <c r="F392" s="444"/>
      <c r="G392" s="432"/>
      <c r="H392" s="409"/>
      <c r="I392" s="411"/>
      <c r="J392" s="411"/>
      <c r="K392" s="411"/>
      <c r="L392" s="411"/>
      <c r="M392" s="411"/>
      <c r="N392" s="411"/>
      <c r="O392" s="411"/>
      <c r="P392" s="411"/>
    </row>
    <row r="393" spans="1:16" ht="15.75" customHeight="1">
      <c r="A393" s="408"/>
      <c r="B393" s="413"/>
      <c r="C393" s="441" t="s">
        <v>432</v>
      </c>
      <c r="D393" s="567"/>
      <c r="E393" s="501">
        <v>30000</v>
      </c>
      <c r="F393" s="444"/>
      <c r="G393" s="432"/>
      <c r="H393" s="409"/>
      <c r="I393" s="411"/>
      <c r="J393" s="411"/>
      <c r="K393" s="411"/>
      <c r="L393" s="411"/>
      <c r="M393" s="411"/>
      <c r="N393" s="411"/>
      <c r="O393" s="411"/>
      <c r="P393" s="411"/>
    </row>
    <row r="394" spans="1:16" ht="15.75" customHeight="1">
      <c r="A394" s="408"/>
      <c r="B394" s="413"/>
      <c r="C394" s="441"/>
      <c r="D394" s="442"/>
      <c r="E394" s="447"/>
      <c r="F394" s="444"/>
      <c r="G394" s="432"/>
      <c r="H394" s="409"/>
      <c r="I394" s="411"/>
      <c r="J394" s="411"/>
      <c r="K394" s="411"/>
      <c r="L394" s="411"/>
      <c r="M394" s="411"/>
      <c r="N394" s="411"/>
      <c r="O394" s="411"/>
      <c r="P394" s="411"/>
    </row>
    <row r="395" spans="1:16" ht="15.75" customHeight="1">
      <c r="A395" s="408"/>
      <c r="B395" s="413"/>
      <c r="C395" s="495" t="s">
        <v>1195</v>
      </c>
      <c r="D395" s="496"/>
      <c r="E395" s="497"/>
      <c r="F395" s="498"/>
      <c r="G395" s="499"/>
      <c r="H395" s="409"/>
      <c r="I395" s="411"/>
      <c r="J395" s="411"/>
      <c r="K395" s="411"/>
      <c r="L395" s="411"/>
      <c r="M395" s="411"/>
      <c r="N395" s="411"/>
      <c r="O395" s="411"/>
      <c r="P395" s="411"/>
    </row>
    <row r="396" spans="1:16" ht="15.75" customHeight="1">
      <c r="A396" s="408"/>
      <c r="B396" s="413"/>
      <c r="C396" s="441" t="s">
        <v>1196</v>
      </c>
      <c r="D396" s="442" t="s">
        <v>1197</v>
      </c>
      <c r="E396" s="443">
        <v>80</v>
      </c>
      <c r="F396" s="444"/>
      <c r="G396" s="432" t="s">
        <v>1198</v>
      </c>
      <c r="H396" s="412"/>
      <c r="I396" s="411"/>
      <c r="J396" s="411"/>
      <c r="K396" s="411"/>
      <c r="L396" s="411"/>
      <c r="M396" s="411"/>
      <c r="N396" s="411"/>
      <c r="O396" s="411"/>
      <c r="P396" s="411"/>
    </row>
    <row r="397" spans="1:16" ht="15.75" customHeight="1">
      <c r="A397" s="408"/>
      <c r="B397" s="413"/>
      <c r="C397" s="441" t="s">
        <v>1199</v>
      </c>
      <c r="D397" s="442" t="s">
        <v>1200</v>
      </c>
      <c r="E397" s="443">
        <v>40</v>
      </c>
      <c r="F397" s="444"/>
      <c r="G397" s="432" t="s">
        <v>1201</v>
      </c>
      <c r="H397" s="412"/>
      <c r="I397" s="411"/>
      <c r="J397" s="411"/>
      <c r="K397" s="411"/>
      <c r="L397" s="411"/>
      <c r="M397" s="411"/>
      <c r="N397" s="411"/>
      <c r="O397" s="411"/>
      <c r="P397" s="411"/>
    </row>
    <row r="398" spans="1:16" ht="15.75" customHeight="1">
      <c r="A398" s="408"/>
      <c r="B398" s="413"/>
      <c r="C398" s="441" t="s">
        <v>1202</v>
      </c>
      <c r="D398" s="442" t="s">
        <v>1203</v>
      </c>
      <c r="E398" s="443">
        <v>8</v>
      </c>
      <c r="F398" s="444"/>
      <c r="G398" s="432" t="s">
        <v>1204</v>
      </c>
      <c r="H398" s="412"/>
      <c r="I398" s="411"/>
      <c r="J398" s="411"/>
      <c r="K398" s="411"/>
      <c r="L398" s="411"/>
      <c r="M398" s="411"/>
      <c r="N398" s="411"/>
      <c r="O398" s="411"/>
      <c r="P398" s="411"/>
    </row>
    <row r="399" spans="1:16" ht="15.75" customHeight="1">
      <c r="A399" s="408"/>
      <c r="B399" s="413"/>
      <c r="C399" s="441"/>
      <c r="D399" s="442"/>
      <c r="E399" s="447"/>
      <c r="F399" s="444"/>
      <c r="G399" s="432"/>
      <c r="H399" s="409"/>
      <c r="I399" s="411"/>
      <c r="J399" s="411"/>
      <c r="K399" s="411"/>
      <c r="L399" s="411"/>
      <c r="M399" s="411"/>
      <c r="N399" s="411"/>
      <c r="O399" s="411"/>
      <c r="P399" s="411"/>
    </row>
    <row r="400" spans="1:16" ht="15.75" customHeight="1">
      <c r="A400" s="408"/>
      <c r="B400" s="413"/>
      <c r="C400" s="495" t="s">
        <v>1205</v>
      </c>
      <c r="D400" s="496"/>
      <c r="E400" s="497"/>
      <c r="F400" s="498"/>
      <c r="G400" s="499"/>
      <c r="H400" s="409"/>
      <c r="I400" s="411"/>
      <c r="J400" s="411"/>
      <c r="K400" s="411"/>
      <c r="L400" s="411"/>
      <c r="M400" s="411"/>
      <c r="N400" s="411"/>
      <c r="O400" s="411"/>
      <c r="P400" s="411"/>
    </row>
    <row r="401" spans="1:16" ht="15.75" customHeight="1">
      <c r="A401" s="408"/>
      <c r="B401" s="413"/>
      <c r="C401" s="441" t="s">
        <v>484</v>
      </c>
      <c r="D401" s="442" t="s">
        <v>336</v>
      </c>
      <c r="E401" s="501">
        <v>712027</v>
      </c>
      <c r="F401" s="444"/>
      <c r="G401" s="432" t="s">
        <v>1206</v>
      </c>
      <c r="H401" s="568"/>
      <c r="I401" s="569"/>
      <c r="J401" s="411"/>
      <c r="K401" s="411"/>
      <c r="L401" s="411"/>
      <c r="M401" s="411"/>
      <c r="N401" s="411"/>
      <c r="O401" s="411"/>
      <c r="P401" s="411"/>
    </row>
    <row r="402" spans="1:16" ht="15.75" customHeight="1">
      <c r="A402" s="408"/>
      <c r="B402" s="413"/>
      <c r="C402" s="441" t="s">
        <v>1207</v>
      </c>
      <c r="D402" s="442" t="s">
        <v>336</v>
      </c>
      <c r="E402" s="501">
        <v>650000</v>
      </c>
      <c r="F402" s="444"/>
      <c r="G402" s="470" t="s">
        <v>1208</v>
      </c>
      <c r="H402" s="568"/>
      <c r="I402" s="569"/>
      <c r="J402" s="411"/>
      <c r="K402" s="411"/>
      <c r="L402" s="411"/>
      <c r="M402" s="411"/>
      <c r="N402" s="411"/>
      <c r="O402" s="411"/>
      <c r="P402" s="411"/>
    </row>
    <row r="403" spans="1:16" ht="15.75" customHeight="1">
      <c r="A403" s="408"/>
      <c r="B403" s="413"/>
      <c r="C403" s="441" t="s">
        <v>305</v>
      </c>
      <c r="D403" s="442" t="s">
        <v>336</v>
      </c>
      <c r="E403" s="501">
        <v>235000</v>
      </c>
      <c r="F403" s="444"/>
      <c r="G403" s="432" t="s">
        <v>1209</v>
      </c>
      <c r="H403" s="568"/>
      <c r="I403" s="569"/>
      <c r="J403" s="411"/>
      <c r="K403" s="411"/>
      <c r="L403" s="411"/>
      <c r="M403" s="411"/>
      <c r="N403" s="411"/>
      <c r="O403" s="411"/>
      <c r="P403" s="411"/>
    </row>
    <row r="404" spans="1:16" ht="15.75" customHeight="1">
      <c r="A404" s="408"/>
      <c r="B404" s="413"/>
      <c r="C404" s="441" t="s">
        <v>309</v>
      </c>
      <c r="D404" s="442" t="s">
        <v>336</v>
      </c>
      <c r="E404" s="501">
        <v>120000</v>
      </c>
      <c r="F404" s="444"/>
      <c r="G404" s="432" t="s">
        <v>1210</v>
      </c>
      <c r="H404" s="568"/>
      <c r="I404" s="569"/>
      <c r="J404" s="411"/>
      <c r="K404" s="411"/>
      <c r="L404" s="411"/>
      <c r="M404" s="411"/>
      <c r="N404" s="411"/>
      <c r="O404" s="411"/>
      <c r="P404" s="411"/>
    </row>
    <row r="405" spans="1:16" ht="15.75" customHeight="1">
      <c r="A405" s="408"/>
      <c r="B405" s="413"/>
      <c r="C405" s="441" t="s">
        <v>432</v>
      </c>
      <c r="D405" s="442" t="s">
        <v>336</v>
      </c>
      <c r="E405" s="501">
        <v>80000</v>
      </c>
      <c r="F405" s="444"/>
      <c r="G405" s="432" t="s">
        <v>1211</v>
      </c>
      <c r="H405" s="568"/>
      <c r="I405" s="569"/>
      <c r="J405" s="411"/>
      <c r="K405" s="411"/>
      <c r="L405" s="411"/>
      <c r="M405" s="411"/>
      <c r="N405" s="411"/>
      <c r="O405" s="411"/>
      <c r="P405" s="411"/>
    </row>
    <row r="406" spans="1:16" ht="15.75" customHeight="1">
      <c r="A406" s="408"/>
      <c r="B406" s="413"/>
      <c r="C406" s="441" t="s">
        <v>1212</v>
      </c>
      <c r="D406" s="442" t="s">
        <v>336</v>
      </c>
      <c r="E406" s="501">
        <v>100000</v>
      </c>
      <c r="F406" s="444"/>
      <c r="G406" s="432" t="s">
        <v>1213</v>
      </c>
      <c r="H406" s="568"/>
      <c r="I406" s="569"/>
      <c r="J406" s="411"/>
      <c r="K406" s="411"/>
      <c r="L406" s="411"/>
      <c r="M406" s="411"/>
      <c r="N406" s="411"/>
      <c r="O406" s="411"/>
      <c r="P406" s="411"/>
    </row>
    <row r="407" spans="1:16" ht="15.75" customHeight="1">
      <c r="A407" s="408"/>
      <c r="B407" s="413"/>
      <c r="C407" s="441" t="s">
        <v>420</v>
      </c>
      <c r="D407" s="442" t="s">
        <v>336</v>
      </c>
      <c r="E407" s="501">
        <v>150000</v>
      </c>
      <c r="F407" s="444"/>
      <c r="G407" s="432" t="s">
        <v>1214</v>
      </c>
      <c r="H407" s="568"/>
      <c r="I407" s="569"/>
      <c r="J407" s="411"/>
      <c r="K407" s="411"/>
      <c r="L407" s="411"/>
      <c r="M407" s="411"/>
      <c r="N407" s="411"/>
      <c r="O407" s="411"/>
      <c r="P407" s="411"/>
    </row>
    <row r="408" spans="1:16" ht="15.75" customHeight="1">
      <c r="A408" s="408"/>
      <c r="B408" s="413"/>
      <c r="C408" s="441" t="s">
        <v>1215</v>
      </c>
      <c r="D408" s="442" t="s">
        <v>336</v>
      </c>
      <c r="E408" s="501">
        <v>50000</v>
      </c>
      <c r="F408" s="444"/>
      <c r="G408" s="432" t="s">
        <v>1216</v>
      </c>
      <c r="H408" s="568"/>
      <c r="I408" s="569"/>
      <c r="J408" s="411"/>
      <c r="K408" s="411"/>
      <c r="L408" s="411"/>
      <c r="M408" s="411"/>
      <c r="N408" s="411"/>
      <c r="O408" s="411"/>
      <c r="P408" s="411"/>
    </row>
    <row r="409" spans="1:16" ht="15.75" customHeight="1">
      <c r="A409" s="408"/>
      <c r="B409" s="413"/>
      <c r="C409" s="441" t="s">
        <v>434</v>
      </c>
      <c r="D409" s="442" t="s">
        <v>336</v>
      </c>
      <c r="E409" s="501">
        <v>25000</v>
      </c>
      <c r="F409" s="444"/>
      <c r="G409" s="432" t="s">
        <v>1217</v>
      </c>
      <c r="H409" s="568"/>
      <c r="I409" s="569"/>
      <c r="J409" s="411"/>
      <c r="K409" s="411"/>
      <c r="L409" s="411"/>
      <c r="M409" s="411"/>
      <c r="N409" s="411"/>
      <c r="O409" s="411"/>
      <c r="P409" s="411"/>
    </row>
    <row r="410" spans="1:16" ht="15.75" customHeight="1">
      <c r="A410" s="408"/>
      <c r="B410" s="413"/>
      <c r="C410" s="441" t="s">
        <v>435</v>
      </c>
      <c r="D410" s="442" t="s">
        <v>336</v>
      </c>
      <c r="E410" s="501">
        <v>10000</v>
      </c>
      <c r="F410" s="444"/>
      <c r="G410" s="432"/>
      <c r="H410" s="568"/>
      <c r="I410" s="569"/>
      <c r="J410" s="411"/>
      <c r="K410" s="411"/>
      <c r="L410" s="411"/>
      <c r="M410" s="411"/>
      <c r="N410" s="411"/>
      <c r="O410" s="411"/>
      <c r="P410" s="411"/>
    </row>
    <row r="411" spans="1:16" ht="15.75" customHeight="1">
      <c r="A411" s="408"/>
      <c r="B411" s="413"/>
      <c r="C411" s="441" t="s">
        <v>425</v>
      </c>
      <c r="D411" s="442" t="s">
        <v>336</v>
      </c>
      <c r="E411" s="501">
        <v>80000</v>
      </c>
      <c r="F411" s="444"/>
      <c r="G411" s="432" t="s">
        <v>1218</v>
      </c>
      <c r="H411" s="568"/>
      <c r="I411" s="569"/>
      <c r="J411" s="411"/>
      <c r="K411" s="411"/>
      <c r="L411" s="411"/>
      <c r="M411" s="411"/>
      <c r="N411" s="411"/>
      <c r="O411" s="411"/>
      <c r="P411" s="411"/>
    </row>
    <row r="412" spans="1:16" ht="15.75" customHeight="1">
      <c r="A412" s="408"/>
      <c r="B412" s="413"/>
      <c r="C412" s="441" t="s">
        <v>1219</v>
      </c>
      <c r="D412" s="442" t="s">
        <v>336</v>
      </c>
      <c r="E412" s="501">
        <v>80000</v>
      </c>
      <c r="F412" s="444"/>
      <c r="G412" s="432"/>
      <c r="H412" s="409"/>
      <c r="I412" s="569"/>
      <c r="J412" s="411"/>
      <c r="K412" s="411"/>
      <c r="L412" s="411"/>
      <c r="M412" s="411"/>
      <c r="N412" s="411"/>
      <c r="O412" s="411"/>
      <c r="P412" s="411"/>
    </row>
    <row r="413" spans="1:16" ht="15.75" customHeight="1">
      <c r="A413" s="408"/>
      <c r="B413" s="413"/>
      <c r="C413" s="441" t="s">
        <v>424</v>
      </c>
      <c r="D413" s="442" t="s">
        <v>336</v>
      </c>
      <c r="E413" s="501">
        <v>410000</v>
      </c>
      <c r="F413" s="444"/>
      <c r="G413" s="432" t="s">
        <v>1220</v>
      </c>
      <c r="H413" s="568"/>
      <c r="I413" s="569"/>
      <c r="J413" s="411"/>
      <c r="K413" s="411"/>
      <c r="L413" s="411"/>
      <c r="M413" s="411"/>
      <c r="N413" s="411"/>
      <c r="O413" s="411"/>
      <c r="P413" s="411"/>
    </row>
    <row r="414" spans="1:16" ht="15.75" customHeight="1">
      <c r="A414" s="408"/>
      <c r="B414" s="413"/>
      <c r="C414" s="441" t="s">
        <v>1221</v>
      </c>
      <c r="D414" s="442" t="s">
        <v>336</v>
      </c>
      <c r="E414" s="501">
        <v>188000</v>
      </c>
      <c r="F414" s="444"/>
      <c r="G414" s="432" t="s">
        <v>1222</v>
      </c>
      <c r="H414" s="568"/>
      <c r="I414" s="569"/>
      <c r="J414" s="411"/>
      <c r="K414" s="411"/>
      <c r="L414" s="411"/>
      <c r="M414" s="411"/>
      <c r="N414" s="411"/>
      <c r="O414" s="411"/>
      <c r="P414" s="411"/>
    </row>
    <row r="415" spans="1:16" ht="15.75" customHeight="1">
      <c r="A415" s="408"/>
      <c r="B415" s="413"/>
      <c r="C415" s="441" t="s">
        <v>421</v>
      </c>
      <c r="D415" s="442" t="s">
        <v>336</v>
      </c>
      <c r="E415" s="501">
        <v>6500</v>
      </c>
      <c r="F415" s="444"/>
      <c r="G415" s="432"/>
      <c r="H415" s="568"/>
      <c r="I415" s="569"/>
      <c r="J415" s="411"/>
      <c r="K415" s="411"/>
      <c r="L415" s="411"/>
      <c r="M415" s="411"/>
      <c r="N415" s="411"/>
      <c r="O415" s="411"/>
      <c r="P415" s="411"/>
    </row>
    <row r="416" spans="1:16" ht="15.75" customHeight="1">
      <c r="A416" s="408"/>
      <c r="B416" s="413"/>
      <c r="C416" s="441" t="s">
        <v>1223</v>
      </c>
      <c r="D416" s="442" t="s">
        <v>336</v>
      </c>
      <c r="E416" s="501">
        <v>20000</v>
      </c>
      <c r="F416" s="444"/>
      <c r="G416" s="432" t="s">
        <v>1224</v>
      </c>
      <c r="H416" s="568"/>
      <c r="I416" s="569"/>
      <c r="J416" s="411"/>
      <c r="K416" s="411"/>
      <c r="L416" s="411"/>
      <c r="M416" s="411"/>
      <c r="N416" s="411"/>
      <c r="O416" s="411"/>
      <c r="P416" s="411"/>
    </row>
    <row r="417" spans="1:16" ht="15.75" customHeight="1">
      <c r="A417" s="408"/>
      <c r="B417" s="413"/>
      <c r="C417" s="441"/>
      <c r="D417" s="442"/>
      <c r="E417" s="447"/>
      <c r="F417" s="444"/>
      <c r="G417" s="432"/>
      <c r="H417" s="409"/>
      <c r="J417" s="411"/>
      <c r="K417" s="411"/>
      <c r="L417" s="411"/>
      <c r="M417" s="411"/>
      <c r="N417" s="411"/>
      <c r="O417" s="411"/>
      <c r="P417" s="411"/>
    </row>
    <row r="418" spans="1:16" ht="15.75" customHeight="1">
      <c r="A418" s="408"/>
      <c r="B418" s="413"/>
      <c r="C418" s="495" t="s">
        <v>1225</v>
      </c>
      <c r="D418" s="496"/>
      <c r="E418" s="497"/>
      <c r="F418" s="498"/>
      <c r="G418" s="499"/>
      <c r="H418" s="409"/>
      <c r="J418" s="411"/>
      <c r="K418" s="411"/>
      <c r="L418" s="411"/>
      <c r="M418" s="411"/>
      <c r="N418" s="411"/>
      <c r="O418" s="411"/>
      <c r="P418" s="411"/>
    </row>
    <row r="419" spans="1:16" ht="15.75" customHeight="1">
      <c r="A419" s="408"/>
      <c r="B419" s="413"/>
      <c r="C419" s="529"/>
      <c r="D419" s="526"/>
      <c r="E419" s="532"/>
      <c r="F419" s="444"/>
      <c r="G419" s="432"/>
      <c r="H419" s="409"/>
      <c r="J419" s="411"/>
      <c r="K419" s="411"/>
      <c r="L419" s="411"/>
      <c r="M419" s="411"/>
      <c r="N419" s="411"/>
      <c r="O419" s="411"/>
      <c r="P419" s="411"/>
    </row>
    <row r="420" spans="1:16" ht="15.75" customHeight="1">
      <c r="A420" s="408"/>
      <c r="B420" s="413"/>
      <c r="C420" s="441" t="s">
        <v>1226</v>
      </c>
      <c r="D420" s="442" t="s">
        <v>336</v>
      </c>
      <c r="E420" s="501">
        <v>350000</v>
      </c>
      <c r="F420" s="444"/>
      <c r="G420" s="432"/>
      <c r="H420" s="409"/>
      <c r="J420" s="411"/>
      <c r="K420" s="411"/>
      <c r="L420" s="411"/>
      <c r="M420" s="411"/>
      <c r="N420" s="411"/>
      <c r="O420" s="411"/>
      <c r="P420" s="411"/>
    </row>
    <row r="421" spans="1:16" ht="15.75" customHeight="1">
      <c r="A421" s="408"/>
      <c r="B421" s="413"/>
      <c r="C421" s="441" t="s">
        <v>1227</v>
      </c>
      <c r="D421" s="442" t="s">
        <v>336</v>
      </c>
      <c r="E421" s="501">
        <v>200000</v>
      </c>
      <c r="F421" s="444"/>
      <c r="G421" s="432"/>
      <c r="H421" s="409"/>
      <c r="J421" s="411"/>
      <c r="K421" s="411"/>
      <c r="L421" s="411"/>
      <c r="M421" s="411"/>
      <c r="N421" s="411"/>
      <c r="O421" s="411"/>
      <c r="P421" s="411"/>
    </row>
    <row r="422" spans="1:16" ht="15.75" customHeight="1">
      <c r="A422" s="408"/>
      <c r="B422" s="413"/>
      <c r="C422" s="441" t="s">
        <v>1228</v>
      </c>
      <c r="D422" s="442" t="s">
        <v>336</v>
      </c>
      <c r="E422" s="501">
        <v>100000</v>
      </c>
      <c r="F422" s="444"/>
      <c r="G422" s="432"/>
      <c r="H422" s="409"/>
      <c r="J422" s="411"/>
      <c r="K422" s="411"/>
      <c r="L422" s="411"/>
      <c r="M422" s="411"/>
      <c r="N422" s="411"/>
      <c r="O422" s="411"/>
      <c r="P422" s="411"/>
    </row>
    <row r="423" spans="1:16" ht="15.75" customHeight="1">
      <c r="A423" s="408"/>
      <c r="B423" s="413"/>
      <c r="C423" s="441" t="s">
        <v>1229</v>
      </c>
      <c r="D423" s="442" t="s">
        <v>336</v>
      </c>
      <c r="E423" s="501">
        <v>60000</v>
      </c>
      <c r="F423" s="444"/>
      <c r="G423" s="432"/>
      <c r="H423" s="409"/>
      <c r="J423" s="411"/>
      <c r="K423" s="411"/>
      <c r="L423" s="411"/>
      <c r="M423" s="411"/>
      <c r="N423" s="411"/>
      <c r="O423" s="411"/>
      <c r="P423" s="411"/>
    </row>
    <row r="424" spans="1:16" ht="15.75" customHeight="1">
      <c r="A424" s="408"/>
      <c r="B424" s="413"/>
      <c r="C424" s="441" t="s">
        <v>1230</v>
      </c>
      <c r="D424" s="442" t="s">
        <v>336</v>
      </c>
      <c r="E424" s="501">
        <v>30000</v>
      </c>
      <c r="F424" s="444"/>
      <c r="G424" s="432"/>
      <c r="H424" s="409"/>
      <c r="J424" s="411"/>
      <c r="K424" s="411"/>
      <c r="L424" s="411"/>
      <c r="M424" s="411"/>
      <c r="N424" s="411"/>
      <c r="O424" s="411"/>
      <c r="P424" s="411"/>
    </row>
    <row r="425" spans="1:16" ht="15.75" customHeight="1">
      <c r="A425" s="408"/>
      <c r="B425" s="413"/>
      <c r="C425" s="441" t="s">
        <v>1231</v>
      </c>
      <c r="D425" s="442" t="s">
        <v>336</v>
      </c>
      <c r="E425" s="501">
        <v>20000</v>
      </c>
      <c r="F425" s="444"/>
      <c r="G425" s="432"/>
      <c r="H425" s="409"/>
      <c r="J425" s="411"/>
      <c r="K425" s="411"/>
      <c r="L425" s="411"/>
      <c r="M425" s="411"/>
      <c r="N425" s="411"/>
      <c r="O425" s="411"/>
      <c r="P425" s="411"/>
    </row>
    <row r="426" spans="1:16" ht="15.75" customHeight="1">
      <c r="A426" s="408"/>
      <c r="B426" s="413"/>
      <c r="C426" s="441" t="s">
        <v>1232</v>
      </c>
      <c r="D426" s="442" t="s">
        <v>336</v>
      </c>
      <c r="E426" s="501">
        <v>8000</v>
      </c>
      <c r="F426" s="444"/>
      <c r="G426" s="432"/>
      <c r="H426" s="409"/>
      <c r="J426" s="411"/>
      <c r="K426" s="411"/>
      <c r="L426" s="411"/>
      <c r="M426" s="411"/>
      <c r="N426" s="411"/>
      <c r="O426" s="411"/>
      <c r="P426" s="411"/>
    </row>
    <row r="427" spans="1:16" ht="15.75" customHeight="1">
      <c r="A427" s="408"/>
      <c r="B427" s="413"/>
      <c r="C427" s="441" t="s">
        <v>1233</v>
      </c>
      <c r="D427" s="442" t="s">
        <v>336</v>
      </c>
      <c r="E427" s="501">
        <v>50000</v>
      </c>
      <c r="F427" s="444"/>
      <c r="G427" s="432"/>
      <c r="H427" s="409"/>
      <c r="J427" s="411"/>
      <c r="K427" s="411"/>
      <c r="L427" s="411"/>
      <c r="M427" s="411"/>
      <c r="N427" s="411"/>
      <c r="O427" s="411"/>
      <c r="P427" s="411"/>
    </row>
    <row r="428" spans="1:16" ht="15.75" customHeight="1">
      <c r="A428" s="408"/>
      <c r="B428" s="413"/>
      <c r="C428" s="441" t="s">
        <v>1234</v>
      </c>
      <c r="D428" s="442" t="s">
        <v>336</v>
      </c>
      <c r="E428" s="501">
        <v>10000</v>
      </c>
      <c r="F428" s="444"/>
      <c r="G428" s="432"/>
      <c r="H428" s="409"/>
      <c r="J428" s="411"/>
      <c r="K428" s="411"/>
      <c r="L428" s="411"/>
      <c r="M428" s="411"/>
      <c r="N428" s="411"/>
      <c r="O428" s="411"/>
      <c r="P428" s="411"/>
    </row>
    <row r="429" spans="1:16" ht="15.75" customHeight="1">
      <c r="A429" s="408"/>
      <c r="B429" s="413"/>
      <c r="C429" s="441" t="s">
        <v>1235</v>
      </c>
      <c r="D429" s="442" t="s">
        <v>336</v>
      </c>
      <c r="E429" s="501">
        <v>40000</v>
      </c>
      <c r="F429" s="444"/>
      <c r="G429" s="432"/>
      <c r="H429" s="409"/>
      <c r="J429" s="411"/>
      <c r="K429" s="411"/>
      <c r="L429" s="411"/>
      <c r="M429" s="411"/>
      <c r="N429" s="411"/>
      <c r="O429" s="411"/>
      <c r="P429" s="411"/>
    </row>
    <row r="430" spans="1:16" ht="15.75" customHeight="1">
      <c r="A430" s="408"/>
      <c r="B430" s="413"/>
      <c r="C430" s="441" t="s">
        <v>1236</v>
      </c>
      <c r="D430" s="442" t="s">
        <v>336</v>
      </c>
      <c r="E430" s="501">
        <v>30000</v>
      </c>
      <c r="F430" s="444"/>
      <c r="G430" s="432"/>
      <c r="H430" s="409"/>
      <c r="J430" s="411"/>
      <c r="K430" s="411"/>
      <c r="L430" s="411"/>
      <c r="M430" s="411"/>
      <c r="N430" s="411"/>
      <c r="O430" s="411"/>
      <c r="P430" s="411"/>
    </row>
    <row r="431" spans="1:16" ht="15.75" customHeight="1">
      <c r="A431" s="408"/>
      <c r="B431" s="413"/>
      <c r="C431" s="441" t="s">
        <v>1237</v>
      </c>
      <c r="D431" s="442" t="s">
        <v>336</v>
      </c>
      <c r="E431" s="501">
        <v>250000</v>
      </c>
      <c r="F431" s="444"/>
      <c r="G431" s="432"/>
      <c r="H431" s="409"/>
      <c r="J431" s="411"/>
      <c r="K431" s="411"/>
      <c r="L431" s="411"/>
      <c r="M431" s="411"/>
      <c r="N431" s="411"/>
      <c r="O431" s="411"/>
      <c r="P431" s="411"/>
    </row>
    <row r="432" spans="1:16" ht="15.75" customHeight="1">
      <c r="A432" s="408"/>
      <c r="B432" s="413"/>
      <c r="C432" s="441" t="s">
        <v>1238</v>
      </c>
      <c r="D432" s="442" t="s">
        <v>336</v>
      </c>
      <c r="E432" s="501">
        <v>160000</v>
      </c>
      <c r="F432" s="444"/>
      <c r="G432" s="432"/>
      <c r="H432" s="409"/>
      <c r="J432" s="411"/>
      <c r="K432" s="411"/>
      <c r="L432" s="411"/>
      <c r="M432" s="411"/>
      <c r="N432" s="411"/>
      <c r="O432" s="411"/>
      <c r="P432" s="411"/>
    </row>
    <row r="433" spans="1:16" ht="15.75" customHeight="1">
      <c r="A433" s="408"/>
      <c r="B433" s="413"/>
      <c r="C433" s="441" t="s">
        <v>1239</v>
      </c>
      <c r="D433" s="442" t="s">
        <v>336</v>
      </c>
      <c r="E433" s="501">
        <v>60000</v>
      </c>
      <c r="F433" s="444"/>
      <c r="G433" s="432"/>
      <c r="H433" s="409"/>
      <c r="J433" s="411"/>
      <c r="K433" s="411"/>
      <c r="L433" s="411"/>
      <c r="M433" s="411"/>
      <c r="N433" s="411"/>
      <c r="O433" s="411"/>
      <c r="P433" s="411"/>
    </row>
    <row r="434" spans="1:16" ht="15.75" customHeight="1">
      <c r="A434" s="408"/>
      <c r="B434" s="413"/>
      <c r="C434" s="441" t="s">
        <v>1240</v>
      </c>
      <c r="D434" s="442" t="s">
        <v>336</v>
      </c>
      <c r="E434" s="501">
        <v>60000</v>
      </c>
      <c r="F434" s="444"/>
      <c r="G434" s="432"/>
      <c r="H434" s="409"/>
      <c r="J434" s="411"/>
      <c r="K434" s="411"/>
      <c r="L434" s="411"/>
      <c r="M434" s="411"/>
      <c r="N434" s="411"/>
      <c r="O434" s="411"/>
      <c r="P434" s="411"/>
    </row>
    <row r="435" spans="1:16" ht="15.75" customHeight="1">
      <c r="A435" s="408"/>
      <c r="B435" s="413"/>
      <c r="C435" s="441" t="s">
        <v>1241</v>
      </c>
      <c r="D435" s="442" t="s">
        <v>336</v>
      </c>
      <c r="E435" s="501">
        <v>35000</v>
      </c>
      <c r="F435" s="444"/>
      <c r="G435" s="432"/>
      <c r="H435" s="409"/>
      <c r="J435" s="411"/>
      <c r="K435" s="411"/>
      <c r="L435" s="411"/>
      <c r="M435" s="411"/>
      <c r="N435" s="411"/>
      <c r="O435" s="411"/>
      <c r="P435" s="411"/>
    </row>
    <row r="436" spans="1:16" ht="15.75" customHeight="1">
      <c r="A436" s="408"/>
      <c r="B436" s="413"/>
      <c r="C436" s="441" t="s">
        <v>1242</v>
      </c>
      <c r="D436" s="442" t="s">
        <v>336</v>
      </c>
      <c r="E436" s="501">
        <v>80000</v>
      </c>
      <c r="F436" s="444"/>
      <c r="G436" s="432"/>
      <c r="H436" s="409"/>
      <c r="J436" s="411"/>
      <c r="K436" s="411"/>
      <c r="L436" s="411"/>
      <c r="M436" s="411"/>
      <c r="N436" s="411"/>
      <c r="O436" s="411"/>
      <c r="P436" s="411"/>
    </row>
    <row r="437" spans="1:16" ht="15.75" customHeight="1">
      <c r="A437" s="408"/>
      <c r="B437" s="413"/>
      <c r="C437" s="441" t="s">
        <v>1243</v>
      </c>
      <c r="D437" s="442" t="s">
        <v>336</v>
      </c>
      <c r="E437" s="501">
        <v>100000</v>
      </c>
      <c r="F437" s="444"/>
      <c r="G437" s="432"/>
      <c r="H437" s="409"/>
      <c r="J437" s="411"/>
      <c r="K437" s="411"/>
      <c r="L437" s="411"/>
      <c r="M437" s="411"/>
      <c r="N437" s="411"/>
      <c r="O437" s="411"/>
      <c r="P437" s="411"/>
    </row>
    <row r="438" spans="1:16" ht="15.75" customHeight="1">
      <c r="A438" s="408"/>
      <c r="B438" s="413"/>
      <c r="C438" s="441" t="s">
        <v>1244</v>
      </c>
      <c r="D438" s="442" t="s">
        <v>336</v>
      </c>
      <c r="E438" s="501">
        <v>80000</v>
      </c>
      <c r="F438" s="444"/>
      <c r="G438" s="432"/>
      <c r="H438" s="409"/>
      <c r="J438" s="411"/>
      <c r="K438" s="411"/>
      <c r="L438" s="411"/>
      <c r="M438" s="411"/>
      <c r="N438" s="411"/>
      <c r="O438" s="411"/>
      <c r="P438" s="411"/>
    </row>
    <row r="439" spans="1:16" ht="15.75" customHeight="1">
      <c r="A439" s="408"/>
      <c r="B439" s="413"/>
      <c r="C439" s="441" t="s">
        <v>1245</v>
      </c>
      <c r="D439" s="442" t="s">
        <v>336</v>
      </c>
      <c r="E439" s="501">
        <v>120000</v>
      </c>
      <c r="F439" s="444"/>
      <c r="G439" s="432"/>
      <c r="H439" s="409"/>
      <c r="J439" s="411"/>
      <c r="K439" s="411"/>
      <c r="L439" s="411"/>
      <c r="M439" s="411"/>
      <c r="N439" s="411"/>
      <c r="O439" s="411"/>
      <c r="P439" s="411"/>
    </row>
    <row r="440" spans="1:16" ht="15.75" customHeight="1">
      <c r="A440" s="408"/>
      <c r="B440" s="413"/>
      <c r="C440" s="441" t="s">
        <v>1246</v>
      </c>
      <c r="D440" s="442" t="s">
        <v>336</v>
      </c>
      <c r="E440" s="501"/>
      <c r="F440" s="444"/>
      <c r="G440" s="432"/>
      <c r="H440" s="409"/>
      <c r="J440" s="411"/>
      <c r="K440" s="411"/>
      <c r="L440" s="411"/>
      <c r="M440" s="411"/>
      <c r="N440" s="411"/>
      <c r="O440" s="411"/>
      <c r="P440" s="411"/>
    </row>
    <row r="441" spans="1:16" ht="15.75" customHeight="1">
      <c r="A441" s="408"/>
      <c r="B441" s="413"/>
      <c r="C441" s="441" t="s">
        <v>1247</v>
      </c>
      <c r="D441" s="442" t="s">
        <v>336</v>
      </c>
      <c r="E441" s="501">
        <v>80000</v>
      </c>
      <c r="F441" s="444"/>
      <c r="G441" s="432"/>
      <c r="H441" s="409"/>
      <c r="J441" s="411"/>
      <c r="K441" s="411"/>
      <c r="L441" s="411"/>
      <c r="M441" s="411"/>
      <c r="N441" s="411"/>
      <c r="O441" s="411"/>
      <c r="P441" s="411"/>
    </row>
    <row r="442" spans="1:16" ht="15.75" customHeight="1">
      <c r="A442" s="408"/>
      <c r="B442" s="413"/>
      <c r="C442" s="441" t="s">
        <v>1248</v>
      </c>
      <c r="D442" s="442" t="s">
        <v>336</v>
      </c>
      <c r="E442" s="501">
        <v>10000</v>
      </c>
      <c r="F442" s="444"/>
      <c r="G442" s="432"/>
      <c r="H442" s="409"/>
      <c r="J442" s="411"/>
      <c r="K442" s="411"/>
      <c r="L442" s="411"/>
      <c r="M442" s="411"/>
      <c r="N442" s="411"/>
      <c r="O442" s="411"/>
      <c r="P442" s="411"/>
    </row>
    <row r="443" spans="1:16" ht="15.75" customHeight="1">
      <c r="A443" s="408"/>
      <c r="B443" s="413"/>
      <c r="C443" s="441" t="s">
        <v>1249</v>
      </c>
      <c r="D443" s="442" t="s">
        <v>336</v>
      </c>
      <c r="E443" s="501">
        <v>25000</v>
      </c>
      <c r="F443" s="444"/>
      <c r="G443" s="432"/>
      <c r="H443" s="409"/>
      <c r="J443" s="411"/>
      <c r="K443" s="411"/>
      <c r="L443" s="411"/>
      <c r="M443" s="411"/>
      <c r="N443" s="411"/>
      <c r="O443" s="411"/>
      <c r="P443" s="411"/>
    </row>
    <row r="444" spans="1:16" ht="15.75" customHeight="1">
      <c r="A444" s="408"/>
      <c r="B444" s="413"/>
      <c r="C444" s="441" t="s">
        <v>1250</v>
      </c>
      <c r="D444" s="442" t="s">
        <v>336</v>
      </c>
      <c r="E444" s="501">
        <v>50000</v>
      </c>
      <c r="F444" s="444"/>
      <c r="G444" s="432"/>
      <c r="H444" s="409"/>
      <c r="J444" s="411"/>
      <c r="K444" s="411"/>
      <c r="L444" s="411"/>
      <c r="M444" s="411"/>
      <c r="N444" s="411"/>
      <c r="O444" s="411"/>
      <c r="P444" s="411"/>
    </row>
    <row r="445" spans="1:16" ht="15.75" customHeight="1">
      <c r="A445" s="408"/>
      <c r="B445" s="413"/>
      <c r="C445" s="441" t="s">
        <v>1251</v>
      </c>
      <c r="D445" s="442" t="s">
        <v>336</v>
      </c>
      <c r="E445" s="501">
        <v>6500</v>
      </c>
      <c r="F445" s="444"/>
      <c r="G445" s="432"/>
      <c r="H445" s="409"/>
      <c r="J445" s="411"/>
      <c r="K445" s="411"/>
      <c r="L445" s="411"/>
      <c r="M445" s="411"/>
      <c r="N445" s="411"/>
      <c r="O445" s="411"/>
      <c r="P445" s="411"/>
    </row>
    <row r="446" spans="1:16" ht="15.75" customHeight="1">
      <c r="A446" s="408"/>
      <c r="B446" s="413"/>
      <c r="C446" s="441" t="s">
        <v>1252</v>
      </c>
      <c r="D446" s="442" t="s">
        <v>336</v>
      </c>
      <c r="E446" s="501">
        <v>20000</v>
      </c>
      <c r="F446" s="444"/>
      <c r="G446" s="432"/>
      <c r="H446" s="409"/>
      <c r="J446" s="411"/>
      <c r="K446" s="411"/>
      <c r="L446" s="411"/>
      <c r="M446" s="411"/>
      <c r="N446" s="411"/>
      <c r="O446" s="411"/>
      <c r="P446" s="411"/>
    </row>
    <row r="447" spans="1:16" ht="15.75" customHeight="1">
      <c r="A447" s="408"/>
      <c r="B447" s="413"/>
      <c r="C447" s="441" t="s">
        <v>1253</v>
      </c>
      <c r="D447" s="442" t="s">
        <v>336</v>
      </c>
      <c r="E447" s="501">
        <v>80000</v>
      </c>
      <c r="F447" s="444"/>
      <c r="G447" s="432"/>
      <c r="H447" s="409"/>
      <c r="J447" s="411"/>
      <c r="K447" s="411"/>
      <c r="L447" s="411"/>
      <c r="M447" s="411"/>
      <c r="N447" s="411"/>
      <c r="O447" s="411"/>
      <c r="P447" s="411"/>
    </row>
    <row r="448" spans="1:16" ht="15.75" customHeight="1">
      <c r="A448" s="408"/>
      <c r="B448" s="413"/>
      <c r="C448" s="441" t="s">
        <v>420</v>
      </c>
      <c r="D448" s="442" t="s">
        <v>336</v>
      </c>
      <c r="E448" s="501">
        <v>150000</v>
      </c>
      <c r="F448" s="444"/>
      <c r="G448" s="432"/>
      <c r="H448" s="409"/>
      <c r="J448" s="411"/>
      <c r="K448" s="411"/>
      <c r="L448" s="411"/>
      <c r="M448" s="411"/>
      <c r="N448" s="411"/>
      <c r="O448" s="411"/>
      <c r="P448" s="411"/>
    </row>
    <row r="449" spans="1:16" ht="15.75" customHeight="1">
      <c r="A449" s="408"/>
      <c r="B449" s="413"/>
      <c r="C449" s="441" t="s">
        <v>1254</v>
      </c>
      <c r="D449" s="442" t="s">
        <v>336</v>
      </c>
      <c r="E449" s="501">
        <v>80000</v>
      </c>
      <c r="F449" s="444"/>
      <c r="G449" s="432"/>
      <c r="H449" s="409"/>
      <c r="J449" s="411"/>
      <c r="K449" s="411"/>
      <c r="L449" s="411"/>
      <c r="M449" s="411"/>
      <c r="N449" s="411"/>
      <c r="O449" s="411"/>
      <c r="P449" s="411"/>
    </row>
    <row r="450" spans="1:16" ht="15.75" customHeight="1">
      <c r="A450" s="408"/>
      <c r="B450" s="413"/>
      <c r="C450" s="441" t="s">
        <v>983</v>
      </c>
      <c r="D450" s="442" t="s">
        <v>336</v>
      </c>
      <c r="E450" s="501">
        <v>90000</v>
      </c>
      <c r="F450" s="444"/>
      <c r="G450" s="432"/>
      <c r="H450" s="409"/>
      <c r="J450" s="411"/>
      <c r="K450" s="411"/>
      <c r="L450" s="411"/>
      <c r="M450" s="411"/>
      <c r="N450" s="411"/>
      <c r="O450" s="411"/>
      <c r="P450" s="411"/>
    </row>
    <row r="451" spans="1:16" ht="15.75" customHeight="1">
      <c r="A451" s="408"/>
      <c r="B451" s="413"/>
      <c r="C451" s="441" t="s">
        <v>1255</v>
      </c>
      <c r="D451" s="442" t="s">
        <v>336</v>
      </c>
      <c r="E451" s="501">
        <v>80000</v>
      </c>
      <c r="F451" s="444"/>
      <c r="G451" s="432"/>
      <c r="H451" s="409"/>
      <c r="J451" s="411"/>
      <c r="K451" s="411"/>
      <c r="L451" s="411"/>
      <c r="M451" s="411"/>
      <c r="N451" s="411"/>
      <c r="O451" s="411"/>
      <c r="P451" s="411"/>
    </row>
    <row r="452" spans="1:16" ht="15.75" customHeight="1">
      <c r="A452" s="408"/>
      <c r="B452" s="413"/>
      <c r="C452" s="441" t="s">
        <v>1256</v>
      </c>
      <c r="D452" s="442" t="s">
        <v>336</v>
      </c>
      <c r="E452" s="501">
        <v>120000</v>
      </c>
      <c r="F452" s="444"/>
      <c r="G452" s="432"/>
      <c r="H452" s="409"/>
      <c r="J452" s="411"/>
      <c r="K452" s="411"/>
      <c r="L452" s="411"/>
      <c r="M452" s="411"/>
      <c r="N452" s="411"/>
      <c r="O452" s="411"/>
      <c r="P452" s="411"/>
    </row>
    <row r="453" spans="1:16" ht="15.75" customHeight="1">
      <c r="A453" s="408"/>
      <c r="B453" s="413"/>
      <c r="C453" s="441" t="s">
        <v>1257</v>
      </c>
      <c r="D453" s="442" t="s">
        <v>336</v>
      </c>
      <c r="E453" s="501">
        <v>100000</v>
      </c>
      <c r="F453" s="444"/>
      <c r="G453" s="432"/>
      <c r="H453" s="409"/>
      <c r="J453" s="411"/>
      <c r="K453" s="411"/>
      <c r="L453" s="411"/>
      <c r="M453" s="411"/>
      <c r="N453" s="411"/>
      <c r="O453" s="411"/>
      <c r="P453" s="411"/>
    </row>
    <row r="454" spans="1:16" ht="15.75" customHeight="1">
      <c r="A454" s="408"/>
      <c r="B454" s="413"/>
      <c r="C454" s="441" t="s">
        <v>1258</v>
      </c>
      <c r="D454" s="442" t="s">
        <v>336</v>
      </c>
      <c r="E454" s="501">
        <v>30000</v>
      </c>
      <c r="F454" s="444"/>
      <c r="G454" s="432"/>
      <c r="H454" s="409"/>
      <c r="J454" s="411"/>
      <c r="K454" s="411"/>
      <c r="L454" s="411"/>
      <c r="M454" s="411"/>
      <c r="N454" s="411"/>
      <c r="O454" s="411"/>
      <c r="P454" s="411"/>
    </row>
    <row r="455" spans="1:16" ht="15.75" customHeight="1">
      <c r="A455" s="408"/>
      <c r="B455" s="413"/>
      <c r="C455" s="441" t="s">
        <v>1259</v>
      </c>
      <c r="D455" s="442" t="s">
        <v>336</v>
      </c>
      <c r="E455" s="501">
        <v>75000</v>
      </c>
      <c r="F455" s="444"/>
      <c r="G455" s="432"/>
      <c r="H455" s="409"/>
      <c r="J455" s="411"/>
      <c r="K455" s="411"/>
      <c r="L455" s="411"/>
      <c r="M455" s="411"/>
      <c r="N455" s="411"/>
      <c r="O455" s="411"/>
      <c r="P455" s="411"/>
    </row>
    <row r="456" spans="1:16" ht="15.75" customHeight="1">
      <c r="A456" s="408"/>
      <c r="B456" s="413"/>
      <c r="C456" s="441" t="s">
        <v>1219</v>
      </c>
      <c r="D456" s="442" t="s">
        <v>336</v>
      </c>
      <c r="E456" s="501">
        <v>25000</v>
      </c>
      <c r="F456" s="444"/>
      <c r="G456" s="432"/>
      <c r="H456" s="409"/>
      <c r="J456" s="411"/>
      <c r="K456" s="411"/>
      <c r="L456" s="411"/>
      <c r="M456" s="411"/>
      <c r="N456" s="411"/>
      <c r="O456" s="411"/>
      <c r="P456" s="411"/>
    </row>
    <row r="457" spans="1:16" ht="15.75" customHeight="1">
      <c r="A457" s="408"/>
      <c r="B457" s="413"/>
      <c r="C457" s="441" t="s">
        <v>1260</v>
      </c>
      <c r="D457" s="442" t="s">
        <v>336</v>
      </c>
      <c r="E457" s="501">
        <v>50000</v>
      </c>
      <c r="F457" s="444"/>
      <c r="G457" s="432"/>
      <c r="H457" s="409"/>
      <c r="J457" s="411"/>
      <c r="K457" s="411"/>
      <c r="L457" s="411"/>
      <c r="M457" s="411"/>
      <c r="N457" s="411"/>
      <c r="O457" s="411"/>
      <c r="P457" s="411"/>
    </row>
    <row r="458" spans="1:16" ht="15.75" customHeight="1">
      <c r="A458" s="408"/>
      <c r="B458" s="413"/>
      <c r="C458" s="550"/>
      <c r="D458" s="551"/>
      <c r="E458" s="250"/>
      <c r="F458" s="444"/>
      <c r="G458" s="432"/>
      <c r="H458" s="409"/>
      <c r="J458" s="411"/>
      <c r="K458" s="411"/>
      <c r="L458" s="411"/>
      <c r="M458" s="411"/>
      <c r="N458" s="411"/>
      <c r="O458" s="411"/>
      <c r="P458" s="411"/>
    </row>
    <row r="459" spans="1:16" ht="15.75" customHeight="1">
      <c r="A459" s="408"/>
      <c r="B459" s="413"/>
      <c r="C459" s="570" t="s">
        <v>1261</v>
      </c>
      <c r="D459" s="571"/>
      <c r="E459" s="572"/>
      <c r="F459" s="498"/>
      <c r="G459" s="499"/>
      <c r="H459" s="409"/>
      <c r="I459" s="411"/>
      <c r="J459" s="411"/>
      <c r="K459" s="411"/>
      <c r="L459" s="411"/>
      <c r="M459" s="411"/>
      <c r="N459" s="411"/>
      <c r="O459" s="411"/>
      <c r="P459" s="411"/>
    </row>
    <row r="460" spans="1:16" ht="15.75" customHeight="1">
      <c r="A460" s="408"/>
      <c r="B460" s="413"/>
      <c r="C460" s="441" t="s">
        <v>488</v>
      </c>
      <c r="D460" s="442" t="s">
        <v>1262</v>
      </c>
      <c r="E460" s="502">
        <v>5.0000000000000001E-3</v>
      </c>
      <c r="F460" s="444"/>
      <c r="G460" s="432" t="s">
        <v>1263</v>
      </c>
      <c r="H460" s="568"/>
      <c r="I460" s="411"/>
      <c r="J460" s="411"/>
      <c r="K460" s="411"/>
      <c r="L460" s="411"/>
      <c r="M460" s="411"/>
      <c r="N460" s="411"/>
      <c r="O460" s="411"/>
      <c r="P460" s="411"/>
    </row>
    <row r="461" spans="1:16" ht="15.75" customHeight="1">
      <c r="A461" s="408"/>
      <c r="B461" s="413"/>
      <c r="C461" s="441" t="s">
        <v>439</v>
      </c>
      <c r="D461" s="442" t="s">
        <v>1264</v>
      </c>
      <c r="E461" s="502">
        <v>0.02</v>
      </c>
      <c r="F461" s="444"/>
      <c r="G461" s="432" t="s">
        <v>1265</v>
      </c>
      <c r="H461" s="568"/>
      <c r="I461" s="411"/>
      <c r="J461" s="411"/>
      <c r="K461" s="411"/>
      <c r="L461" s="411"/>
      <c r="M461" s="411"/>
      <c r="N461" s="411"/>
      <c r="O461" s="411"/>
      <c r="P461" s="411"/>
    </row>
    <row r="462" spans="1:16" ht="15.75" customHeight="1">
      <c r="A462" s="408"/>
      <c r="B462" s="413"/>
      <c r="C462" s="441" t="s">
        <v>1266</v>
      </c>
      <c r="D462" s="442" t="s">
        <v>1262</v>
      </c>
      <c r="E462" s="502">
        <v>0.02</v>
      </c>
      <c r="F462" s="444"/>
      <c r="G462" s="432" t="s">
        <v>1267</v>
      </c>
      <c r="H462" s="568"/>
      <c r="I462" s="411"/>
      <c r="J462" s="411"/>
      <c r="K462" s="411"/>
      <c r="L462" s="411"/>
      <c r="M462" s="411"/>
      <c r="N462" s="411"/>
      <c r="O462" s="411"/>
      <c r="P462" s="411"/>
    </row>
    <row r="463" spans="1:16" ht="15.75" customHeight="1">
      <c r="A463" s="408"/>
      <c r="B463" s="413"/>
      <c r="C463" s="529"/>
      <c r="D463" s="526"/>
      <c r="E463" s="502"/>
      <c r="F463" s="528"/>
      <c r="G463" s="432"/>
      <c r="H463" s="568"/>
      <c r="I463" s="411"/>
      <c r="J463" s="411"/>
      <c r="K463" s="411"/>
      <c r="L463" s="411"/>
      <c r="M463" s="411"/>
      <c r="N463" s="411"/>
      <c r="O463" s="411"/>
      <c r="P463" s="411"/>
    </row>
    <row r="464" spans="1:16" ht="15.75" customHeight="1">
      <c r="A464" s="408"/>
      <c r="B464" s="413"/>
      <c r="C464" s="550"/>
      <c r="D464" s="551"/>
      <c r="E464" s="250"/>
      <c r="F464" s="552"/>
      <c r="G464" s="432"/>
      <c r="H464" s="409"/>
      <c r="I464" s="411"/>
      <c r="J464" s="1425" t="s">
        <v>443</v>
      </c>
      <c r="K464" s="1305"/>
      <c r="L464" s="573"/>
      <c r="M464" s="574"/>
      <c r="N464" s="575"/>
      <c r="O464" s="576"/>
      <c r="P464" s="411"/>
    </row>
    <row r="465" spans="1:16" ht="15.75" customHeight="1">
      <c r="A465" s="408"/>
      <c r="B465" s="413"/>
      <c r="C465" s="529" t="s">
        <v>1268</v>
      </c>
      <c r="D465" s="526"/>
      <c r="E465" s="502"/>
      <c r="F465" s="528"/>
      <c r="G465" s="432"/>
      <c r="H465" s="409"/>
      <c r="I465" s="411"/>
      <c r="J465" s="26"/>
      <c r="K465" s="577" t="s">
        <v>1269</v>
      </c>
      <c r="L465" s="573" t="s">
        <v>328</v>
      </c>
      <c r="M465" s="578">
        <v>0.01</v>
      </c>
      <c r="N465" s="575"/>
      <c r="O465" s="576" t="s">
        <v>1270</v>
      </c>
      <c r="P465" s="411"/>
    </row>
    <row r="466" spans="1:16" ht="15.75" customHeight="1">
      <c r="A466" s="408"/>
      <c r="B466" s="413"/>
      <c r="C466" s="529" t="s">
        <v>1271</v>
      </c>
      <c r="D466" s="526" t="s">
        <v>328</v>
      </c>
      <c r="E466" s="502">
        <v>0.3</v>
      </c>
      <c r="F466" s="528"/>
      <c r="G466" s="432" t="s">
        <v>1272</v>
      </c>
      <c r="H466" s="568"/>
      <c r="I466" s="411"/>
      <c r="J466" s="26"/>
      <c r="K466" s="577" t="s">
        <v>1273</v>
      </c>
      <c r="L466" s="573" t="s">
        <v>328</v>
      </c>
      <c r="M466" s="578">
        <v>0.03</v>
      </c>
      <c r="N466" s="575"/>
      <c r="O466" s="576" t="s">
        <v>1274</v>
      </c>
      <c r="P466" s="411"/>
    </row>
    <row r="467" spans="1:16" ht="15.75" customHeight="1">
      <c r="A467" s="408"/>
      <c r="B467" s="413"/>
      <c r="C467" s="529" t="s">
        <v>1275</v>
      </c>
      <c r="D467" s="526" t="s">
        <v>328</v>
      </c>
      <c r="E467" s="502">
        <v>0.05</v>
      </c>
      <c r="F467" s="528"/>
      <c r="G467" s="432" t="s">
        <v>1276</v>
      </c>
      <c r="H467" s="568"/>
      <c r="I467" s="411"/>
      <c r="J467" s="26"/>
      <c r="K467" s="577" t="s">
        <v>1277</v>
      </c>
      <c r="L467" s="573" t="s">
        <v>336</v>
      </c>
      <c r="M467" s="574" t="s">
        <v>1278</v>
      </c>
      <c r="N467" s="575"/>
      <c r="O467" s="576" t="s">
        <v>1279</v>
      </c>
      <c r="P467" s="411"/>
    </row>
    <row r="468" spans="1:16" ht="15.75" customHeight="1">
      <c r="A468" s="408"/>
      <c r="B468" s="413"/>
      <c r="C468" s="529" t="s">
        <v>1280</v>
      </c>
      <c r="D468" s="526" t="s">
        <v>328</v>
      </c>
      <c r="E468" s="502">
        <v>0.4</v>
      </c>
      <c r="F468" s="528"/>
      <c r="G468" s="432" t="s">
        <v>1281</v>
      </c>
      <c r="H468" s="568"/>
      <c r="I468" s="411"/>
      <c r="J468" s="26"/>
      <c r="K468" s="577" t="s">
        <v>1282</v>
      </c>
      <c r="L468" s="573" t="s">
        <v>336</v>
      </c>
      <c r="M468" s="574" t="s">
        <v>1283</v>
      </c>
      <c r="N468" s="575"/>
      <c r="O468" s="576" t="s">
        <v>1284</v>
      </c>
      <c r="P468" s="411"/>
    </row>
    <row r="469" spans="1:16" ht="15.75" customHeight="1">
      <c r="A469" s="408"/>
      <c r="B469" s="579" t="s">
        <v>443</v>
      </c>
      <c r="C469" s="491"/>
      <c r="D469" s="506"/>
      <c r="E469" s="515"/>
      <c r="F469" s="508"/>
      <c r="G469" s="470"/>
      <c r="H469" s="568"/>
      <c r="I469" s="411"/>
      <c r="J469" s="26"/>
      <c r="K469" s="577"/>
      <c r="L469" s="573"/>
      <c r="M469" s="574"/>
      <c r="N469" s="575"/>
      <c r="O469" s="576"/>
      <c r="P469" s="411"/>
    </row>
    <row r="470" spans="1:16" ht="15.75" customHeight="1">
      <c r="A470" s="408"/>
      <c r="B470" s="580"/>
      <c r="C470" s="491" t="s">
        <v>1269</v>
      </c>
      <c r="D470" s="506" t="s">
        <v>328</v>
      </c>
      <c r="E470" s="515">
        <v>0.02</v>
      </c>
      <c r="F470" s="508"/>
      <c r="G470" s="470" t="s">
        <v>1270</v>
      </c>
      <c r="H470" s="568"/>
      <c r="I470" s="411"/>
      <c r="J470" s="26"/>
      <c r="K470" s="577"/>
      <c r="L470" s="573"/>
      <c r="M470" s="574"/>
      <c r="N470" s="575"/>
      <c r="O470" s="576"/>
      <c r="P470" s="411"/>
    </row>
    <row r="471" spans="1:16" ht="15.75" customHeight="1">
      <c r="A471" s="408"/>
      <c r="B471" s="580"/>
      <c r="C471" s="491" t="s">
        <v>1273</v>
      </c>
      <c r="D471" s="506" t="s">
        <v>328</v>
      </c>
      <c r="E471" s="515">
        <v>0.05</v>
      </c>
      <c r="F471" s="508"/>
      <c r="G471" s="470" t="s">
        <v>1274</v>
      </c>
      <c r="H471" s="568"/>
      <c r="I471" s="411"/>
      <c r="J471" s="26"/>
      <c r="K471" s="577"/>
      <c r="L471" s="573"/>
      <c r="M471" s="574"/>
      <c r="N471" s="575"/>
      <c r="O471" s="576"/>
      <c r="P471" s="411"/>
    </row>
    <row r="472" spans="1:16" ht="15.75" customHeight="1">
      <c r="A472" s="408"/>
      <c r="B472" s="580"/>
      <c r="C472" s="491" t="s">
        <v>1277</v>
      </c>
      <c r="D472" s="506" t="s">
        <v>336</v>
      </c>
      <c r="E472" s="512">
        <v>1000000</v>
      </c>
      <c r="F472" s="508"/>
      <c r="G472" s="470" t="s">
        <v>1279</v>
      </c>
      <c r="H472" s="568"/>
      <c r="I472" s="411"/>
      <c r="J472" s="26"/>
      <c r="K472" s="577"/>
      <c r="L472" s="573"/>
      <c r="M472" s="574"/>
      <c r="N472" s="575"/>
      <c r="O472" s="576"/>
      <c r="P472" s="411"/>
    </row>
    <row r="473" spans="1:16" ht="15.75" customHeight="1">
      <c r="A473" s="408"/>
      <c r="B473" s="580"/>
      <c r="C473" s="491" t="s">
        <v>1282</v>
      </c>
      <c r="D473" s="506" t="s">
        <v>336</v>
      </c>
      <c r="E473" s="512">
        <v>10000000</v>
      </c>
      <c r="F473" s="508"/>
      <c r="G473" s="470" t="s">
        <v>1284</v>
      </c>
      <c r="H473" s="568"/>
      <c r="I473" s="411"/>
      <c r="J473" s="26"/>
      <c r="K473" s="577"/>
      <c r="L473" s="573"/>
      <c r="M473" s="574"/>
      <c r="N473" s="575"/>
      <c r="O473" s="576"/>
      <c r="P473" s="411"/>
    </row>
    <row r="474" spans="1:16" ht="15.75" customHeight="1">
      <c r="A474" s="408"/>
      <c r="B474" s="581"/>
      <c r="C474" s="582"/>
      <c r="D474" s="582"/>
      <c r="E474" s="582"/>
      <c r="F474" s="582"/>
      <c r="G474" s="583"/>
      <c r="H474" s="247"/>
      <c r="I474" s="411"/>
      <c r="J474" s="411"/>
      <c r="K474" s="411"/>
      <c r="L474" s="411"/>
      <c r="M474" s="411"/>
      <c r="N474" s="411"/>
      <c r="O474" s="411"/>
      <c r="P474" s="411"/>
    </row>
    <row r="475" spans="1:16" ht="15.75" customHeight="1">
      <c r="A475" s="408"/>
      <c r="B475" s="1418" t="s">
        <v>1285</v>
      </c>
      <c r="C475" s="1419"/>
      <c r="D475" s="1419"/>
      <c r="E475" s="1419"/>
      <c r="F475" s="1419"/>
      <c r="G475" s="1420"/>
      <c r="H475" s="409"/>
      <c r="I475" s="411"/>
      <c r="J475" s="411"/>
      <c r="K475" s="411"/>
      <c r="L475" s="411"/>
      <c r="M475" s="411"/>
      <c r="N475" s="411"/>
      <c r="O475" s="411"/>
      <c r="P475" s="411"/>
    </row>
    <row r="476" spans="1:16" ht="15.75" customHeight="1">
      <c r="A476" s="408"/>
      <c r="B476" s="584"/>
      <c r="C476" s="585" t="s">
        <v>751</v>
      </c>
      <c r="D476" s="586" t="s">
        <v>317</v>
      </c>
      <c r="E476" s="587" t="s">
        <v>212</v>
      </c>
      <c r="F476" s="588" t="s">
        <v>686</v>
      </c>
      <c r="G476" s="589" t="s">
        <v>229</v>
      </c>
      <c r="H476" s="409"/>
      <c r="I476" s="411"/>
      <c r="J476" s="411"/>
      <c r="K476" s="411"/>
      <c r="L476" s="411"/>
      <c r="M476" s="411"/>
      <c r="N476" s="411"/>
      <c r="O476" s="411"/>
      <c r="P476" s="411"/>
    </row>
    <row r="477" spans="1:16" ht="15.75" customHeight="1">
      <c r="A477" s="408"/>
      <c r="B477" s="413"/>
      <c r="C477" s="176"/>
      <c r="D477" s="140"/>
      <c r="E477" s="250"/>
      <c r="F477" s="409"/>
      <c r="G477" s="414"/>
      <c r="H477" s="409"/>
      <c r="I477" s="411"/>
      <c r="J477" s="411"/>
      <c r="K477" s="411"/>
      <c r="L477" s="411"/>
      <c r="M477" s="411"/>
      <c r="N477" s="411"/>
      <c r="O477" s="411"/>
      <c r="P477" s="411"/>
    </row>
    <row r="478" spans="1:16" ht="15.75" customHeight="1">
      <c r="A478" s="408"/>
      <c r="B478" s="558"/>
      <c r="C478" s="590" t="s">
        <v>1286</v>
      </c>
      <c r="D478" s="591"/>
      <c r="E478" s="592"/>
      <c r="F478" s="593"/>
      <c r="G478" s="594"/>
      <c r="H478" s="409"/>
      <c r="I478" s="411"/>
      <c r="J478" s="411"/>
      <c r="K478" s="411"/>
      <c r="L478" s="411"/>
      <c r="M478" s="411"/>
      <c r="N478" s="411"/>
      <c r="O478" s="411"/>
      <c r="P478" s="411"/>
    </row>
    <row r="479" spans="1:16" ht="15.75" customHeight="1">
      <c r="A479" s="408"/>
      <c r="B479" s="413"/>
      <c r="C479" s="529" t="s">
        <v>539</v>
      </c>
      <c r="D479" s="526" t="s">
        <v>328</v>
      </c>
      <c r="E479" s="595">
        <v>0.1</v>
      </c>
      <c r="F479" s="528"/>
      <c r="G479" s="432" t="s">
        <v>1287</v>
      </c>
      <c r="H479" s="568"/>
      <c r="I479" s="411"/>
      <c r="J479" s="411"/>
      <c r="K479" s="411"/>
      <c r="L479" s="411"/>
      <c r="M479" s="411"/>
      <c r="N479" s="411"/>
      <c r="O479" s="411"/>
      <c r="P479" s="411"/>
    </row>
    <row r="480" spans="1:16" ht="15.75" customHeight="1">
      <c r="A480" s="408"/>
      <c r="B480" s="413"/>
      <c r="C480" s="529" t="s">
        <v>541</v>
      </c>
      <c r="D480" s="526" t="s">
        <v>328</v>
      </c>
      <c r="E480" s="595">
        <v>0.15</v>
      </c>
      <c r="F480" s="528"/>
      <c r="G480" s="432" t="s">
        <v>1288</v>
      </c>
      <c r="H480" s="568"/>
      <c r="I480" s="411"/>
      <c r="J480" s="411"/>
      <c r="K480" s="411"/>
      <c r="L480" s="411"/>
      <c r="M480" s="411"/>
      <c r="N480" s="411"/>
      <c r="O480" s="411"/>
      <c r="P480" s="411"/>
    </row>
    <row r="481" spans="1:16" ht="15.75" customHeight="1">
      <c r="A481" s="408"/>
      <c r="B481" s="413"/>
      <c r="C481" s="529" t="s">
        <v>543</v>
      </c>
      <c r="D481" s="526" t="s">
        <v>328</v>
      </c>
      <c r="E481" s="595">
        <v>0.08</v>
      </c>
      <c r="F481" s="528"/>
      <c r="G481" s="432" t="s">
        <v>1289</v>
      </c>
      <c r="H481" s="568"/>
      <c r="I481" s="411"/>
      <c r="J481" s="411"/>
      <c r="K481" s="411"/>
      <c r="L481" s="411"/>
      <c r="M481" s="411"/>
      <c r="N481" s="411"/>
      <c r="O481" s="411"/>
      <c r="P481" s="411"/>
    </row>
    <row r="482" spans="1:16" ht="15.75" customHeight="1">
      <c r="A482" s="408"/>
      <c r="B482" s="413"/>
      <c r="C482" s="529" t="s">
        <v>545</v>
      </c>
      <c r="D482" s="526" t="s">
        <v>328</v>
      </c>
      <c r="E482" s="595">
        <v>0.3</v>
      </c>
      <c r="F482" s="528"/>
      <c r="G482" s="432" t="s">
        <v>1290</v>
      </c>
      <c r="H482" s="568"/>
      <c r="I482" s="411"/>
      <c r="J482" s="411"/>
      <c r="K482" s="411"/>
      <c r="L482" s="411"/>
      <c r="M482" s="411"/>
      <c r="N482" s="411"/>
      <c r="O482" s="411"/>
      <c r="P482" s="411"/>
    </row>
    <row r="483" spans="1:16" ht="15.75" customHeight="1">
      <c r="A483" s="408"/>
      <c r="B483" s="413"/>
      <c r="C483" s="529" t="s">
        <v>551</v>
      </c>
      <c r="D483" s="526" t="s">
        <v>567</v>
      </c>
      <c r="E483" s="596">
        <v>7</v>
      </c>
      <c r="F483" s="528"/>
      <c r="G483" s="432" t="s">
        <v>1291</v>
      </c>
      <c r="H483" s="568"/>
      <c r="I483" s="411"/>
      <c r="J483" s="411"/>
      <c r="K483" s="411"/>
      <c r="L483" s="411"/>
      <c r="M483" s="411"/>
      <c r="N483" s="411"/>
      <c r="O483" s="411"/>
      <c r="P483" s="411"/>
    </row>
    <row r="484" spans="1:16" ht="15.75" customHeight="1">
      <c r="A484" s="408"/>
      <c r="B484" s="413"/>
      <c r="C484" s="529" t="s">
        <v>549</v>
      </c>
      <c r="D484" s="526" t="s">
        <v>1292</v>
      </c>
      <c r="E484" s="597" t="s">
        <v>1293</v>
      </c>
      <c r="F484" s="528"/>
      <c r="G484" s="432" t="s">
        <v>1294</v>
      </c>
      <c r="H484" s="568"/>
      <c r="I484" s="411"/>
      <c r="J484" s="411"/>
      <c r="K484" s="411"/>
      <c r="L484" s="411"/>
      <c r="M484" s="411"/>
      <c r="N484" s="411"/>
      <c r="O484" s="411"/>
      <c r="P484" s="411"/>
    </row>
    <row r="485" spans="1:16" ht="15.75" customHeight="1">
      <c r="A485" s="408"/>
      <c r="B485" s="413"/>
      <c r="C485" s="529" t="s">
        <v>1295</v>
      </c>
      <c r="D485" s="526" t="s">
        <v>1296</v>
      </c>
      <c r="E485" s="597" t="s">
        <v>1297</v>
      </c>
      <c r="F485" s="528"/>
      <c r="G485" s="432" t="s">
        <v>1298</v>
      </c>
      <c r="H485" s="568"/>
      <c r="I485" s="411"/>
      <c r="J485" s="411"/>
      <c r="K485" s="411"/>
      <c r="L485" s="411"/>
      <c r="M485" s="411"/>
      <c r="N485" s="411"/>
      <c r="O485" s="411"/>
      <c r="P485" s="411"/>
    </row>
    <row r="486" spans="1:16" ht="15.75" customHeight="1">
      <c r="A486" s="408"/>
      <c r="B486" s="413"/>
      <c r="C486" s="529" t="s">
        <v>1299</v>
      </c>
      <c r="D486" s="526" t="s">
        <v>328</v>
      </c>
      <c r="E486" s="595">
        <v>0.8</v>
      </c>
      <c r="F486" s="528"/>
      <c r="G486" s="432" t="s">
        <v>1300</v>
      </c>
      <c r="H486" s="568"/>
      <c r="I486" s="411"/>
      <c r="J486" s="411"/>
      <c r="K486" s="411"/>
      <c r="L486" s="411"/>
      <c r="M486" s="411"/>
      <c r="N486" s="411"/>
      <c r="O486" s="411"/>
      <c r="P486" s="411"/>
    </row>
    <row r="487" spans="1:16" ht="15.75" customHeight="1">
      <c r="A487" s="408"/>
      <c r="B487" s="413"/>
      <c r="C487" s="529" t="s">
        <v>1301</v>
      </c>
      <c r="D487" s="526" t="s">
        <v>328</v>
      </c>
      <c r="E487" s="595">
        <v>0.03</v>
      </c>
      <c r="F487" s="528"/>
      <c r="G487" s="432" t="s">
        <v>1302</v>
      </c>
      <c r="H487" s="568"/>
      <c r="I487" s="411"/>
      <c r="J487" s="411"/>
      <c r="K487" s="411"/>
      <c r="L487" s="411"/>
      <c r="M487" s="411"/>
      <c r="N487" s="411"/>
      <c r="O487" s="411"/>
      <c r="P487" s="411"/>
    </row>
    <row r="488" spans="1:16" ht="15.75" customHeight="1">
      <c r="A488" s="408"/>
      <c r="B488" s="413"/>
      <c r="C488" s="529" t="s">
        <v>547</v>
      </c>
      <c r="D488" s="526" t="s">
        <v>192</v>
      </c>
      <c r="E488" s="598" t="s">
        <v>208</v>
      </c>
      <c r="F488" s="528"/>
      <c r="G488" s="432"/>
      <c r="H488" s="568"/>
      <c r="I488" s="411"/>
      <c r="J488" s="411"/>
      <c r="K488" s="411"/>
      <c r="L488" s="411"/>
      <c r="M488" s="411"/>
      <c r="N488" s="411"/>
      <c r="O488" s="411"/>
      <c r="P488" s="411"/>
    </row>
    <row r="489" spans="1:16" ht="15.75" customHeight="1">
      <c r="A489" s="408"/>
      <c r="B489" s="413"/>
      <c r="C489" s="550" t="s">
        <v>578</v>
      </c>
      <c r="D489" s="551"/>
      <c r="E489" s="599">
        <v>6.5000000000000002E-2</v>
      </c>
      <c r="F489" s="552"/>
      <c r="G489" s="432" t="s">
        <v>1303</v>
      </c>
      <c r="H489" s="409"/>
      <c r="I489" s="411"/>
      <c r="J489" s="411"/>
      <c r="K489" s="411"/>
      <c r="L489" s="411"/>
      <c r="M489" s="411"/>
      <c r="N489" s="411"/>
      <c r="O489" s="411"/>
      <c r="P489" s="411"/>
    </row>
    <row r="490" spans="1:16" ht="15.75" customHeight="1">
      <c r="A490" s="408"/>
      <c r="B490" s="413"/>
      <c r="C490" s="176" t="s">
        <v>576</v>
      </c>
      <c r="D490" s="140" t="s">
        <v>328</v>
      </c>
      <c r="E490" s="600">
        <v>0.04</v>
      </c>
      <c r="F490" s="409"/>
      <c r="G490" s="414" t="s">
        <v>1304</v>
      </c>
      <c r="H490" s="568"/>
      <c r="I490" s="411"/>
      <c r="J490" s="411"/>
      <c r="K490" s="411"/>
      <c r="L490" s="411"/>
      <c r="M490" s="26"/>
      <c r="N490" s="26"/>
      <c r="O490" s="26"/>
      <c r="P490" s="26"/>
    </row>
    <row r="491" spans="1:16" ht="15.75" customHeight="1">
      <c r="A491" s="408"/>
      <c r="B491" s="1418" t="s">
        <v>1305</v>
      </c>
      <c r="C491" s="1419"/>
      <c r="D491" s="1419"/>
      <c r="E491" s="1419"/>
      <c r="F491" s="1419"/>
      <c r="G491" s="1420"/>
      <c r="H491" s="409"/>
      <c r="I491" s="411"/>
      <c r="J491" s="411"/>
      <c r="K491" s="411"/>
      <c r="L491" s="411"/>
      <c r="M491" s="26"/>
      <c r="N491" s="26"/>
      <c r="O491" s="26"/>
      <c r="P491" s="26"/>
    </row>
    <row r="492" spans="1:16" ht="15.75" customHeight="1">
      <c r="A492" s="408"/>
      <c r="B492" s="413"/>
      <c r="C492" s="176" t="s">
        <v>580</v>
      </c>
      <c r="D492" s="140" t="s">
        <v>567</v>
      </c>
      <c r="E492" s="601">
        <v>0.8</v>
      </c>
      <c r="F492" s="409"/>
      <c r="G492" s="414" t="s">
        <v>1306</v>
      </c>
      <c r="H492" s="568"/>
      <c r="I492" s="411"/>
      <c r="J492" s="411"/>
      <c r="K492" s="411"/>
      <c r="L492" s="411"/>
      <c r="M492" s="26"/>
      <c r="N492" s="26"/>
      <c r="O492" s="26"/>
      <c r="P492" s="26"/>
    </row>
    <row r="493" spans="1:16" ht="15.75" customHeight="1">
      <c r="A493" s="408"/>
      <c r="B493" s="413"/>
      <c r="C493" s="176" t="s">
        <v>188</v>
      </c>
      <c r="D493" s="140" t="s">
        <v>1292</v>
      </c>
      <c r="E493" s="602" t="str">
        <f>Scenarios!B4</f>
        <v>Base</v>
      </c>
      <c r="F493" s="409"/>
      <c r="G493" s="414" t="s">
        <v>1307</v>
      </c>
      <c r="H493" s="568"/>
      <c r="I493" s="411"/>
      <c r="J493" s="411"/>
      <c r="K493" s="411"/>
      <c r="L493" s="411"/>
      <c r="M493" s="26"/>
      <c r="N493" s="26"/>
      <c r="O493" s="26"/>
      <c r="P493" s="26"/>
    </row>
    <row r="494" spans="1:16" ht="15.75" customHeight="1">
      <c r="A494" s="408"/>
      <c r="B494" s="558"/>
      <c r="C494" s="590" t="s">
        <v>1308</v>
      </c>
      <c r="D494" s="591"/>
      <c r="E494" s="592"/>
      <c r="F494" s="593"/>
      <c r="G494" s="594"/>
      <c r="H494" s="409"/>
      <c r="I494" s="411"/>
      <c r="J494" s="411"/>
      <c r="K494" s="411"/>
      <c r="L494" s="411"/>
      <c r="M494" s="26"/>
      <c r="N494" s="26"/>
      <c r="O494" s="26"/>
      <c r="P494" s="26"/>
    </row>
    <row r="495" spans="1:16" ht="15.75" customHeight="1">
      <c r="A495" s="408"/>
      <c r="B495" s="413"/>
      <c r="C495" s="529" t="s">
        <v>1309</v>
      </c>
      <c r="D495" s="526" t="s">
        <v>567</v>
      </c>
      <c r="E495" s="598">
        <f>IFERROR(VLOOKUP(E493,Scenarios!$D$6:$L$13,2,FALSE()),1)</f>
        <v>1</v>
      </c>
      <c r="F495" s="528"/>
      <c r="G495" s="432" t="s">
        <v>1310</v>
      </c>
      <c r="H495" s="568"/>
      <c r="I495" s="411"/>
      <c r="J495" s="411"/>
      <c r="K495" s="411"/>
      <c r="L495" s="411"/>
      <c r="M495" s="26"/>
      <c r="N495" s="26"/>
      <c r="O495" s="26"/>
      <c r="P495" s="26"/>
    </row>
    <row r="496" spans="1:16" ht="15.75" customHeight="1">
      <c r="A496" s="408"/>
      <c r="B496" s="413"/>
      <c r="C496" s="529" t="s">
        <v>1311</v>
      </c>
      <c r="D496" s="526" t="s">
        <v>567</v>
      </c>
      <c r="E496" s="598">
        <f>IFERROR(VLOOKUP(E493,Scenarios!$D$6:$L$13,3,FALSE()),1)</f>
        <v>1</v>
      </c>
      <c r="F496" s="528"/>
      <c r="G496" s="432" t="s">
        <v>1310</v>
      </c>
      <c r="H496" s="568"/>
      <c r="I496" s="411"/>
      <c r="J496" s="411"/>
      <c r="K496" s="411"/>
      <c r="L496" s="411"/>
      <c r="M496" s="26"/>
      <c r="N496" s="26"/>
      <c r="O496" s="26"/>
      <c r="P496" s="26"/>
    </row>
    <row r="497" spans="2:16" ht="15.75" customHeight="1">
      <c r="B497" s="413"/>
      <c r="C497" s="529" t="s">
        <v>1312</v>
      </c>
      <c r="D497" s="526" t="s">
        <v>567</v>
      </c>
      <c r="E497" s="598">
        <f>IFERROR(VLOOKUP(E493,Scenarios!$D$6:$L$13,6,FALSE()),1)</f>
        <v>1</v>
      </c>
      <c r="F497" s="528"/>
      <c r="G497" s="432" t="s">
        <v>1310</v>
      </c>
      <c r="H497" s="568"/>
      <c r="I497" s="26"/>
      <c r="J497" s="26"/>
      <c r="K497" s="26"/>
      <c r="L497" s="26"/>
      <c r="M497" s="26"/>
      <c r="N497" s="26"/>
      <c r="O497" s="26"/>
      <c r="P497" s="26"/>
    </row>
    <row r="498" spans="2:16" ht="15.75" customHeight="1">
      <c r="B498" s="413"/>
      <c r="C498" s="529" t="s">
        <v>1313</v>
      </c>
      <c r="D498" s="526" t="s">
        <v>567</v>
      </c>
      <c r="E498" s="598">
        <f>IFERROR(VLOOKUP(E493,Scenarios!$D$6:$L$13,7,FALSE()),1)</f>
        <v>1</v>
      </c>
      <c r="F498" s="528"/>
      <c r="G498" s="432" t="s">
        <v>1310</v>
      </c>
      <c r="H498" s="568"/>
      <c r="I498" s="26"/>
      <c r="J498" s="26"/>
      <c r="K498" s="26"/>
      <c r="L498" s="26"/>
      <c r="M498" s="26"/>
      <c r="N498" s="26"/>
      <c r="O498" s="26"/>
      <c r="P498" s="26"/>
    </row>
    <row r="499" spans="2:16" ht="15.75" customHeight="1">
      <c r="B499" s="413"/>
      <c r="C499" s="529" t="s">
        <v>1314</v>
      </c>
      <c r="D499" s="526" t="s">
        <v>567</v>
      </c>
      <c r="E499" s="598">
        <f>IFERROR(VLOOKUP(E493,Scenarios!$D$6:$L$13,8,FALSE()),1)</f>
        <v>1</v>
      </c>
      <c r="F499" s="528"/>
      <c r="G499" s="432" t="s">
        <v>1310</v>
      </c>
      <c r="H499" s="568"/>
      <c r="I499" s="26"/>
      <c r="J499" s="26"/>
      <c r="K499" s="26"/>
      <c r="L499" s="26"/>
      <c r="M499" s="26"/>
      <c r="N499" s="26"/>
      <c r="O499" s="26"/>
      <c r="P499" s="26"/>
    </row>
    <row r="500" spans="2:16" ht="15.75" customHeight="1">
      <c r="B500" s="413"/>
      <c r="C500" s="529" t="s">
        <v>1315</v>
      </c>
      <c r="D500" s="526" t="s">
        <v>1316</v>
      </c>
      <c r="E500" s="598">
        <f>IFERROR(VLOOKUP(E493,Scenarios!$D$6:$L$13,4,FALSE()),0)</f>
        <v>0</v>
      </c>
      <c r="F500" s="528"/>
      <c r="G500" s="432" t="s">
        <v>1317</v>
      </c>
      <c r="H500" s="568"/>
      <c r="I500" s="26"/>
      <c r="J500" s="26"/>
      <c r="K500" s="26"/>
      <c r="L500" s="26"/>
      <c r="M500" s="26"/>
      <c r="N500" s="26"/>
      <c r="O500" s="26"/>
      <c r="P500" s="26"/>
    </row>
    <row r="501" spans="2:16" ht="15.75" customHeight="1">
      <c r="B501" s="413"/>
      <c r="C501" s="529" t="s">
        <v>1318</v>
      </c>
      <c r="D501" s="526" t="s">
        <v>1319</v>
      </c>
      <c r="E501" s="598">
        <f>IFERROR(VLOOKUP(E493,Scenarios!$D$6:$L$13,5,FALSE()),0)</f>
        <v>0</v>
      </c>
      <c r="F501" s="528"/>
      <c r="G501" s="432" t="s">
        <v>1320</v>
      </c>
      <c r="H501" s="568"/>
      <c r="I501" s="26"/>
      <c r="J501" s="26"/>
      <c r="K501" s="26"/>
      <c r="L501" s="26"/>
      <c r="M501" s="26"/>
      <c r="N501" s="26"/>
      <c r="O501" s="26"/>
      <c r="P501" s="26"/>
    </row>
    <row r="502" spans="2:16" ht="15.75" customHeight="1">
      <c r="B502" s="413"/>
      <c r="C502" s="176"/>
      <c r="D502" s="140"/>
      <c r="E502" s="250"/>
      <c r="F502" s="409"/>
      <c r="G502" s="414"/>
      <c r="H502" s="603"/>
      <c r="I502" s="26"/>
      <c r="J502" s="26"/>
      <c r="K502" s="26"/>
      <c r="L502" s="26"/>
      <c r="M502" s="26"/>
      <c r="N502" s="26"/>
      <c r="O502" s="26"/>
      <c r="P502" s="26"/>
    </row>
    <row r="503" spans="2:16" ht="15.75" customHeight="1">
      <c r="B503" s="413"/>
      <c r="C503" s="176"/>
      <c r="D503" s="140"/>
      <c r="E503" s="250"/>
      <c r="F503" s="409"/>
      <c r="G503" s="414"/>
      <c r="H503" s="603"/>
      <c r="I503" s="26"/>
      <c r="J503" s="26"/>
      <c r="K503" s="26"/>
      <c r="L503" s="26"/>
      <c r="M503" s="26"/>
      <c r="N503" s="26"/>
      <c r="O503" s="26"/>
      <c r="P503" s="26"/>
    </row>
    <row r="504" spans="2:16" ht="15.75" customHeight="1">
      <c r="B504" s="558"/>
      <c r="C504" s="590" t="s">
        <v>1321</v>
      </c>
      <c r="D504" s="591"/>
      <c r="E504" s="592"/>
      <c r="F504" s="593"/>
      <c r="G504" s="594"/>
      <c r="H504" s="603"/>
      <c r="I504" s="26"/>
      <c r="J504" s="26"/>
      <c r="K504" s="26"/>
      <c r="L504" s="26"/>
      <c r="M504" s="26"/>
      <c r="N504" s="26"/>
      <c r="O504" s="26"/>
      <c r="P504" s="26"/>
    </row>
    <row r="505" spans="2:16" ht="15.75" customHeight="1">
      <c r="B505" s="413"/>
      <c r="C505" s="529" t="s">
        <v>1322</v>
      </c>
      <c r="D505" s="526" t="s">
        <v>567</v>
      </c>
      <c r="E505" s="598">
        <v>1</v>
      </c>
      <c r="F505" s="528"/>
      <c r="G505" s="432" t="s">
        <v>1323</v>
      </c>
      <c r="H505" s="568"/>
      <c r="I505" s="26"/>
      <c r="J505" s="26"/>
      <c r="K505" s="26"/>
      <c r="L505" s="26"/>
      <c r="M505" s="26"/>
      <c r="N505" s="26"/>
      <c r="O505" s="26"/>
      <c r="P505" s="26"/>
    </row>
    <row r="506" spans="2:16" ht="15.75" customHeight="1">
      <c r="B506" s="413"/>
      <c r="C506" s="529" t="s">
        <v>1324</v>
      </c>
      <c r="D506" s="526" t="s">
        <v>567</v>
      </c>
      <c r="E506" s="598">
        <v>1</v>
      </c>
      <c r="F506" s="528"/>
      <c r="G506" s="432" t="s">
        <v>1325</v>
      </c>
      <c r="H506" s="568"/>
      <c r="I506" s="26"/>
      <c r="J506" s="26"/>
      <c r="K506" s="26"/>
      <c r="L506" s="26"/>
      <c r="M506" s="26"/>
      <c r="N506" s="26"/>
      <c r="O506" s="26"/>
      <c r="P506" s="26"/>
    </row>
    <row r="507" spans="2:16" ht="15.75" customHeight="1">
      <c r="B507" s="413"/>
      <c r="C507" s="529" t="s">
        <v>1326</v>
      </c>
      <c r="D507" s="526" t="s">
        <v>567</v>
      </c>
      <c r="E507" s="598">
        <v>1</v>
      </c>
      <c r="F507" s="528"/>
      <c r="G507" s="432" t="s">
        <v>1327</v>
      </c>
      <c r="H507" s="568"/>
      <c r="I507" s="26"/>
      <c r="J507" s="26"/>
      <c r="K507" s="26"/>
      <c r="L507" s="26"/>
      <c r="M507" s="26"/>
      <c r="N507" s="26"/>
      <c r="O507" s="26"/>
      <c r="P507" s="26"/>
    </row>
    <row r="508" spans="2:16" ht="15.75" customHeight="1">
      <c r="B508" s="413"/>
      <c r="C508" s="529" t="s">
        <v>1328</v>
      </c>
      <c r="D508" s="526" t="s">
        <v>567</v>
      </c>
      <c r="E508" s="598">
        <v>1</v>
      </c>
      <c r="F508" s="528"/>
      <c r="G508" s="432" t="s">
        <v>1329</v>
      </c>
      <c r="H508" s="568"/>
      <c r="I508" s="26"/>
      <c r="J508" s="26"/>
      <c r="K508" s="26"/>
      <c r="L508" s="26"/>
      <c r="M508" s="26"/>
      <c r="N508" s="26"/>
      <c r="O508" s="26"/>
      <c r="P508" s="26"/>
    </row>
    <row r="509" spans="2:16" ht="15.75" customHeight="1">
      <c r="B509" s="413"/>
      <c r="C509" s="529" t="s">
        <v>1330</v>
      </c>
      <c r="D509" s="526" t="s">
        <v>567</v>
      </c>
      <c r="E509" s="598">
        <v>1</v>
      </c>
      <c r="F509" s="528"/>
      <c r="G509" s="432" t="s">
        <v>1331</v>
      </c>
      <c r="H509" s="568"/>
      <c r="I509" s="26"/>
      <c r="J509" s="26"/>
      <c r="K509" s="26"/>
      <c r="L509" s="26"/>
      <c r="M509" s="26"/>
      <c r="N509" s="26"/>
      <c r="O509" s="26"/>
      <c r="P509" s="26"/>
    </row>
    <row r="510" spans="2:16" ht="15.75" customHeight="1">
      <c r="B510" s="604"/>
      <c r="C510" s="605" t="s">
        <v>1332</v>
      </c>
      <c r="D510" s="606" t="s">
        <v>567</v>
      </c>
      <c r="E510" s="607">
        <v>1</v>
      </c>
      <c r="F510" s="608"/>
      <c r="G510" s="609" t="s">
        <v>1333</v>
      </c>
      <c r="H510" s="568"/>
      <c r="I510" s="26"/>
      <c r="J510" s="26"/>
      <c r="K510" s="26"/>
      <c r="L510" s="26"/>
      <c r="M510" s="26"/>
      <c r="N510" s="26"/>
      <c r="O510" s="26"/>
      <c r="P510" s="26"/>
    </row>
    <row r="511" spans="2:16" ht="15.75" customHeight="1">
      <c r="B511" s="26"/>
      <c r="C511" s="26"/>
      <c r="D511" s="26"/>
      <c r="E511" s="176"/>
      <c r="F511" s="26"/>
      <c r="G511" s="292"/>
      <c r="H511" s="603"/>
      <c r="I511" s="26"/>
      <c r="J511" s="26"/>
      <c r="K511" s="26"/>
      <c r="L511" s="26"/>
      <c r="M511" s="26"/>
      <c r="N511" s="26"/>
      <c r="O511" s="26"/>
      <c r="P511" s="26"/>
    </row>
    <row r="512" spans="2:16" ht="15.75" customHeight="1">
      <c r="B512" s="26"/>
      <c r="C512" s="26"/>
      <c r="D512" s="26"/>
      <c r="E512" s="176"/>
      <c r="F512" s="26"/>
      <c r="G512" s="292"/>
      <c r="H512" s="603"/>
      <c r="I512" s="26"/>
      <c r="J512" s="26"/>
      <c r="K512" s="26"/>
      <c r="L512" s="26"/>
      <c r="M512" s="26"/>
      <c r="N512" s="26"/>
      <c r="O512" s="26"/>
      <c r="P512" s="26"/>
    </row>
    <row r="513" spans="2:16" ht="15.75" customHeight="1">
      <c r="B513" s="26"/>
      <c r="C513" s="26"/>
      <c r="D513" s="26"/>
      <c r="E513" s="176"/>
      <c r="F513" s="26"/>
      <c r="G513" s="292"/>
      <c r="H513" s="603"/>
      <c r="I513" s="26"/>
      <c r="J513" s="26"/>
      <c r="K513" s="26"/>
      <c r="L513" s="26"/>
      <c r="M513" s="26"/>
      <c r="N513" s="26"/>
      <c r="O513" s="26"/>
      <c r="P513" s="26"/>
    </row>
    <row r="514" spans="2:16" ht="15.75" customHeight="1">
      <c r="B514" s="26"/>
      <c r="C514" s="26"/>
      <c r="D514" s="26"/>
      <c r="E514" s="176"/>
      <c r="F514" s="26"/>
      <c r="G514" s="292"/>
      <c r="H514" s="603"/>
      <c r="I514" s="26"/>
      <c r="J514" s="26"/>
      <c r="K514" s="26"/>
      <c r="L514" s="26"/>
      <c r="M514" s="26"/>
      <c r="N514" s="26"/>
      <c r="O514" s="26"/>
      <c r="P514" s="26"/>
    </row>
    <row r="515" spans="2:16" ht="15.75" customHeight="1">
      <c r="B515" s="26"/>
      <c r="C515" s="26"/>
      <c r="D515" s="26"/>
      <c r="E515" s="176"/>
      <c r="F515" s="26"/>
      <c r="G515" s="292"/>
      <c r="H515" s="603"/>
      <c r="I515" s="26"/>
      <c r="J515" s="26"/>
      <c r="K515" s="26"/>
      <c r="L515" s="26"/>
      <c r="M515" s="26"/>
      <c r="N515" s="26"/>
      <c r="O515" s="26"/>
      <c r="P515" s="26"/>
    </row>
    <row r="516" spans="2:16" ht="15.75" customHeight="1">
      <c r="B516" s="28"/>
      <c r="C516" s="610" t="s">
        <v>1334</v>
      </c>
      <c r="D516" s="611"/>
      <c r="E516" s="612"/>
      <c r="F516" s="613"/>
      <c r="G516" s="614"/>
      <c r="H516" s="603"/>
      <c r="I516" s="26"/>
      <c r="J516" s="26"/>
      <c r="K516" s="26"/>
      <c r="L516" s="26"/>
      <c r="M516" s="26"/>
      <c r="N516" s="26"/>
      <c r="O516" s="26"/>
      <c r="P516" s="26"/>
    </row>
    <row r="517" spans="2:16" ht="15.75" customHeight="1">
      <c r="B517" s="33"/>
      <c r="C517" s="176"/>
      <c r="D517" s="557" t="s">
        <v>317</v>
      </c>
      <c r="E517" s="250" t="s">
        <v>212</v>
      </c>
      <c r="F517" s="412" t="s">
        <v>686</v>
      </c>
      <c r="G517" s="414" t="s">
        <v>1335</v>
      </c>
      <c r="H517" s="603"/>
      <c r="I517" s="26"/>
      <c r="J517" s="26"/>
      <c r="K517" s="26"/>
      <c r="L517" s="26"/>
      <c r="M517" s="26"/>
      <c r="N517" s="26"/>
      <c r="O517" s="26"/>
      <c r="P517" s="26"/>
    </row>
    <row r="518" spans="2:16" ht="15.75" customHeight="1">
      <c r="B518" s="33"/>
      <c r="C518" s="529" t="s">
        <v>1336</v>
      </c>
      <c r="D518" s="526" t="s">
        <v>328</v>
      </c>
      <c r="E518" s="595">
        <f>E166</f>
        <v>0.08</v>
      </c>
      <c r="F518" s="528"/>
      <c r="G518" s="432" t="s">
        <v>1337</v>
      </c>
      <c r="H518" s="568"/>
      <c r="I518" s="26"/>
      <c r="J518" s="26"/>
      <c r="K518" s="26"/>
      <c r="L518" s="26"/>
      <c r="M518" s="26"/>
      <c r="N518" s="26"/>
      <c r="O518" s="26"/>
      <c r="P518" s="26"/>
    </row>
    <row r="519" spans="2:16" ht="15.75" customHeight="1">
      <c r="B519" s="33"/>
      <c r="C519" s="529" t="s">
        <v>1338</v>
      </c>
      <c r="D519" s="526" t="s">
        <v>1339</v>
      </c>
      <c r="E519" s="598">
        <v>20</v>
      </c>
      <c r="F519" s="528"/>
      <c r="G519" s="432" t="s">
        <v>1340</v>
      </c>
      <c r="H519" s="568"/>
      <c r="I519" s="26"/>
      <c r="J519" s="26"/>
      <c r="K519" s="26"/>
      <c r="L519" s="26"/>
      <c r="M519" s="26"/>
      <c r="N519" s="26"/>
      <c r="O519" s="26"/>
      <c r="P519" s="26"/>
    </row>
    <row r="520" spans="2:16" ht="15.75" customHeight="1">
      <c r="B520" s="33"/>
      <c r="C520" s="529" t="s">
        <v>964</v>
      </c>
      <c r="D520" s="526" t="s">
        <v>328</v>
      </c>
      <c r="E520" s="595">
        <f>E462</f>
        <v>0.02</v>
      </c>
      <c r="F520" s="528"/>
      <c r="G520" s="432" t="s">
        <v>1341</v>
      </c>
      <c r="H520" s="568"/>
      <c r="I520" s="26"/>
      <c r="J520" s="26"/>
      <c r="K520" s="26"/>
      <c r="L520" s="26"/>
      <c r="M520" s="26"/>
      <c r="N520" s="26"/>
      <c r="O520" s="26"/>
      <c r="P520" s="26"/>
    </row>
    <row r="521" spans="2:16" ht="15.75" customHeight="1">
      <c r="B521" s="33"/>
      <c r="C521" s="529"/>
      <c r="D521" s="526"/>
      <c r="E521" s="595"/>
      <c r="F521" s="528"/>
      <c r="G521" s="432"/>
      <c r="H521" s="568"/>
      <c r="I521" s="26"/>
      <c r="J521" s="26"/>
      <c r="K521" s="26"/>
      <c r="L521" s="26"/>
      <c r="M521" s="26"/>
      <c r="N521" s="26"/>
      <c r="O521" s="26"/>
      <c r="P521" s="26"/>
    </row>
    <row r="522" spans="2:16" ht="15.75" customHeight="1">
      <c r="B522" s="33"/>
      <c r="C522" s="529"/>
      <c r="D522" s="526"/>
      <c r="E522" s="598"/>
      <c r="F522" s="528"/>
      <c r="G522" s="432"/>
      <c r="H522" s="568"/>
      <c r="I522" s="26"/>
      <c r="J522" s="26"/>
      <c r="K522" s="26"/>
      <c r="L522" s="26"/>
      <c r="M522" s="26"/>
      <c r="N522" s="26"/>
      <c r="O522" s="26"/>
      <c r="P522" s="26"/>
    </row>
    <row r="523" spans="2:16" ht="15.75" customHeight="1">
      <c r="B523" s="33"/>
      <c r="C523" s="411"/>
      <c r="D523" s="557"/>
      <c r="E523" s="250"/>
      <c r="F523" s="412"/>
      <c r="G523" s="615"/>
      <c r="H523" s="603"/>
      <c r="I523" s="26"/>
      <c r="J523" s="26"/>
      <c r="K523" s="26"/>
      <c r="L523" s="26"/>
      <c r="M523" s="26"/>
      <c r="N523" s="26"/>
      <c r="O523" s="26"/>
      <c r="P523" s="26"/>
    </row>
    <row r="524" spans="2:16" ht="15.75" customHeight="1">
      <c r="B524" s="33"/>
      <c r="C524" s="411"/>
      <c r="D524" s="557"/>
      <c r="E524" s="250"/>
      <c r="F524" s="412"/>
      <c r="G524" s="615"/>
      <c r="H524" s="603"/>
      <c r="I524" s="26"/>
      <c r="J524" s="26"/>
      <c r="K524" s="26"/>
      <c r="L524" s="26"/>
      <c r="M524" s="26"/>
      <c r="N524" s="26"/>
      <c r="O524" s="26"/>
      <c r="P524" s="26"/>
    </row>
    <row r="525" spans="2:16" ht="15.75" customHeight="1">
      <c r="B525" s="33"/>
      <c r="C525" s="590" t="s">
        <v>1342</v>
      </c>
      <c r="D525" s="591"/>
      <c r="E525" s="592"/>
      <c r="F525" s="593"/>
      <c r="G525" s="594"/>
      <c r="H525" s="603"/>
      <c r="I525" s="26"/>
      <c r="J525" s="26"/>
      <c r="K525" s="26"/>
      <c r="L525" s="26"/>
      <c r="M525" s="26"/>
      <c r="N525" s="26"/>
      <c r="O525" s="26"/>
      <c r="P525" s="26"/>
    </row>
    <row r="526" spans="2:16" ht="15.75" customHeight="1">
      <c r="B526" s="33"/>
      <c r="C526" s="176"/>
      <c r="D526" s="557" t="s">
        <v>317</v>
      </c>
      <c r="E526" s="250" t="s">
        <v>212</v>
      </c>
      <c r="F526" s="412" t="s">
        <v>686</v>
      </c>
      <c r="G526" s="414"/>
      <c r="H526" s="603"/>
      <c r="I526" s="26"/>
      <c r="J526" s="26"/>
      <c r="K526" s="26"/>
      <c r="L526" s="26"/>
      <c r="M526" s="26"/>
      <c r="N526" s="26"/>
      <c r="O526" s="26"/>
      <c r="P526" s="26"/>
    </row>
    <row r="527" spans="2:16" ht="15.75" customHeight="1">
      <c r="B527" s="33"/>
      <c r="C527" s="529" t="s">
        <v>1343</v>
      </c>
      <c r="D527" s="526" t="s">
        <v>320</v>
      </c>
      <c r="E527" s="598">
        <v>30</v>
      </c>
      <c r="F527" s="528"/>
      <c r="G527" s="432" t="s">
        <v>1344</v>
      </c>
      <c r="H527" s="603"/>
      <c r="I527" s="26"/>
      <c r="J527" s="26"/>
      <c r="K527" s="26"/>
      <c r="L527" s="26"/>
      <c r="M527" s="26"/>
      <c r="N527" s="26"/>
      <c r="O527" s="26"/>
      <c r="P527" s="26"/>
    </row>
    <row r="528" spans="2:16" ht="15.75" customHeight="1">
      <c r="B528" s="33"/>
      <c r="C528" s="529" t="s">
        <v>1345</v>
      </c>
      <c r="D528" s="526" t="s">
        <v>320</v>
      </c>
      <c r="E528" s="598">
        <v>30</v>
      </c>
      <c r="F528" s="528"/>
      <c r="G528" s="432" t="s">
        <v>1346</v>
      </c>
      <c r="H528" s="603"/>
      <c r="I528" s="26"/>
      <c r="J528" s="26"/>
      <c r="K528" s="26"/>
      <c r="L528" s="26"/>
      <c r="M528" s="26"/>
      <c r="N528" s="26"/>
      <c r="O528" s="26"/>
      <c r="P528" s="26"/>
    </row>
    <row r="529" spans="2:16" ht="15.75" customHeight="1">
      <c r="B529" s="33"/>
      <c r="C529" s="529" t="s">
        <v>1347</v>
      </c>
      <c r="D529" s="526" t="s">
        <v>320</v>
      </c>
      <c r="E529" s="598">
        <v>30</v>
      </c>
      <c r="F529" s="528"/>
      <c r="G529" s="432" t="s">
        <v>1348</v>
      </c>
      <c r="H529" s="603"/>
      <c r="I529" s="26"/>
      <c r="J529" s="26"/>
      <c r="K529" s="26"/>
      <c r="L529" s="26"/>
      <c r="M529" s="26"/>
      <c r="N529" s="26"/>
      <c r="O529" s="26"/>
      <c r="P529" s="26"/>
    </row>
    <row r="530" spans="2:16" ht="15.75" customHeight="1">
      <c r="B530" s="33"/>
      <c r="C530" s="529"/>
      <c r="D530" s="526"/>
      <c r="E530" s="598"/>
      <c r="F530" s="528"/>
      <c r="G530" s="432"/>
      <c r="H530" s="603"/>
      <c r="I530" s="26"/>
      <c r="J530" s="26"/>
      <c r="K530" s="26"/>
      <c r="L530" s="26"/>
      <c r="M530" s="26"/>
      <c r="N530" s="26"/>
      <c r="O530" s="26"/>
      <c r="P530" s="26"/>
    </row>
    <row r="531" spans="2:16" ht="15.75" customHeight="1">
      <c r="B531" s="33"/>
      <c r="C531" s="529" t="s">
        <v>1349</v>
      </c>
      <c r="D531" s="526" t="s">
        <v>336</v>
      </c>
      <c r="E531" s="501">
        <v>500</v>
      </c>
      <c r="F531" s="528"/>
      <c r="G531" s="432" t="s">
        <v>1350</v>
      </c>
      <c r="H531" s="603"/>
      <c r="I531" s="26"/>
      <c r="J531" s="26"/>
      <c r="K531" s="26"/>
      <c r="L531" s="26"/>
      <c r="M531" s="26"/>
      <c r="N531" s="26"/>
      <c r="O531" s="26"/>
      <c r="P531" s="26"/>
    </row>
    <row r="532" spans="2:16" ht="15.75" customHeight="1">
      <c r="B532" s="33"/>
      <c r="C532" s="176"/>
      <c r="D532" s="140"/>
      <c r="E532" s="250"/>
      <c r="F532" s="409"/>
      <c r="G532" s="414"/>
      <c r="H532" s="603"/>
      <c r="I532" s="26"/>
      <c r="J532" s="26"/>
      <c r="K532" s="26"/>
      <c r="L532" s="26"/>
      <c r="M532" s="26"/>
      <c r="N532" s="26"/>
      <c r="O532" s="26"/>
      <c r="P532" s="26"/>
    </row>
    <row r="533" spans="2:16" ht="15.75" customHeight="1">
      <c r="B533" s="33"/>
      <c r="C533" s="590" t="s">
        <v>1351</v>
      </c>
      <c r="D533" s="591" t="s">
        <v>1316</v>
      </c>
      <c r="E533" s="592">
        <f>E69</f>
        <v>18</v>
      </c>
      <c r="F533" s="593"/>
      <c r="G533" s="594"/>
      <c r="H533" s="603"/>
      <c r="I533" s="26"/>
      <c r="J533" s="26"/>
      <c r="K533" s="26"/>
      <c r="L533" s="26"/>
      <c r="M533" s="26"/>
      <c r="N533" s="26"/>
      <c r="O533" s="26"/>
      <c r="P533" s="26"/>
    </row>
    <row r="534" spans="2:16" ht="15.75" customHeight="1">
      <c r="B534" s="33"/>
      <c r="C534" s="411"/>
      <c r="D534" s="557" t="s">
        <v>317</v>
      </c>
      <c r="E534" s="250" t="s">
        <v>212</v>
      </c>
      <c r="F534" s="412" t="s">
        <v>686</v>
      </c>
      <c r="G534" s="615"/>
      <c r="H534" s="603"/>
      <c r="I534" s="26"/>
      <c r="J534" s="26"/>
      <c r="K534" s="26"/>
      <c r="L534" s="26"/>
      <c r="M534" s="26"/>
      <c r="N534" s="26"/>
      <c r="O534" s="26"/>
      <c r="P534" s="26"/>
    </row>
    <row r="535" spans="2:16" ht="15.75" customHeight="1">
      <c r="B535" s="33"/>
      <c r="C535" s="529" t="s">
        <v>1352</v>
      </c>
      <c r="D535" s="526" t="s">
        <v>328</v>
      </c>
      <c r="E535" s="595">
        <v>0.03</v>
      </c>
      <c r="F535" s="528"/>
      <c r="G535" s="432" t="s">
        <v>1353</v>
      </c>
      <c r="H535" s="603"/>
      <c r="I535" s="26"/>
      <c r="J535" s="26"/>
      <c r="K535" s="26"/>
      <c r="L535" s="26"/>
      <c r="M535" s="26"/>
      <c r="N535" s="26"/>
      <c r="O535" s="26"/>
      <c r="P535" s="26"/>
    </row>
    <row r="536" spans="2:16" ht="15.75" customHeight="1">
      <c r="B536" s="33"/>
      <c r="C536" s="529" t="s">
        <v>1190</v>
      </c>
      <c r="D536" s="526" t="s">
        <v>328</v>
      </c>
      <c r="E536" s="595">
        <f>E387</f>
        <v>3.1E-2</v>
      </c>
      <c r="F536" s="528"/>
      <c r="G536" s="432" t="s">
        <v>1354</v>
      </c>
      <c r="H536" s="603"/>
      <c r="I536" s="26"/>
      <c r="J536" s="26"/>
      <c r="K536" s="26"/>
      <c r="L536" s="26"/>
      <c r="M536" s="26"/>
      <c r="N536" s="26"/>
      <c r="O536" s="26"/>
      <c r="P536" s="26"/>
    </row>
    <row r="537" spans="2:16" ht="15.75" customHeight="1">
      <c r="B537" s="33"/>
      <c r="C537" s="529" t="s">
        <v>1355</v>
      </c>
      <c r="D537" s="526" t="s">
        <v>328</v>
      </c>
      <c r="E537" s="595">
        <f>E535</f>
        <v>0.03</v>
      </c>
      <c r="F537" s="528"/>
      <c r="G537" s="432" t="s">
        <v>1209</v>
      </c>
      <c r="H537" s="603"/>
      <c r="I537" s="26"/>
      <c r="J537" s="26"/>
      <c r="K537" s="26"/>
      <c r="L537" s="26"/>
      <c r="M537" s="26"/>
      <c r="N537" s="26"/>
      <c r="O537" s="26"/>
      <c r="P537" s="26"/>
    </row>
    <row r="538" spans="2:16" ht="15.75" customHeight="1">
      <c r="B538" s="33"/>
      <c r="C538" s="529" t="s">
        <v>1356</v>
      </c>
      <c r="D538" s="526" t="s">
        <v>328</v>
      </c>
      <c r="E538" s="595">
        <v>0.05</v>
      </c>
      <c r="F538" s="528"/>
      <c r="G538" s="432" t="s">
        <v>1357</v>
      </c>
      <c r="H538" s="603"/>
      <c r="I538" s="26"/>
      <c r="J538" s="26"/>
      <c r="K538" s="26"/>
      <c r="L538" s="26"/>
      <c r="M538" s="26"/>
      <c r="N538" s="26"/>
      <c r="O538" s="26"/>
      <c r="P538" s="26"/>
    </row>
    <row r="539" spans="2:16" ht="15.75" customHeight="1">
      <c r="B539" s="33"/>
      <c r="C539" s="529" t="s">
        <v>807</v>
      </c>
      <c r="D539" s="526" t="s">
        <v>328</v>
      </c>
      <c r="E539" s="595">
        <f>E35</f>
        <v>3.5000000000000003E-2</v>
      </c>
      <c r="F539" s="528"/>
      <c r="G539" s="432" t="s">
        <v>1358</v>
      </c>
      <c r="H539" s="603"/>
      <c r="I539" s="26"/>
      <c r="J539" s="26"/>
      <c r="K539" s="26"/>
      <c r="L539" s="26"/>
      <c r="M539" s="26"/>
      <c r="N539" s="26"/>
      <c r="O539" s="26"/>
      <c r="P539" s="26"/>
    </row>
    <row r="540" spans="2:16" ht="15.75" customHeight="1">
      <c r="B540" s="33"/>
      <c r="C540" s="529" t="s">
        <v>1104</v>
      </c>
      <c r="D540" s="526" t="s">
        <v>328</v>
      </c>
      <c r="E540" s="595">
        <f>E315</f>
        <v>0.03</v>
      </c>
      <c r="F540" s="528"/>
      <c r="G540" s="432" t="s">
        <v>1359</v>
      </c>
      <c r="H540" s="603"/>
      <c r="I540" s="26"/>
      <c r="J540" s="26"/>
      <c r="K540" s="26"/>
      <c r="L540" s="26"/>
      <c r="M540" s="26"/>
      <c r="N540" s="26"/>
      <c r="O540" s="26"/>
      <c r="P540" s="26"/>
    </row>
    <row r="541" spans="2:16" ht="15.75" customHeight="1">
      <c r="B541" s="33"/>
      <c r="C541" s="529" t="s">
        <v>1130</v>
      </c>
      <c r="D541" s="526" t="s">
        <v>328</v>
      </c>
      <c r="E541" s="595">
        <f>E333</f>
        <v>0.03</v>
      </c>
      <c r="F541" s="528"/>
      <c r="G541" s="432" t="s">
        <v>1360</v>
      </c>
      <c r="H541" s="603"/>
      <c r="I541" s="26"/>
      <c r="J541" s="26"/>
      <c r="K541" s="26"/>
      <c r="L541" s="26"/>
      <c r="M541" s="26"/>
      <c r="N541" s="26"/>
      <c r="O541" s="26"/>
      <c r="P541" s="26"/>
    </row>
    <row r="542" spans="2:16" ht="15.75" customHeight="1">
      <c r="B542" s="33"/>
      <c r="C542" s="529" t="s">
        <v>1155</v>
      </c>
      <c r="D542" s="526" t="s">
        <v>328</v>
      </c>
      <c r="E542" s="595">
        <f>E349</f>
        <v>2.5000000000000001E-2</v>
      </c>
      <c r="F542" s="528"/>
      <c r="G542" s="432" t="s">
        <v>1361</v>
      </c>
      <c r="H542" s="603"/>
      <c r="I542" s="26"/>
      <c r="J542" s="26"/>
      <c r="K542" s="26"/>
      <c r="L542" s="26"/>
      <c r="M542" s="26"/>
      <c r="N542" s="26"/>
      <c r="O542" s="26"/>
      <c r="P542" s="26"/>
    </row>
    <row r="543" spans="2:16" ht="15.75" customHeight="1">
      <c r="B543" s="33"/>
      <c r="C543" s="26"/>
      <c r="D543" s="26"/>
      <c r="E543" s="176"/>
      <c r="F543" s="26"/>
      <c r="G543" s="616"/>
      <c r="H543" s="603"/>
      <c r="I543" s="26"/>
      <c r="J543" s="26"/>
      <c r="K543" s="26"/>
      <c r="L543" s="26"/>
      <c r="M543" s="26"/>
      <c r="N543" s="26"/>
      <c r="O543" s="26"/>
      <c r="P543" s="26"/>
    </row>
    <row r="544" spans="2:16" ht="15.75" customHeight="1">
      <c r="B544" s="33"/>
      <c r="C544" s="26"/>
      <c r="D544" s="26"/>
      <c r="E544" s="176"/>
      <c r="F544" s="26"/>
      <c r="G544" s="616"/>
      <c r="H544" s="603"/>
      <c r="I544" s="26"/>
      <c r="J544" s="26"/>
      <c r="K544" s="26"/>
      <c r="L544" s="26"/>
      <c r="M544" s="26"/>
      <c r="N544" s="26"/>
      <c r="O544" s="26"/>
      <c r="P544" s="26"/>
    </row>
    <row r="545" spans="2:16" ht="15.75" customHeight="1">
      <c r="B545" s="33"/>
      <c r="C545" s="617"/>
      <c r="D545" s="618"/>
      <c r="E545" s="619"/>
      <c r="F545" s="620"/>
      <c r="G545" s="621"/>
      <c r="H545" s="603"/>
      <c r="I545" s="26"/>
      <c r="J545" s="26"/>
      <c r="K545" s="26"/>
      <c r="L545" s="26"/>
      <c r="M545" s="26"/>
      <c r="N545" s="26"/>
      <c r="O545" s="26"/>
      <c r="P545" s="26"/>
    </row>
    <row r="546" spans="2:16" ht="15.75" customHeight="1">
      <c r="B546" s="33"/>
      <c r="C546" s="411"/>
      <c r="D546" s="557"/>
      <c r="E546" s="250"/>
      <c r="F546" s="412"/>
      <c r="G546" s="615"/>
      <c r="H546" s="603"/>
      <c r="I546" s="26"/>
      <c r="J546" s="26"/>
      <c r="K546" s="26"/>
      <c r="L546" s="26"/>
      <c r="M546" s="26"/>
      <c r="N546" s="26"/>
      <c r="O546" s="26"/>
      <c r="P546" s="26"/>
    </row>
    <row r="547" spans="2:16" ht="15.75" customHeight="1">
      <c r="B547" s="33"/>
      <c r="C547" s="529"/>
      <c r="D547" s="526"/>
      <c r="E547" s="622"/>
      <c r="F547" s="528"/>
      <c r="G547" s="432"/>
      <c r="H547" s="603"/>
      <c r="I547" s="26"/>
      <c r="J547" s="26"/>
      <c r="K547" s="26"/>
      <c r="L547" s="26"/>
      <c r="M547" s="26"/>
      <c r="N547" s="26"/>
      <c r="O547" s="26"/>
      <c r="P547" s="26"/>
    </row>
    <row r="548" spans="2:16" ht="15.75" customHeight="1">
      <c r="B548" s="33"/>
      <c r="C548" s="529"/>
      <c r="D548" s="526"/>
      <c r="E548" s="622"/>
      <c r="F548" s="528"/>
      <c r="G548" s="432"/>
      <c r="H548" s="603"/>
      <c r="I548" s="26"/>
      <c r="J548" s="26"/>
      <c r="K548" s="26"/>
      <c r="L548" s="26"/>
      <c r="M548" s="26"/>
      <c r="N548" s="26"/>
      <c r="O548" s="26"/>
      <c r="P548" s="26"/>
    </row>
    <row r="549" spans="2:16" ht="15.75" customHeight="1">
      <c r="B549" s="33"/>
      <c r="C549" s="529"/>
      <c r="D549" s="526"/>
      <c r="E549" s="622"/>
      <c r="F549" s="528"/>
      <c r="G549" s="432"/>
      <c r="H549" s="603"/>
      <c r="I549" s="26"/>
      <c r="J549" s="26"/>
      <c r="K549" s="26"/>
      <c r="L549" s="26"/>
      <c r="M549" s="26"/>
      <c r="N549" s="26"/>
      <c r="O549" s="26"/>
      <c r="P549" s="26"/>
    </row>
    <row r="550" spans="2:16" ht="15.75" customHeight="1">
      <c r="B550" s="33"/>
      <c r="C550" s="529"/>
      <c r="D550" s="526"/>
      <c r="E550" s="623"/>
      <c r="F550" s="528"/>
      <c r="G550" s="432"/>
      <c r="H550" s="603"/>
      <c r="I550" s="26"/>
      <c r="J550" s="26"/>
      <c r="K550" s="26"/>
      <c r="L550" s="26"/>
      <c r="M550" s="26"/>
      <c r="N550" s="26"/>
      <c r="O550" s="26"/>
      <c r="P550" s="26"/>
    </row>
    <row r="551" spans="2:16" ht="15.75" customHeight="1">
      <c r="B551" s="33"/>
      <c r="C551" s="529"/>
      <c r="D551" s="526"/>
      <c r="E551" s="623"/>
      <c r="F551" s="528"/>
      <c r="G551" s="432"/>
      <c r="H551" s="603"/>
      <c r="I551" s="26"/>
      <c r="J551" s="26"/>
      <c r="K551" s="26"/>
      <c r="L551" s="26"/>
      <c r="M551" s="26"/>
      <c r="N551" s="26"/>
      <c r="O551" s="26"/>
      <c r="P551" s="26"/>
    </row>
    <row r="552" spans="2:16" ht="15.75" customHeight="1">
      <c r="B552" s="33"/>
      <c r="C552" s="26"/>
      <c r="D552" s="26"/>
      <c r="E552" s="176"/>
      <c r="F552" s="26"/>
      <c r="G552" s="616"/>
      <c r="H552" s="603"/>
      <c r="I552" s="26"/>
      <c r="J552" s="26"/>
      <c r="K552" s="26"/>
      <c r="L552" s="26"/>
      <c r="M552" s="26"/>
      <c r="N552" s="26"/>
      <c r="O552" s="26"/>
      <c r="P552" s="26"/>
    </row>
    <row r="553" spans="2:16" ht="15.75" customHeight="1">
      <c r="B553" s="33"/>
      <c r="C553" s="26"/>
      <c r="D553" s="26"/>
      <c r="E553" s="176"/>
      <c r="F553" s="26"/>
      <c r="G553" s="616"/>
      <c r="H553" s="603"/>
      <c r="I553" s="26"/>
      <c r="J553" s="26"/>
      <c r="K553" s="26"/>
      <c r="L553" s="26"/>
      <c r="M553" s="26"/>
      <c r="N553" s="26"/>
      <c r="O553" s="26"/>
      <c r="P553" s="26"/>
    </row>
    <row r="554" spans="2:16" ht="15.75" customHeight="1">
      <c r="B554" s="33"/>
      <c r="C554" s="617"/>
      <c r="D554" s="618"/>
      <c r="E554" s="619"/>
      <c r="F554" s="620"/>
      <c r="G554" s="621"/>
      <c r="H554" s="603"/>
      <c r="I554" s="26"/>
      <c r="J554" s="26"/>
      <c r="K554" s="26"/>
      <c r="L554" s="26"/>
      <c r="M554" s="26"/>
      <c r="N554" s="26"/>
      <c r="O554" s="26"/>
      <c r="P554" s="26"/>
    </row>
    <row r="555" spans="2:16" ht="15.75" customHeight="1">
      <c r="B555" s="33"/>
      <c r="C555" s="411"/>
      <c r="D555" s="557"/>
      <c r="E555" s="250"/>
      <c r="F555" s="412"/>
      <c r="G555" s="615"/>
      <c r="H555" s="603"/>
      <c r="I555" s="26"/>
      <c r="J555" s="26"/>
      <c r="K555" s="26"/>
      <c r="L555" s="26"/>
      <c r="M555" s="26"/>
      <c r="N555" s="26"/>
      <c r="O555" s="26"/>
      <c r="P555" s="26"/>
    </row>
    <row r="556" spans="2:16" ht="15.75" customHeight="1">
      <c r="B556" s="33"/>
      <c r="C556" s="529"/>
      <c r="D556" s="526"/>
      <c r="E556" s="624"/>
      <c r="F556" s="528"/>
      <c r="G556" s="432"/>
      <c r="H556" s="603"/>
      <c r="I556" s="26"/>
      <c r="J556" s="26"/>
      <c r="K556" s="26"/>
      <c r="L556" s="26"/>
      <c r="M556" s="26"/>
      <c r="N556" s="26"/>
      <c r="O556" s="26"/>
      <c r="P556" s="26"/>
    </row>
    <row r="557" spans="2:16" ht="15.75" customHeight="1">
      <c r="B557" s="33"/>
      <c r="C557" s="529"/>
      <c r="D557" s="526"/>
      <c r="E557" s="624"/>
      <c r="F557" s="528"/>
      <c r="G557" s="432"/>
      <c r="H557" s="603"/>
      <c r="I557" s="26"/>
      <c r="J557" s="26"/>
      <c r="K557" s="26"/>
      <c r="L557" s="26"/>
      <c r="M557" s="26"/>
      <c r="N557" s="26"/>
      <c r="O557" s="26"/>
      <c r="P557" s="26"/>
    </row>
    <row r="558" spans="2:16" ht="15.75" customHeight="1">
      <c r="B558" s="33"/>
      <c r="C558" s="529"/>
      <c r="D558" s="526"/>
      <c r="E558" s="623"/>
      <c r="F558" s="528"/>
      <c r="G558" s="432"/>
      <c r="H558" s="603"/>
      <c r="I558" s="26"/>
      <c r="J558" s="26"/>
      <c r="K558" s="26"/>
      <c r="L558" s="26"/>
      <c r="M558" s="26"/>
      <c r="N558" s="26"/>
      <c r="O558" s="26"/>
      <c r="P558" s="26"/>
    </row>
    <row r="559" spans="2:16" ht="15.75" customHeight="1">
      <c r="B559" s="33"/>
      <c r="C559" s="529"/>
      <c r="D559" s="526"/>
      <c r="E559" s="624"/>
      <c r="F559" s="528"/>
      <c r="G559" s="432"/>
      <c r="H559" s="603"/>
      <c r="I559" s="26"/>
      <c r="J559" s="26"/>
      <c r="K559" s="26"/>
      <c r="L559" s="26"/>
      <c r="M559" s="26"/>
      <c r="N559" s="26"/>
      <c r="O559" s="26"/>
      <c r="P559" s="26"/>
    </row>
    <row r="560" spans="2:16" ht="15.75" customHeight="1">
      <c r="B560" s="33"/>
      <c r="C560" s="529"/>
      <c r="D560" s="526"/>
      <c r="E560" s="624"/>
      <c r="F560" s="528"/>
      <c r="G560" s="432"/>
      <c r="H560" s="603"/>
      <c r="I560" s="26"/>
      <c r="J560" s="26"/>
      <c r="K560" s="26"/>
      <c r="L560" s="26"/>
      <c r="M560" s="26"/>
      <c r="N560" s="26"/>
      <c r="O560" s="26"/>
      <c r="P560" s="26"/>
    </row>
    <row r="561" spans="2:16" ht="15.75" customHeight="1">
      <c r="B561" s="33"/>
      <c r="C561" s="26"/>
      <c r="D561" s="26"/>
      <c r="E561" s="176"/>
      <c r="F561" s="26"/>
      <c r="G561" s="616"/>
      <c r="H561" s="603"/>
      <c r="I561" s="26"/>
      <c r="J561" s="26"/>
      <c r="K561" s="26"/>
      <c r="L561" s="26"/>
      <c r="M561" s="26"/>
      <c r="N561" s="26"/>
      <c r="O561" s="26"/>
      <c r="P561" s="26"/>
    </row>
    <row r="562" spans="2:16" ht="15.75" customHeight="1">
      <c r="B562" s="33"/>
      <c r="C562" s="26"/>
      <c r="D562" s="26"/>
      <c r="E562" s="176"/>
      <c r="F562" s="26"/>
      <c r="G562" s="616"/>
      <c r="H562" s="603"/>
      <c r="I562" s="26"/>
      <c r="J562" s="26"/>
      <c r="K562" s="26"/>
      <c r="L562" s="26"/>
      <c r="M562" s="26"/>
      <c r="N562" s="26"/>
      <c r="O562" s="26"/>
      <c r="P562" s="26"/>
    </row>
    <row r="563" spans="2:16" ht="15.75" customHeight="1">
      <c r="B563" s="33"/>
      <c r="C563" s="590" t="s">
        <v>1362</v>
      </c>
      <c r="D563" s="591"/>
      <c r="E563" s="592"/>
      <c r="F563" s="593"/>
      <c r="G563" s="594"/>
      <c r="H563" s="603"/>
      <c r="I563" s="26"/>
      <c r="J563" s="26"/>
      <c r="K563" s="26"/>
      <c r="L563" s="26"/>
      <c r="M563" s="26"/>
      <c r="N563" s="26"/>
      <c r="O563" s="26"/>
      <c r="P563" s="26"/>
    </row>
    <row r="564" spans="2:16" ht="15.75" customHeight="1">
      <c r="B564" s="33"/>
      <c r="C564" s="411"/>
      <c r="D564" s="557" t="s">
        <v>317</v>
      </c>
      <c r="E564" s="250" t="s">
        <v>212</v>
      </c>
      <c r="F564" s="412" t="s">
        <v>686</v>
      </c>
      <c r="G564" s="615"/>
      <c r="H564" s="603"/>
      <c r="I564" s="26"/>
      <c r="J564" s="26"/>
      <c r="K564" s="26"/>
      <c r="L564" s="26"/>
      <c r="M564" s="26"/>
      <c r="N564" s="26"/>
      <c r="O564" s="26"/>
      <c r="P564" s="26"/>
    </row>
    <row r="565" spans="2:16" ht="15.75" customHeight="1">
      <c r="B565" s="33"/>
      <c r="C565" s="529" t="s">
        <v>1363</v>
      </c>
      <c r="D565" s="526" t="s">
        <v>336</v>
      </c>
      <c r="E565" s="501">
        <v>15000</v>
      </c>
      <c r="F565" s="528"/>
      <c r="G565" s="432" t="s">
        <v>1364</v>
      </c>
      <c r="H565" s="603"/>
      <c r="I565" s="26"/>
      <c r="J565" s="26"/>
      <c r="K565" s="26"/>
      <c r="L565" s="26"/>
      <c r="M565" s="26"/>
      <c r="N565" s="26"/>
      <c r="O565" s="26"/>
      <c r="P565" s="26"/>
    </row>
    <row r="566" spans="2:16" ht="15.75" customHeight="1">
      <c r="B566" s="33"/>
      <c r="C566" s="529" t="s">
        <v>1365</v>
      </c>
      <c r="D566" s="526" t="s">
        <v>336</v>
      </c>
      <c r="E566" s="501">
        <v>10000</v>
      </c>
      <c r="F566" s="528"/>
      <c r="G566" s="432" t="s">
        <v>1366</v>
      </c>
      <c r="H566" s="603"/>
      <c r="I566" s="26"/>
      <c r="J566" s="26"/>
      <c r="K566" s="26"/>
      <c r="L566" s="26"/>
      <c r="M566" s="26"/>
      <c r="N566" s="26"/>
      <c r="O566" s="26"/>
      <c r="P566" s="26"/>
    </row>
    <row r="567" spans="2:16" ht="15.75" customHeight="1">
      <c r="B567" s="33"/>
      <c r="C567" s="529" t="s">
        <v>1367</v>
      </c>
      <c r="D567" s="526" t="s">
        <v>336</v>
      </c>
      <c r="E567" s="501">
        <v>8000</v>
      </c>
      <c r="F567" s="528"/>
      <c r="G567" s="432" t="s">
        <v>1368</v>
      </c>
      <c r="H567" s="603"/>
      <c r="I567" s="26"/>
      <c r="J567" s="26"/>
      <c r="K567" s="26"/>
      <c r="L567" s="26"/>
      <c r="M567" s="26"/>
      <c r="N567" s="26"/>
      <c r="O567" s="26"/>
      <c r="P567" s="26"/>
    </row>
    <row r="568" spans="2:16" ht="15.75" customHeight="1">
      <c r="B568" s="33"/>
      <c r="C568" s="529" t="s">
        <v>1369</v>
      </c>
      <c r="D568" s="526" t="s">
        <v>336</v>
      </c>
      <c r="E568" s="501">
        <v>50000</v>
      </c>
      <c r="F568" s="528"/>
      <c r="G568" s="432" t="s">
        <v>1370</v>
      </c>
      <c r="H568" s="603"/>
      <c r="I568" s="26"/>
      <c r="J568" s="26"/>
      <c r="K568" s="26"/>
      <c r="L568" s="26"/>
      <c r="M568" s="26"/>
      <c r="N568" s="26"/>
      <c r="O568" s="26"/>
      <c r="P568" s="26"/>
    </row>
    <row r="569" spans="2:16" ht="15.75" customHeight="1">
      <c r="B569" s="33"/>
      <c r="C569" s="529" t="s">
        <v>1371</v>
      </c>
      <c r="D569" s="526" t="s">
        <v>336</v>
      </c>
      <c r="E569" s="501">
        <v>5000</v>
      </c>
      <c r="F569" s="528"/>
      <c r="G569" s="432" t="s">
        <v>1372</v>
      </c>
      <c r="H569" s="603"/>
      <c r="I569" s="26"/>
      <c r="J569" s="26"/>
      <c r="K569" s="26"/>
      <c r="L569" s="26"/>
      <c r="M569" s="26"/>
      <c r="N569" s="26"/>
      <c r="O569" s="26"/>
      <c r="P569" s="26"/>
    </row>
    <row r="570" spans="2:16" ht="15.75" customHeight="1">
      <c r="B570" s="33"/>
      <c r="C570" s="26"/>
      <c r="D570" s="26"/>
      <c r="E570" s="176"/>
      <c r="F570" s="26"/>
      <c r="G570" s="616"/>
      <c r="H570" s="603"/>
      <c r="I570" s="26"/>
      <c r="J570" s="26"/>
      <c r="K570" s="26"/>
      <c r="L570" s="26"/>
      <c r="M570" s="26"/>
      <c r="N570" s="26"/>
      <c r="O570" s="26"/>
      <c r="P570" s="26"/>
    </row>
    <row r="571" spans="2:16" ht="15.75" customHeight="1">
      <c r="B571" s="33"/>
      <c r="C571" s="26"/>
      <c r="D571" s="26"/>
      <c r="E571" s="176"/>
      <c r="F571" s="26"/>
      <c r="G571" s="616"/>
      <c r="H571" s="603"/>
      <c r="I571" s="26"/>
      <c r="J571" s="26"/>
      <c r="K571" s="26"/>
      <c r="L571" s="26"/>
      <c r="M571" s="26"/>
      <c r="N571" s="26"/>
      <c r="O571" s="26"/>
      <c r="P571" s="26"/>
    </row>
    <row r="572" spans="2:16" ht="15.75" customHeight="1">
      <c r="B572" s="33"/>
      <c r="C572" s="590" t="s">
        <v>1373</v>
      </c>
      <c r="D572" s="591"/>
      <c r="E572" s="592"/>
      <c r="F572" s="593"/>
      <c r="G572" s="594"/>
      <c r="H572" s="603"/>
      <c r="I572" s="26"/>
      <c r="J572" s="26"/>
      <c r="K572" s="26"/>
      <c r="L572" s="26"/>
      <c r="M572" s="26"/>
      <c r="N572" s="26"/>
      <c r="O572" s="26"/>
      <c r="P572" s="26"/>
    </row>
    <row r="573" spans="2:16" ht="15.75" customHeight="1">
      <c r="B573" s="33"/>
      <c r="C573" s="411"/>
      <c r="D573" s="557"/>
      <c r="E573" s="250"/>
      <c r="F573" s="412"/>
      <c r="G573" s="615"/>
      <c r="H573" s="603"/>
      <c r="I573" s="26"/>
      <c r="J573" s="26"/>
      <c r="K573" s="26"/>
      <c r="L573" s="26"/>
      <c r="M573" s="26"/>
      <c r="N573" s="26"/>
      <c r="O573" s="26"/>
      <c r="P573" s="26"/>
    </row>
    <row r="574" spans="2:16" ht="15.75" customHeight="1">
      <c r="B574" s="33"/>
      <c r="C574" s="529"/>
      <c r="D574" s="526"/>
      <c r="E574" s="598"/>
      <c r="F574" s="528"/>
      <c r="G574" s="432"/>
      <c r="H574" s="603"/>
      <c r="I574" s="26"/>
      <c r="J574" s="26"/>
      <c r="K574" s="26"/>
      <c r="L574" s="26"/>
      <c r="M574" s="26"/>
      <c r="N574" s="26"/>
      <c r="O574" s="26"/>
      <c r="P574" s="26"/>
    </row>
    <row r="575" spans="2:16" ht="15.75" customHeight="1">
      <c r="B575" s="33"/>
      <c r="C575" s="529"/>
      <c r="D575" s="526"/>
      <c r="E575" s="598"/>
      <c r="F575" s="528"/>
      <c r="G575" s="432"/>
      <c r="H575" s="603"/>
      <c r="I575" s="26"/>
      <c r="J575" s="26"/>
      <c r="K575" s="26"/>
      <c r="L575" s="26"/>
      <c r="M575" s="26"/>
      <c r="N575" s="26"/>
      <c r="O575" s="26"/>
      <c r="P575" s="26"/>
    </row>
    <row r="576" spans="2:16" ht="15.75" customHeight="1">
      <c r="B576" s="33"/>
      <c r="C576" s="529"/>
      <c r="D576" s="526"/>
      <c r="E576" s="598"/>
      <c r="F576" s="528"/>
      <c r="G576" s="432"/>
      <c r="H576" s="603"/>
      <c r="I576" s="26"/>
      <c r="J576" s="26"/>
      <c r="K576" s="26"/>
      <c r="L576" s="26"/>
      <c r="M576" s="26"/>
      <c r="N576" s="26"/>
      <c r="O576" s="26"/>
      <c r="P576" s="26"/>
    </row>
    <row r="577" spans="2:22" ht="15.75" customHeight="1">
      <c r="B577" s="33"/>
      <c r="C577" s="529"/>
      <c r="D577" s="526"/>
      <c r="E577" s="598"/>
      <c r="F577" s="528"/>
      <c r="G577" s="432"/>
      <c r="H577" s="603"/>
      <c r="I577" s="26"/>
      <c r="J577" s="26"/>
      <c r="K577" s="26"/>
      <c r="L577" s="26"/>
      <c r="M577" s="26"/>
      <c r="N577" s="26"/>
      <c r="O577" s="26"/>
      <c r="P577" s="26"/>
    </row>
    <row r="578" spans="2:22" ht="15.75" customHeight="1">
      <c r="B578" s="33"/>
      <c r="C578" s="529" t="s">
        <v>1374</v>
      </c>
      <c r="D578" s="526" t="s">
        <v>1375</v>
      </c>
      <c r="E578" s="598" t="s">
        <v>1376</v>
      </c>
      <c r="F578" s="528"/>
      <c r="G578" s="432" t="s">
        <v>1377</v>
      </c>
      <c r="H578" s="603"/>
      <c r="I578" s="26"/>
      <c r="J578" s="26"/>
      <c r="K578" s="26"/>
      <c r="L578" s="26"/>
      <c r="M578" s="26"/>
      <c r="N578" s="26"/>
      <c r="O578" s="26"/>
      <c r="P578" s="26"/>
    </row>
    <row r="579" spans="2:22" ht="15.75" customHeight="1">
      <c r="B579" s="33"/>
      <c r="C579" s="529"/>
      <c r="D579" s="526"/>
      <c r="E579" s="502"/>
      <c r="F579" s="528"/>
      <c r="G579" s="432"/>
      <c r="H579" s="603"/>
      <c r="I579" s="26"/>
      <c r="J579" s="26"/>
      <c r="K579" s="26"/>
      <c r="L579" s="26"/>
      <c r="M579" s="26"/>
      <c r="N579" s="26"/>
      <c r="O579" s="26"/>
      <c r="P579" s="26"/>
    </row>
    <row r="580" spans="2:22" ht="15.75" customHeight="1">
      <c r="B580" s="33"/>
      <c r="C580" s="411"/>
      <c r="D580" s="557"/>
      <c r="E580" s="250"/>
      <c r="F580" s="412"/>
      <c r="G580" s="615"/>
      <c r="H580" s="603"/>
      <c r="I580" s="26"/>
      <c r="J580" s="26"/>
      <c r="K580" s="26"/>
      <c r="L580" s="26"/>
      <c r="M580" s="26"/>
      <c r="N580" s="26"/>
      <c r="O580" s="26"/>
      <c r="P580" s="26"/>
    </row>
    <row r="581" spans="2:22" ht="15.75" customHeight="1">
      <c r="B581" s="33"/>
      <c r="C581" s="411"/>
      <c r="D581" s="557"/>
      <c r="E581" s="250"/>
      <c r="F581" s="412"/>
      <c r="G581" s="615"/>
      <c r="H581" s="603"/>
      <c r="I581" s="26"/>
      <c r="J581" s="26"/>
      <c r="K581" s="26"/>
      <c r="L581" s="26"/>
      <c r="M581" s="26"/>
      <c r="N581" s="26"/>
      <c r="O581" s="26"/>
      <c r="P581" s="26"/>
    </row>
    <row r="582" spans="2:22" ht="15.75" customHeight="1">
      <c r="B582" s="33"/>
      <c r="C582" s="590"/>
      <c r="D582" s="591"/>
      <c r="E582" s="592"/>
      <c r="F582" s="593"/>
      <c r="G582" s="594"/>
      <c r="H582" s="603"/>
      <c r="I582" s="26"/>
      <c r="J582" s="26"/>
      <c r="K582" s="26"/>
      <c r="L582" s="26"/>
      <c r="M582" s="26"/>
      <c r="N582" s="26"/>
      <c r="O582" s="26"/>
      <c r="P582" s="26"/>
    </row>
    <row r="583" spans="2:22" ht="15.75" customHeight="1">
      <c r="B583" s="33"/>
      <c r="C583" s="411"/>
      <c r="D583" s="557"/>
      <c r="E583" s="250"/>
      <c r="F583" s="412"/>
      <c r="G583" s="615"/>
      <c r="H583" s="603"/>
      <c r="I583" s="26"/>
      <c r="J583" s="26"/>
      <c r="K583" s="26"/>
      <c r="L583" s="26"/>
      <c r="M583" s="26"/>
      <c r="N583" s="26"/>
      <c r="O583" s="26"/>
      <c r="P583" s="26"/>
    </row>
    <row r="584" spans="2:22" ht="15.75" customHeight="1">
      <c r="B584" s="33"/>
      <c r="C584" s="529"/>
      <c r="D584" s="526"/>
      <c r="E584" s="595"/>
      <c r="F584" s="528"/>
      <c r="G584" s="432"/>
      <c r="H584" s="603"/>
      <c r="I584" s="26"/>
      <c r="J584" s="26"/>
      <c r="K584" s="26"/>
      <c r="L584" s="26"/>
      <c r="M584" s="26"/>
      <c r="N584" s="26"/>
      <c r="O584" s="26"/>
      <c r="P584" s="26"/>
    </row>
    <row r="585" spans="2:22" ht="15.75" customHeight="1">
      <c r="B585" s="33"/>
      <c r="C585" s="529"/>
      <c r="D585" s="526"/>
      <c r="E585" s="595"/>
      <c r="F585" s="528"/>
      <c r="G585" s="432"/>
      <c r="H585" s="603"/>
      <c r="I585" s="26"/>
      <c r="J585" s="26"/>
      <c r="K585" s="26"/>
      <c r="L585" s="26"/>
      <c r="M585" s="26"/>
      <c r="N585" s="26"/>
      <c r="O585" s="26"/>
      <c r="P585" s="26"/>
    </row>
    <row r="586" spans="2:22" ht="15" customHeight="1">
      <c r="B586" s="33"/>
      <c r="C586" s="529"/>
      <c r="D586" s="526"/>
      <c r="E586" s="595"/>
      <c r="F586" s="528"/>
      <c r="H586" s="1397" t="s">
        <v>530</v>
      </c>
      <c r="I586" s="1342"/>
      <c r="J586" s="1342"/>
      <c r="K586" s="1342"/>
      <c r="L586" s="1342"/>
      <c r="M586" s="1342"/>
      <c r="N586" s="1342"/>
      <c r="O586" s="1342"/>
      <c r="P586" s="1342"/>
      <c r="Q586" s="1342"/>
      <c r="R586" s="1342"/>
      <c r="S586" s="1342"/>
      <c r="T586" s="1342"/>
      <c r="U586" s="1342"/>
      <c r="V586" s="1303"/>
    </row>
    <row r="587" spans="2:22" ht="15.75" customHeight="1">
      <c r="B587" s="33"/>
      <c r="C587" s="529"/>
      <c r="D587" s="526"/>
      <c r="E587" s="595"/>
      <c r="F587" s="528"/>
      <c r="G587" s="432"/>
      <c r="H587" s="603"/>
      <c r="I587" s="26"/>
      <c r="J587" s="26"/>
      <c r="K587" s="26"/>
      <c r="L587" s="26"/>
      <c r="M587" s="26"/>
      <c r="N587" s="26"/>
      <c r="O587" s="26"/>
      <c r="P587" s="26"/>
    </row>
    <row r="588" spans="2:22" ht="15.75" customHeight="1">
      <c r="B588" s="33"/>
      <c r="C588" s="529"/>
      <c r="D588" s="526"/>
      <c r="E588" s="595"/>
      <c r="F588" s="528"/>
      <c r="G588" s="432"/>
      <c r="H588" s="603"/>
      <c r="I588" s="26"/>
      <c r="J588" s="26"/>
      <c r="K588" s="26"/>
      <c r="L588" s="26"/>
      <c r="M588" s="26"/>
      <c r="N588" s="26"/>
      <c r="O588" s="26"/>
      <c r="P588" s="26"/>
    </row>
    <row r="589" spans="2:22" ht="15.75" customHeight="1">
      <c r="B589" s="33"/>
      <c r="C589" s="529"/>
      <c r="D589" s="526"/>
      <c r="E589" s="555"/>
      <c r="F589" s="528"/>
      <c r="G589" s="432"/>
      <c r="H589" s="603"/>
      <c r="I589" s="26"/>
      <c r="J589" s="26"/>
      <c r="K589" s="26"/>
      <c r="L589" s="26"/>
      <c r="M589" s="26"/>
      <c r="N589" s="26"/>
      <c r="O589" s="26"/>
      <c r="P589" s="26"/>
    </row>
    <row r="590" spans="2:22" ht="15.75" customHeight="1">
      <c r="B590" s="33"/>
      <c r="C590" s="411"/>
      <c r="D590" s="557"/>
      <c r="E590" s="250"/>
      <c r="F590" s="412"/>
      <c r="G590" s="615"/>
      <c r="H590" s="603"/>
      <c r="I590" s="26"/>
      <c r="J590" s="26"/>
      <c r="K590" s="26"/>
      <c r="L590" s="26"/>
      <c r="M590" s="26"/>
      <c r="N590" s="26"/>
      <c r="O590" s="26"/>
      <c r="P590" s="26"/>
    </row>
    <row r="591" spans="2:22" ht="15.75" customHeight="1">
      <c r="B591" s="33"/>
      <c r="C591" s="411"/>
      <c r="D591" s="557"/>
      <c r="E591" s="250"/>
      <c r="F591" s="412"/>
      <c r="G591" s="615"/>
      <c r="H591" s="603"/>
      <c r="I591" s="26"/>
      <c r="J591" s="26"/>
      <c r="K591" s="26"/>
      <c r="L591" s="26"/>
      <c r="M591" s="26"/>
      <c r="N591" s="26"/>
      <c r="O591" s="26"/>
      <c r="P591" s="26"/>
    </row>
    <row r="592" spans="2:22" ht="15.75" customHeight="1">
      <c r="B592" s="33"/>
      <c r="C592" s="590"/>
      <c r="D592" s="591"/>
      <c r="E592" s="592"/>
      <c r="F592" s="593"/>
      <c r="G592" s="594"/>
      <c r="H592" s="603"/>
      <c r="I592" s="26"/>
      <c r="J592" s="26"/>
      <c r="K592" s="26"/>
      <c r="L592" s="26"/>
      <c r="M592" s="26"/>
      <c r="N592" s="26"/>
      <c r="O592" s="26"/>
      <c r="P592" s="26"/>
    </row>
    <row r="593" spans="2:16" ht="15.75" customHeight="1">
      <c r="B593" s="33"/>
      <c r="C593" s="411"/>
      <c r="D593" s="557"/>
      <c r="E593" s="250"/>
      <c r="F593" s="412"/>
      <c r="G593" s="615"/>
      <c r="H593" s="603"/>
      <c r="I593" s="26"/>
      <c r="J593" s="26"/>
      <c r="K593" s="26"/>
      <c r="L593" s="26"/>
      <c r="M593" s="26"/>
      <c r="N593" s="26"/>
      <c r="O593" s="26"/>
      <c r="P593" s="26"/>
    </row>
    <row r="594" spans="2:16" ht="15.75" customHeight="1">
      <c r="B594" s="33"/>
      <c r="C594" s="529"/>
      <c r="D594" s="526"/>
      <c r="E594" s="595"/>
      <c r="F594" s="528"/>
      <c r="G594" s="432"/>
      <c r="H594" s="603"/>
      <c r="I594" s="26"/>
      <c r="J594" s="26"/>
      <c r="K594" s="26"/>
      <c r="L594" s="26"/>
      <c r="M594" s="26"/>
      <c r="N594" s="26"/>
      <c r="O594" s="26"/>
      <c r="P594" s="26"/>
    </row>
    <row r="595" spans="2:16" ht="15.75" customHeight="1">
      <c r="B595" s="33"/>
      <c r="C595" s="529"/>
      <c r="D595" s="526"/>
      <c r="E595" s="595"/>
      <c r="F595" s="528"/>
      <c r="G595" s="432"/>
      <c r="H595" s="603"/>
      <c r="I595" s="26"/>
      <c r="J595" s="26"/>
      <c r="K595" s="26"/>
      <c r="L595" s="26"/>
      <c r="M595" s="26"/>
      <c r="N595" s="26"/>
      <c r="O595" s="26"/>
      <c r="P595" s="26"/>
    </row>
    <row r="596" spans="2:16" ht="15.75" customHeight="1">
      <c r="B596" s="33"/>
      <c r="C596" s="529"/>
      <c r="D596" s="526"/>
      <c r="E596" s="625"/>
      <c r="F596" s="528"/>
      <c r="G596" s="432"/>
      <c r="H596" s="603"/>
      <c r="I596" s="26"/>
      <c r="J596" s="26"/>
      <c r="K596" s="26"/>
      <c r="L596" s="26"/>
      <c r="M596" s="26"/>
      <c r="N596" s="26"/>
      <c r="O596" s="26"/>
      <c r="P596" s="26"/>
    </row>
    <row r="597" spans="2:16" ht="15.75" customHeight="1">
      <c r="B597" s="33"/>
      <c r="C597" s="550"/>
      <c r="D597" s="551"/>
      <c r="E597" s="599"/>
      <c r="F597" s="552"/>
      <c r="G597" s="432"/>
      <c r="H597" s="603"/>
      <c r="I597" s="26"/>
      <c r="J597" s="26"/>
      <c r="K597" s="26"/>
      <c r="L597" s="26"/>
      <c r="M597" s="26"/>
      <c r="N597" s="26"/>
      <c r="O597" s="26"/>
      <c r="P597" s="26"/>
    </row>
    <row r="598" spans="2:16" ht="15.75" customHeight="1">
      <c r="B598" s="33"/>
      <c r="C598" s="411"/>
      <c r="D598" s="557"/>
      <c r="E598" s="250"/>
      <c r="F598" s="412"/>
      <c r="G598" s="432"/>
      <c r="H598" s="603"/>
      <c r="I598" s="26"/>
      <c r="J598" s="26"/>
      <c r="K598" s="26"/>
      <c r="L598" s="26"/>
      <c r="M598" s="26"/>
      <c r="N598" s="26"/>
      <c r="O598" s="26"/>
      <c r="P598" s="26"/>
    </row>
    <row r="599" spans="2:16" ht="15.75" customHeight="1">
      <c r="B599" s="33"/>
      <c r="C599" s="411"/>
      <c r="D599" s="557"/>
      <c r="E599" s="250"/>
      <c r="F599" s="412"/>
      <c r="G599" s="432"/>
      <c r="H599" s="603"/>
      <c r="I599" s="26"/>
      <c r="J599" s="26"/>
      <c r="K599" s="26"/>
      <c r="L599" s="26"/>
      <c r="M599" s="26"/>
      <c r="N599" s="26"/>
      <c r="O599" s="26"/>
      <c r="P599" s="26"/>
    </row>
    <row r="600" spans="2:16" ht="15.75" customHeight="1">
      <c r="B600" s="33"/>
      <c r="C600" s="411"/>
      <c r="D600" s="557"/>
      <c r="E600" s="250"/>
      <c r="F600" s="412"/>
      <c r="G600" s="615"/>
      <c r="H600" s="603"/>
      <c r="I600" s="26"/>
      <c r="J600" s="26"/>
      <c r="K600" s="26"/>
      <c r="L600" s="26"/>
      <c r="M600" s="26"/>
      <c r="N600" s="26"/>
      <c r="O600" s="26"/>
      <c r="P600" s="26"/>
    </row>
    <row r="601" spans="2:16" ht="15.75" customHeight="1">
      <c r="B601" s="33"/>
      <c r="C601" s="590" t="s">
        <v>1378</v>
      </c>
      <c r="D601" s="591"/>
      <c r="E601" s="592"/>
      <c r="F601" s="593"/>
      <c r="G601" s="594"/>
      <c r="H601" s="603"/>
      <c r="I601" s="26"/>
      <c r="J601" s="26"/>
      <c r="K601" s="26"/>
      <c r="L601" s="26"/>
      <c r="M601" s="26"/>
      <c r="N601" s="26"/>
      <c r="O601" s="26"/>
      <c r="P601" s="26"/>
    </row>
    <row r="602" spans="2:16" ht="15.75" customHeight="1">
      <c r="B602" s="33"/>
      <c r="C602" s="26"/>
      <c r="D602" s="26"/>
      <c r="E602" s="176"/>
      <c r="F602" s="26"/>
      <c r="G602" s="616"/>
      <c r="H602" s="603"/>
      <c r="I602" s="26"/>
      <c r="J602" s="26"/>
      <c r="K602" s="26"/>
      <c r="L602" s="26"/>
      <c r="M602" s="26"/>
      <c r="N602" s="26"/>
      <c r="O602" s="26"/>
      <c r="P602" s="26"/>
    </row>
    <row r="603" spans="2:16" ht="15.75" customHeight="1">
      <c r="B603" s="33"/>
      <c r="C603" s="411" t="s">
        <v>751</v>
      </c>
      <c r="D603" s="557" t="s">
        <v>317</v>
      </c>
      <c r="E603" s="250" t="s">
        <v>212</v>
      </c>
      <c r="F603" s="412" t="s">
        <v>686</v>
      </c>
      <c r="G603" s="615" t="s">
        <v>229</v>
      </c>
      <c r="H603" s="603"/>
      <c r="I603" s="26"/>
      <c r="J603" s="26"/>
      <c r="K603" s="26"/>
      <c r="L603" s="26"/>
      <c r="M603" s="26"/>
      <c r="N603" s="26"/>
      <c r="O603" s="26"/>
      <c r="P603" s="26"/>
    </row>
    <row r="604" spans="2:16" ht="15.75" customHeight="1">
      <c r="B604" s="33"/>
      <c r="C604" s="529" t="s">
        <v>1379</v>
      </c>
      <c r="D604" s="526" t="s">
        <v>567</v>
      </c>
      <c r="E604" s="626">
        <f t="shared" ref="E604:E606" si="3">E140</f>
        <v>1.2</v>
      </c>
      <c r="F604" s="528"/>
      <c r="G604" s="432" t="s">
        <v>1380</v>
      </c>
      <c r="H604" s="603"/>
      <c r="I604" s="26"/>
      <c r="J604" s="26"/>
      <c r="K604" s="26"/>
      <c r="L604" s="26"/>
      <c r="M604" s="26"/>
      <c r="N604" s="26"/>
      <c r="O604" s="26"/>
      <c r="P604" s="26"/>
    </row>
    <row r="605" spans="2:16" ht="15.75" customHeight="1">
      <c r="B605" s="33"/>
      <c r="C605" s="529" t="s">
        <v>1381</v>
      </c>
      <c r="D605" s="526" t="s">
        <v>567</v>
      </c>
      <c r="E605" s="626">
        <f t="shared" si="3"/>
        <v>2.5</v>
      </c>
      <c r="F605" s="528"/>
      <c r="G605" s="432" t="s">
        <v>1382</v>
      </c>
      <c r="H605" s="603"/>
      <c r="I605" s="26"/>
      <c r="J605" s="26"/>
      <c r="K605" s="26"/>
      <c r="L605" s="26"/>
      <c r="M605" s="26"/>
      <c r="N605" s="26"/>
      <c r="O605" s="26"/>
      <c r="P605" s="26"/>
    </row>
    <row r="606" spans="2:16" ht="15.75" customHeight="1">
      <c r="B606" s="33"/>
      <c r="C606" s="529" t="s">
        <v>935</v>
      </c>
      <c r="D606" s="526" t="s">
        <v>567</v>
      </c>
      <c r="E606" s="626">
        <f t="shared" si="3"/>
        <v>4.5</v>
      </c>
      <c r="F606" s="528"/>
      <c r="G606" s="432" t="s">
        <v>1383</v>
      </c>
      <c r="H606" s="603"/>
      <c r="I606" s="26"/>
      <c r="J606" s="26"/>
      <c r="K606" s="26"/>
      <c r="L606" s="26"/>
      <c r="M606" s="26"/>
      <c r="N606" s="26"/>
      <c r="O606" s="26"/>
      <c r="P606" s="26"/>
    </row>
    <row r="607" spans="2:16" ht="15.75" customHeight="1">
      <c r="B607" s="33"/>
      <c r="C607" s="26"/>
      <c r="D607" s="26"/>
      <c r="E607" s="176"/>
      <c r="F607" s="26"/>
      <c r="G607" s="616"/>
      <c r="H607" s="603"/>
      <c r="I607" s="26"/>
      <c r="J607" s="26"/>
      <c r="K607" s="26"/>
      <c r="L607" s="26"/>
      <c r="M607" s="26"/>
      <c r="N607" s="26"/>
      <c r="O607" s="26"/>
      <c r="P607" s="26"/>
    </row>
    <row r="608" spans="2:16" ht="15.75" customHeight="1">
      <c r="B608" s="33"/>
      <c r="C608" s="26"/>
      <c r="D608" s="26"/>
      <c r="E608" s="176"/>
      <c r="F608" s="26"/>
      <c r="G608" s="616"/>
      <c r="H608" s="603"/>
      <c r="I608" s="26"/>
      <c r="J608" s="26"/>
      <c r="K608" s="26"/>
      <c r="L608" s="26"/>
      <c r="M608" s="26"/>
      <c r="N608" s="26"/>
      <c r="O608" s="26"/>
      <c r="P608" s="26"/>
    </row>
    <row r="609" spans="2:16" ht="15.75" customHeight="1">
      <c r="B609" s="33"/>
      <c r="C609" s="26"/>
      <c r="D609" s="26"/>
      <c r="E609" s="176"/>
      <c r="F609" s="26"/>
      <c r="G609" s="616"/>
      <c r="H609" s="603"/>
      <c r="I609" s="26"/>
      <c r="J609" s="26"/>
      <c r="K609" s="26"/>
      <c r="L609" s="26"/>
      <c r="M609" s="26"/>
      <c r="N609" s="26"/>
      <c r="O609" s="26"/>
      <c r="P609" s="26"/>
    </row>
    <row r="610" spans="2:16" ht="15.75" customHeight="1">
      <c r="B610" s="33"/>
      <c r="C610" s="590" t="s">
        <v>1384</v>
      </c>
      <c r="D610" s="591"/>
      <c r="E610" s="592"/>
      <c r="F610" s="593"/>
      <c r="G610" s="594"/>
      <c r="H610" s="603"/>
      <c r="I610" s="26"/>
      <c r="J610" s="26"/>
      <c r="K610" s="26"/>
      <c r="L610" s="26"/>
      <c r="M610" s="26"/>
      <c r="N610" s="26"/>
      <c r="O610" s="26"/>
      <c r="P610" s="26"/>
    </row>
    <row r="611" spans="2:16" ht="15.75" customHeight="1">
      <c r="B611" s="33"/>
      <c r="C611" s="26"/>
      <c r="D611" s="26"/>
      <c r="E611" s="176"/>
      <c r="F611" s="26"/>
      <c r="G611" s="616"/>
      <c r="H611" s="603"/>
      <c r="I611" s="26"/>
      <c r="J611" s="26"/>
      <c r="K611" s="26"/>
      <c r="L611" s="26"/>
      <c r="M611" s="26"/>
      <c r="N611" s="26"/>
      <c r="O611" s="26"/>
      <c r="P611" s="26"/>
    </row>
    <row r="612" spans="2:16" ht="15.75" customHeight="1">
      <c r="B612" s="33"/>
      <c r="C612" s="411" t="s">
        <v>299</v>
      </c>
      <c r="D612" s="557" t="s">
        <v>1385</v>
      </c>
      <c r="E612" s="250" t="s">
        <v>1386</v>
      </c>
      <c r="F612" s="412" t="s">
        <v>686</v>
      </c>
      <c r="G612" s="615" t="s">
        <v>229</v>
      </c>
      <c r="H612" s="603"/>
      <c r="I612" s="26"/>
      <c r="J612" s="26"/>
      <c r="K612" s="26"/>
      <c r="L612" s="26"/>
      <c r="M612" s="26"/>
      <c r="N612" s="26"/>
      <c r="O612" s="26"/>
      <c r="P612" s="26"/>
    </row>
    <row r="613" spans="2:16" ht="15.75" customHeight="1">
      <c r="B613" s="33"/>
      <c r="C613" s="411"/>
      <c r="D613" s="557"/>
      <c r="E613" s="250"/>
      <c r="F613" s="412"/>
      <c r="G613" s="615"/>
      <c r="H613" s="603"/>
      <c r="I613" s="26"/>
      <c r="J613" s="26"/>
      <c r="K613" s="26"/>
      <c r="L613" s="26"/>
      <c r="M613" s="26"/>
      <c r="N613" s="26"/>
      <c r="O613" s="26"/>
      <c r="P613" s="26"/>
    </row>
    <row r="614" spans="2:16" ht="15.75" customHeight="1">
      <c r="B614" s="33"/>
      <c r="C614" s="529" t="s">
        <v>261</v>
      </c>
      <c r="D614" s="526">
        <v>15</v>
      </c>
      <c r="E614" s="443">
        <v>19</v>
      </c>
      <c r="F614" s="528"/>
      <c r="G614" s="432" t="s">
        <v>1387</v>
      </c>
      <c r="H614" s="603"/>
      <c r="I614" s="26"/>
      <c r="J614" s="26"/>
      <c r="K614" s="26"/>
      <c r="L614" s="26"/>
      <c r="M614" s="26"/>
      <c r="N614" s="26"/>
      <c r="O614" s="26"/>
      <c r="P614" s="26"/>
    </row>
    <row r="615" spans="2:16" ht="15.75" customHeight="1">
      <c r="B615" s="33"/>
      <c r="C615" s="529" t="s">
        <v>263</v>
      </c>
      <c r="D615" s="526">
        <v>15</v>
      </c>
      <c r="E615" s="443">
        <v>18</v>
      </c>
      <c r="F615" s="528"/>
      <c r="G615" s="432" t="s">
        <v>1388</v>
      </c>
      <c r="H615" s="603"/>
      <c r="I615" s="26"/>
      <c r="J615" s="26"/>
      <c r="K615" s="26"/>
      <c r="L615" s="26"/>
      <c r="M615" s="26"/>
      <c r="N615" s="26"/>
      <c r="O615" s="26"/>
      <c r="P615" s="26"/>
    </row>
    <row r="616" spans="2:16" ht="15.75" customHeight="1">
      <c r="B616" s="33"/>
      <c r="C616" s="529" t="s">
        <v>265</v>
      </c>
      <c r="D616" s="526">
        <v>15</v>
      </c>
      <c r="E616" s="443">
        <v>15</v>
      </c>
      <c r="F616" s="528"/>
      <c r="G616" s="432" t="s">
        <v>1389</v>
      </c>
      <c r="H616" s="603"/>
      <c r="I616" s="26"/>
      <c r="J616" s="26"/>
      <c r="K616" s="26"/>
      <c r="L616" s="26"/>
      <c r="M616" s="26"/>
      <c r="N616" s="26"/>
      <c r="O616" s="26"/>
      <c r="P616" s="26"/>
    </row>
    <row r="617" spans="2:16" ht="15.75" customHeight="1">
      <c r="B617" s="33"/>
      <c r="C617" s="529" t="s">
        <v>304</v>
      </c>
      <c r="D617" s="526">
        <v>12</v>
      </c>
      <c r="E617" s="443">
        <v>18</v>
      </c>
      <c r="F617" s="528"/>
      <c r="G617" s="432" t="s">
        <v>1390</v>
      </c>
      <c r="H617" s="603"/>
      <c r="I617" s="26"/>
      <c r="J617" s="26"/>
      <c r="K617" s="26"/>
      <c r="L617" s="26"/>
      <c r="M617" s="26"/>
      <c r="N617" s="26"/>
      <c r="O617" s="26"/>
      <c r="P617" s="26"/>
    </row>
    <row r="618" spans="2:16" ht="15.75" customHeight="1">
      <c r="B618" s="33"/>
      <c r="C618" s="529" t="s">
        <v>1076</v>
      </c>
      <c r="D618" s="526">
        <v>15</v>
      </c>
      <c r="E618" s="443">
        <v>15</v>
      </c>
      <c r="F618" s="528"/>
      <c r="G618" s="432" t="s">
        <v>1391</v>
      </c>
      <c r="H618" s="603"/>
      <c r="I618" s="26"/>
      <c r="J618" s="26"/>
      <c r="K618" s="26"/>
      <c r="L618" s="26"/>
      <c r="M618" s="26"/>
      <c r="N618" s="26"/>
      <c r="O618" s="26"/>
      <c r="P618" s="26"/>
    </row>
    <row r="619" spans="2:16" ht="15.75" customHeight="1">
      <c r="B619" s="33"/>
      <c r="C619" s="529" t="s">
        <v>1078</v>
      </c>
      <c r="D619" s="526">
        <v>12</v>
      </c>
      <c r="E619" s="443">
        <v>15</v>
      </c>
      <c r="F619" s="528"/>
      <c r="G619" s="432" t="s">
        <v>1079</v>
      </c>
      <c r="H619" s="603"/>
      <c r="I619" s="26"/>
      <c r="J619" s="26"/>
      <c r="K619" s="26"/>
      <c r="L619" s="26"/>
      <c r="M619" s="26"/>
      <c r="N619" s="26"/>
      <c r="O619" s="26"/>
      <c r="P619" s="26"/>
    </row>
    <row r="620" spans="2:16" ht="15.75" customHeight="1">
      <c r="B620" s="33"/>
      <c r="C620" s="529" t="s">
        <v>1080</v>
      </c>
      <c r="D620" s="526">
        <v>3</v>
      </c>
      <c r="E620" s="443">
        <v>3</v>
      </c>
      <c r="F620" s="528"/>
      <c r="G620" s="432" t="s">
        <v>1081</v>
      </c>
      <c r="H620" s="603"/>
      <c r="I620" s="26"/>
      <c r="J620" s="26"/>
      <c r="K620" s="26"/>
      <c r="L620" s="26"/>
      <c r="M620" s="26"/>
      <c r="N620" s="26"/>
      <c r="O620" s="26"/>
      <c r="P620" s="26"/>
    </row>
    <row r="621" spans="2:16" ht="15.75" customHeight="1">
      <c r="B621" s="33"/>
      <c r="C621" s="529" t="s">
        <v>311</v>
      </c>
      <c r="D621" s="526">
        <v>26</v>
      </c>
      <c r="E621" s="443">
        <v>29</v>
      </c>
      <c r="F621" s="528"/>
      <c r="G621" s="432" t="s">
        <v>1392</v>
      </c>
      <c r="H621" s="603"/>
      <c r="I621" s="26"/>
      <c r="J621" s="26"/>
      <c r="K621" s="26"/>
      <c r="L621" s="26"/>
      <c r="M621" s="26"/>
      <c r="N621" s="26"/>
      <c r="O621" s="26"/>
      <c r="P621" s="26"/>
    </row>
    <row r="622" spans="2:16" ht="15.75" customHeight="1">
      <c r="B622" s="33"/>
      <c r="C622" s="529" t="s">
        <v>272</v>
      </c>
      <c r="D622" s="526">
        <v>12</v>
      </c>
      <c r="E622" s="443">
        <v>12</v>
      </c>
      <c r="F622" s="528"/>
      <c r="G622" s="432" t="s">
        <v>1083</v>
      </c>
      <c r="H622" s="603"/>
      <c r="I622" s="26"/>
      <c r="J622" s="26"/>
      <c r="K622" s="26"/>
      <c r="L622" s="26"/>
      <c r="M622" s="26"/>
      <c r="N622" s="26"/>
      <c r="O622" s="26"/>
      <c r="P622" s="26"/>
    </row>
    <row r="623" spans="2:16" ht="15.75" customHeight="1">
      <c r="B623" s="33"/>
      <c r="C623" s="529" t="s">
        <v>313</v>
      </c>
      <c r="D623" s="526">
        <v>10</v>
      </c>
      <c r="E623" s="443">
        <v>4</v>
      </c>
      <c r="F623" s="528"/>
      <c r="G623" s="432" t="s">
        <v>1393</v>
      </c>
      <c r="H623" s="603"/>
      <c r="I623" s="26"/>
      <c r="J623" s="26"/>
      <c r="K623" s="26"/>
      <c r="L623" s="26"/>
      <c r="M623" s="26"/>
      <c r="N623" s="26"/>
      <c r="O623" s="26"/>
      <c r="P623" s="26"/>
    </row>
    <row r="624" spans="2:16" ht="15.75" customHeight="1">
      <c r="B624" s="33"/>
      <c r="C624" s="529" t="s">
        <v>1085</v>
      </c>
      <c r="D624" s="526">
        <v>26</v>
      </c>
      <c r="E624" s="443">
        <v>26</v>
      </c>
      <c r="F624" s="528"/>
      <c r="G624" s="432" t="s">
        <v>1394</v>
      </c>
      <c r="H624" s="603"/>
      <c r="I624" s="26"/>
      <c r="J624" s="26"/>
      <c r="K624" s="26"/>
      <c r="L624" s="26"/>
      <c r="M624" s="26"/>
      <c r="N624" s="26"/>
      <c r="O624" s="26"/>
      <c r="P624" s="26"/>
    </row>
    <row r="625" spans="2:16" ht="15.75" customHeight="1">
      <c r="B625" s="33"/>
      <c r="C625" s="529" t="s">
        <v>1395</v>
      </c>
      <c r="D625" s="526" t="s">
        <v>336</v>
      </c>
      <c r="E625" s="443">
        <v>0</v>
      </c>
      <c r="F625" s="528"/>
      <c r="G625" s="432" t="s">
        <v>1396</v>
      </c>
      <c r="H625" s="603"/>
      <c r="I625" s="26"/>
      <c r="J625" s="26"/>
      <c r="K625" s="26"/>
      <c r="L625" s="26"/>
      <c r="M625" s="26"/>
      <c r="N625" s="26"/>
      <c r="O625" s="26"/>
      <c r="P625" s="26"/>
    </row>
    <row r="626" spans="2:16" ht="15.75" customHeight="1">
      <c r="B626" s="33"/>
      <c r="C626" s="26"/>
      <c r="D626" s="26"/>
      <c r="E626" s="176"/>
      <c r="F626" s="26"/>
      <c r="G626" s="616"/>
      <c r="H626" s="603"/>
      <c r="I626" s="26"/>
      <c r="J626" s="26"/>
      <c r="K626" s="26"/>
      <c r="L626" s="26"/>
      <c r="M626" s="26"/>
      <c r="N626" s="26"/>
      <c r="O626" s="26"/>
      <c r="P626" s="26"/>
    </row>
    <row r="627" spans="2:16" ht="15.75" customHeight="1">
      <c r="B627" s="33"/>
      <c r="C627" s="411" t="s">
        <v>1397</v>
      </c>
      <c r="D627" s="557"/>
      <c r="E627" s="250">
        <f>SUM(E614:E625)</f>
        <v>174</v>
      </c>
      <c r="F627" s="412"/>
      <c r="G627" s="615"/>
      <c r="H627" s="603"/>
      <c r="I627" s="26"/>
      <c r="J627" s="26"/>
      <c r="K627" s="26"/>
      <c r="L627" s="26"/>
      <c r="M627" s="26"/>
      <c r="N627" s="26"/>
      <c r="O627" s="26"/>
      <c r="P627" s="26"/>
    </row>
    <row r="628" spans="2:16" ht="15.75" customHeight="1">
      <c r="B628" s="33"/>
      <c r="C628" s="411"/>
      <c r="D628" s="557"/>
      <c r="E628" s="250"/>
      <c r="F628" s="412"/>
      <c r="G628" s="615"/>
      <c r="H628" s="603"/>
      <c r="I628" s="26"/>
      <c r="J628" s="26"/>
      <c r="K628" s="26"/>
      <c r="L628" s="26"/>
      <c r="M628" s="26"/>
      <c r="N628" s="26"/>
      <c r="O628" s="26"/>
      <c r="P628" s="26"/>
    </row>
    <row r="629" spans="2:16" ht="15.75" customHeight="1">
      <c r="B629" s="33"/>
      <c r="C629" s="411"/>
      <c r="D629" s="557"/>
      <c r="E629" s="250"/>
      <c r="F629" s="412"/>
      <c r="G629" s="615"/>
      <c r="H629" s="603"/>
      <c r="I629" s="26"/>
      <c r="J629" s="26"/>
      <c r="K629" s="26"/>
      <c r="L629" s="26"/>
      <c r="M629" s="26"/>
      <c r="N629" s="26"/>
      <c r="O629" s="26"/>
      <c r="P629" s="26"/>
    </row>
    <row r="630" spans="2:16" ht="15.75" customHeight="1">
      <c r="B630" s="33"/>
      <c r="C630" s="590" t="s">
        <v>1398</v>
      </c>
      <c r="D630" s="591"/>
      <c r="E630" s="592"/>
      <c r="F630" s="593"/>
      <c r="G630" s="594"/>
      <c r="H630" s="603"/>
      <c r="I630" s="26"/>
      <c r="J630" s="26"/>
      <c r="K630" s="26"/>
      <c r="L630" s="26"/>
      <c r="M630" s="26"/>
      <c r="N630" s="26"/>
      <c r="O630" s="26"/>
      <c r="P630" s="26"/>
    </row>
    <row r="631" spans="2:16" ht="15.75" customHeight="1">
      <c r="B631" s="33"/>
      <c r="C631" s="627" t="s">
        <v>299</v>
      </c>
      <c r="D631" s="150" t="s">
        <v>317</v>
      </c>
      <c r="E631" s="628" t="s">
        <v>260</v>
      </c>
      <c r="F631" s="629" t="s">
        <v>686</v>
      </c>
      <c r="G631" s="630" t="s">
        <v>229</v>
      </c>
      <c r="H631" s="603"/>
      <c r="I631" s="26"/>
      <c r="J631" s="26"/>
      <c r="K631" s="26"/>
      <c r="L631" s="26"/>
      <c r="M631" s="26"/>
      <c r="N631" s="26"/>
      <c r="O631" s="26"/>
      <c r="P631" s="26"/>
    </row>
    <row r="632" spans="2:16" ht="15.75" customHeight="1">
      <c r="B632" s="33"/>
      <c r="C632" s="529" t="s">
        <v>261</v>
      </c>
      <c r="D632" s="526" t="s">
        <v>1399</v>
      </c>
      <c r="E632" s="518">
        <f t="shared" ref="E632:E642" si="4">E290</f>
        <v>5000</v>
      </c>
      <c r="F632" s="528" t="s">
        <v>37</v>
      </c>
      <c r="G632" s="432" t="s">
        <v>1400</v>
      </c>
      <c r="H632" s="603"/>
      <c r="I632" s="26"/>
      <c r="J632" s="26"/>
      <c r="K632" s="26"/>
      <c r="L632" s="26"/>
      <c r="M632" s="26"/>
      <c r="N632" s="26"/>
      <c r="O632" s="26"/>
      <c r="P632" s="26"/>
    </row>
    <row r="633" spans="2:16" ht="15.75" customHeight="1">
      <c r="B633" s="33"/>
      <c r="C633" s="529" t="s">
        <v>263</v>
      </c>
      <c r="D633" s="526" t="s">
        <v>1399</v>
      </c>
      <c r="E633" s="518">
        <f t="shared" si="4"/>
        <v>3000</v>
      </c>
      <c r="F633" s="528" t="s">
        <v>37</v>
      </c>
      <c r="G633" s="432" t="s">
        <v>1401</v>
      </c>
      <c r="H633" s="603"/>
      <c r="I633" s="26"/>
      <c r="J633" s="26"/>
      <c r="K633" s="26"/>
      <c r="L633" s="26"/>
      <c r="M633" s="26"/>
      <c r="N633" s="26"/>
      <c r="O633" s="26"/>
      <c r="P633" s="26"/>
    </row>
    <row r="634" spans="2:16" ht="15.75" customHeight="1">
      <c r="B634" s="33"/>
      <c r="C634" s="529" t="s">
        <v>265</v>
      </c>
      <c r="D634" s="526" t="s">
        <v>1399</v>
      </c>
      <c r="E634" s="518">
        <f t="shared" si="4"/>
        <v>1500</v>
      </c>
      <c r="F634" s="528" t="s">
        <v>37</v>
      </c>
      <c r="G634" s="432" t="s">
        <v>1402</v>
      </c>
      <c r="H634" s="603"/>
      <c r="I634" s="26"/>
      <c r="J634" s="26"/>
      <c r="K634" s="26"/>
      <c r="L634" s="26"/>
      <c r="M634" s="26"/>
      <c r="N634" s="26"/>
      <c r="O634" s="26"/>
      <c r="P634" s="26"/>
    </row>
    <row r="635" spans="2:16" ht="15.75" customHeight="1">
      <c r="B635" s="33"/>
      <c r="C635" s="529" t="s">
        <v>304</v>
      </c>
      <c r="D635" s="526" t="s">
        <v>1399</v>
      </c>
      <c r="E635" s="518">
        <f t="shared" si="4"/>
        <v>3500</v>
      </c>
      <c r="F635" s="528" t="s">
        <v>37</v>
      </c>
      <c r="G635" s="432" t="s">
        <v>1403</v>
      </c>
      <c r="H635" s="603"/>
      <c r="I635" s="26"/>
      <c r="J635" s="26"/>
      <c r="K635" s="26"/>
      <c r="L635" s="26"/>
      <c r="M635" s="26"/>
      <c r="N635" s="26"/>
      <c r="O635" s="26"/>
      <c r="P635" s="26"/>
    </row>
    <row r="636" spans="2:16" ht="15.75" customHeight="1">
      <c r="B636" s="33"/>
      <c r="C636" s="529" t="s">
        <v>1076</v>
      </c>
      <c r="D636" s="526" t="s">
        <v>1399</v>
      </c>
      <c r="E636" s="518">
        <f t="shared" si="4"/>
        <v>3500</v>
      </c>
      <c r="F636" s="528" t="s">
        <v>37</v>
      </c>
      <c r="G636" s="432" t="s">
        <v>1404</v>
      </c>
      <c r="H636" s="603"/>
      <c r="I636" s="26"/>
      <c r="J636" s="26"/>
      <c r="K636" s="26"/>
      <c r="L636" s="26"/>
      <c r="M636" s="26"/>
      <c r="N636" s="26"/>
      <c r="O636" s="26"/>
      <c r="P636" s="26"/>
    </row>
    <row r="637" spans="2:16" ht="15.75" customHeight="1">
      <c r="B637" s="33"/>
      <c r="C637" s="529" t="s">
        <v>1078</v>
      </c>
      <c r="D637" s="526" t="s">
        <v>1399</v>
      </c>
      <c r="E637" s="518">
        <f t="shared" si="4"/>
        <v>3500</v>
      </c>
      <c r="F637" s="528" t="s">
        <v>37</v>
      </c>
      <c r="G637" s="432" t="s">
        <v>1405</v>
      </c>
      <c r="H637" s="603"/>
      <c r="I637" s="26"/>
      <c r="J637" s="26"/>
      <c r="K637" s="26"/>
      <c r="L637" s="26"/>
      <c r="M637" s="26"/>
      <c r="N637" s="26"/>
      <c r="O637" s="26"/>
      <c r="P637" s="26"/>
    </row>
    <row r="638" spans="2:16" ht="15.75" customHeight="1">
      <c r="B638" s="33"/>
      <c r="C638" s="529" t="s">
        <v>1080</v>
      </c>
      <c r="D638" s="526" t="s">
        <v>1399</v>
      </c>
      <c r="E638" s="518">
        <f t="shared" si="4"/>
        <v>3500</v>
      </c>
      <c r="F638" s="528" t="s">
        <v>37</v>
      </c>
      <c r="G638" s="432" t="s">
        <v>1406</v>
      </c>
      <c r="H638" s="603"/>
      <c r="I638" s="26"/>
      <c r="J638" s="26"/>
      <c r="K638" s="26"/>
      <c r="L638" s="26"/>
      <c r="M638" s="26"/>
      <c r="N638" s="26"/>
      <c r="O638" s="26"/>
      <c r="P638" s="26"/>
    </row>
    <row r="639" spans="2:16" ht="15.75" customHeight="1">
      <c r="B639" s="33"/>
      <c r="C639" s="529" t="s">
        <v>311</v>
      </c>
      <c r="D639" s="526" t="s">
        <v>1399</v>
      </c>
      <c r="E639" s="518">
        <f t="shared" si="4"/>
        <v>3500</v>
      </c>
      <c r="F639" s="528" t="s">
        <v>37</v>
      </c>
      <c r="G639" s="432" t="s">
        <v>1407</v>
      </c>
      <c r="H639" s="603"/>
      <c r="I639" s="26"/>
      <c r="J639" s="26"/>
      <c r="K639" s="26"/>
      <c r="L639" s="26"/>
      <c r="M639" s="26"/>
      <c r="N639" s="26"/>
      <c r="O639" s="26"/>
      <c r="P639" s="26"/>
    </row>
    <row r="640" spans="2:16" ht="15.75" customHeight="1">
      <c r="B640" s="33"/>
      <c r="C640" s="529" t="s">
        <v>272</v>
      </c>
      <c r="D640" s="526" t="s">
        <v>1399</v>
      </c>
      <c r="E640" s="518">
        <f t="shared" si="4"/>
        <v>2000</v>
      </c>
      <c r="F640" s="528" t="s">
        <v>37</v>
      </c>
      <c r="G640" s="432" t="s">
        <v>1083</v>
      </c>
      <c r="H640" s="603"/>
      <c r="I640" s="26"/>
      <c r="J640" s="26"/>
      <c r="K640" s="26"/>
      <c r="L640" s="26"/>
      <c r="M640" s="26"/>
      <c r="N640" s="26"/>
      <c r="O640" s="26"/>
      <c r="P640" s="26"/>
    </row>
    <row r="641" spans="2:16" ht="15.75" customHeight="1">
      <c r="B641" s="33"/>
      <c r="C641" s="529" t="s">
        <v>313</v>
      </c>
      <c r="D641" s="526" t="s">
        <v>1399</v>
      </c>
      <c r="E641" s="518">
        <f t="shared" si="4"/>
        <v>2000</v>
      </c>
      <c r="F641" s="528" t="s">
        <v>37</v>
      </c>
      <c r="G641" s="432" t="s">
        <v>1408</v>
      </c>
      <c r="H641" s="603"/>
      <c r="I641" s="26"/>
      <c r="J641" s="26"/>
      <c r="K641" s="26"/>
      <c r="L641" s="26"/>
      <c r="M641" s="26"/>
      <c r="N641" s="26"/>
      <c r="O641" s="26"/>
      <c r="P641" s="26"/>
    </row>
    <row r="642" spans="2:16" ht="15.75" customHeight="1">
      <c r="B642" s="33"/>
      <c r="C642" s="529" t="s">
        <v>1085</v>
      </c>
      <c r="D642" s="526" t="s">
        <v>1399</v>
      </c>
      <c r="E642" s="518">
        <f t="shared" si="4"/>
        <v>4000</v>
      </c>
      <c r="F642" s="528" t="s">
        <v>37</v>
      </c>
      <c r="G642" s="432" t="s">
        <v>1409</v>
      </c>
      <c r="H642" s="603"/>
      <c r="I642" s="26"/>
      <c r="J642" s="26"/>
      <c r="K642" s="26"/>
      <c r="L642" s="26"/>
      <c r="M642" s="26"/>
      <c r="N642" s="26"/>
      <c r="O642" s="26"/>
      <c r="P642" s="26"/>
    </row>
    <row r="643" spans="2:16" ht="15.75" customHeight="1">
      <c r="B643" s="33"/>
      <c r="C643" s="26"/>
      <c r="D643" s="26"/>
      <c r="E643" s="176"/>
      <c r="F643" s="26"/>
      <c r="G643" s="616"/>
      <c r="H643" s="603"/>
      <c r="I643" s="26"/>
      <c r="J643" s="26"/>
      <c r="K643" s="26"/>
      <c r="L643" s="26"/>
      <c r="M643" s="26"/>
      <c r="N643" s="26"/>
      <c r="O643" s="26"/>
      <c r="P643" s="26"/>
    </row>
    <row r="644" spans="2:16" ht="15.75" customHeight="1">
      <c r="B644" s="33"/>
      <c r="C644" s="26"/>
      <c r="D644" s="26"/>
      <c r="E644" s="176"/>
      <c r="F644" s="26"/>
      <c r="G644" s="616"/>
      <c r="H644" s="603"/>
      <c r="I644" s="26"/>
      <c r="J644" s="26"/>
      <c r="K644" s="26"/>
      <c r="L644" s="26"/>
      <c r="M644" s="26"/>
      <c r="N644" s="26"/>
      <c r="O644" s="26"/>
      <c r="P644" s="26"/>
    </row>
    <row r="645" spans="2:16" ht="15.75" customHeight="1">
      <c r="B645" s="33"/>
      <c r="C645" s="590" t="s">
        <v>1410</v>
      </c>
      <c r="D645" s="591"/>
      <c r="E645" s="592"/>
      <c r="F645" s="593"/>
      <c r="G645" s="594"/>
      <c r="H645" s="603"/>
      <c r="I645" s="26"/>
      <c r="J645" s="26"/>
      <c r="K645" s="26"/>
      <c r="L645" s="26"/>
      <c r="M645" s="26"/>
      <c r="N645" s="26"/>
      <c r="O645" s="26"/>
      <c r="P645" s="26"/>
    </row>
    <row r="646" spans="2:16" ht="15.75" customHeight="1">
      <c r="B646" s="33"/>
      <c r="C646" s="627" t="s">
        <v>299</v>
      </c>
      <c r="D646" s="150" t="s">
        <v>317</v>
      </c>
      <c r="E646" s="628" t="s">
        <v>1411</v>
      </c>
      <c r="F646" s="629" t="s">
        <v>1412</v>
      </c>
      <c r="G646" s="630" t="s">
        <v>229</v>
      </c>
      <c r="H646" s="603"/>
      <c r="I646" s="26"/>
      <c r="J646" s="26"/>
      <c r="K646" s="26"/>
      <c r="L646" s="26"/>
      <c r="M646" s="26"/>
      <c r="N646" s="26"/>
      <c r="O646" s="26"/>
      <c r="P646" s="26"/>
    </row>
    <row r="647" spans="2:16" ht="15.75" customHeight="1">
      <c r="B647" s="33"/>
      <c r="C647" s="529" t="s">
        <v>261</v>
      </c>
      <c r="D647" s="526" t="s">
        <v>300</v>
      </c>
      <c r="E647" s="443">
        <v>4</v>
      </c>
      <c r="F647" s="528">
        <v>19</v>
      </c>
      <c r="G647" s="432" t="s">
        <v>1413</v>
      </c>
      <c r="H647" s="603"/>
      <c r="I647" s="26"/>
      <c r="J647" s="26"/>
      <c r="K647" s="26"/>
      <c r="L647" s="26"/>
      <c r="M647" s="26"/>
      <c r="N647" s="26"/>
      <c r="O647" s="26"/>
      <c r="P647" s="26"/>
    </row>
    <row r="648" spans="2:16" ht="15.75" customHeight="1">
      <c r="B648" s="33"/>
      <c r="C648" s="529" t="s">
        <v>263</v>
      </c>
      <c r="D648" s="526" t="s">
        <v>300</v>
      </c>
      <c r="E648" s="443">
        <v>4</v>
      </c>
      <c r="F648" s="528">
        <v>18</v>
      </c>
      <c r="G648" s="432" t="s">
        <v>1414</v>
      </c>
      <c r="H648" s="603"/>
      <c r="I648" s="26"/>
      <c r="J648" s="26"/>
      <c r="K648" s="26"/>
      <c r="L648" s="26"/>
      <c r="M648" s="26"/>
      <c r="N648" s="26"/>
      <c r="O648" s="26"/>
      <c r="P648" s="26"/>
    </row>
    <row r="649" spans="2:16" ht="15.75" customHeight="1">
      <c r="B649" s="33"/>
      <c r="C649" s="529" t="s">
        <v>265</v>
      </c>
      <c r="D649" s="526" t="s">
        <v>300</v>
      </c>
      <c r="E649" s="443">
        <v>0</v>
      </c>
      <c r="F649" s="528">
        <v>15</v>
      </c>
      <c r="G649" s="432" t="s">
        <v>1415</v>
      </c>
      <c r="H649" s="603"/>
      <c r="I649" s="26"/>
      <c r="J649" s="26"/>
      <c r="K649" s="26"/>
      <c r="L649" s="26"/>
      <c r="M649" s="26"/>
      <c r="N649" s="26"/>
      <c r="O649" s="26"/>
      <c r="P649" s="26"/>
    </row>
    <row r="650" spans="2:16" ht="15.75" customHeight="1">
      <c r="B650" s="33"/>
      <c r="C650" s="529" t="s">
        <v>304</v>
      </c>
      <c r="D650" s="526" t="s">
        <v>300</v>
      </c>
      <c r="E650" s="443">
        <v>12</v>
      </c>
      <c r="F650" s="528">
        <v>18</v>
      </c>
      <c r="G650" s="432" t="s">
        <v>1416</v>
      </c>
      <c r="H650" s="603"/>
      <c r="I650" s="26"/>
      <c r="J650" s="26"/>
      <c r="K650" s="26"/>
      <c r="L650" s="26"/>
      <c r="M650" s="26"/>
      <c r="N650" s="26"/>
      <c r="O650" s="26"/>
      <c r="P650" s="26"/>
    </row>
    <row r="651" spans="2:16" ht="15.75" customHeight="1">
      <c r="B651" s="33"/>
      <c r="C651" s="529" t="s">
        <v>1076</v>
      </c>
      <c r="D651" s="526" t="s">
        <v>300</v>
      </c>
      <c r="E651" s="443">
        <v>4</v>
      </c>
      <c r="F651" s="528">
        <v>15</v>
      </c>
      <c r="G651" s="432" t="s">
        <v>1417</v>
      </c>
      <c r="H651" s="603"/>
      <c r="I651" s="26"/>
      <c r="J651" s="26"/>
      <c r="K651" s="26"/>
      <c r="L651" s="26"/>
      <c r="M651" s="26"/>
      <c r="N651" s="26"/>
      <c r="O651" s="26"/>
      <c r="P651" s="26"/>
    </row>
    <row r="652" spans="2:16" ht="15.75" customHeight="1">
      <c r="B652" s="33"/>
      <c r="C652" s="529" t="s">
        <v>1078</v>
      </c>
      <c r="D652" s="526" t="s">
        <v>300</v>
      </c>
      <c r="E652" s="443">
        <v>0</v>
      </c>
      <c r="F652" s="528">
        <v>15</v>
      </c>
      <c r="G652" s="432" t="s">
        <v>1418</v>
      </c>
      <c r="H652" s="603"/>
      <c r="I652" s="26"/>
      <c r="J652" s="26"/>
      <c r="K652" s="26"/>
      <c r="L652" s="26"/>
      <c r="M652" s="26"/>
      <c r="N652" s="26"/>
      <c r="O652" s="26"/>
      <c r="P652" s="26"/>
    </row>
    <row r="653" spans="2:16" ht="15.75" customHeight="1">
      <c r="B653" s="33"/>
      <c r="C653" s="529" t="s">
        <v>1080</v>
      </c>
      <c r="D653" s="526" t="s">
        <v>300</v>
      </c>
      <c r="E653" s="443">
        <v>3</v>
      </c>
      <c r="F653" s="528">
        <v>3</v>
      </c>
      <c r="G653" s="432" t="s">
        <v>1419</v>
      </c>
      <c r="H653" s="603"/>
      <c r="I653" s="26"/>
      <c r="J653" s="26"/>
      <c r="K653" s="26"/>
      <c r="L653" s="26"/>
      <c r="M653" s="26"/>
      <c r="N653" s="26"/>
      <c r="O653" s="26"/>
      <c r="P653" s="26"/>
    </row>
    <row r="654" spans="2:16" ht="15.75" customHeight="1">
      <c r="B654" s="33"/>
      <c r="C654" s="529" t="s">
        <v>311</v>
      </c>
      <c r="D654" s="526" t="s">
        <v>300</v>
      </c>
      <c r="E654" s="443">
        <v>26</v>
      </c>
      <c r="F654" s="528">
        <v>29</v>
      </c>
      <c r="G654" s="432" t="s">
        <v>1420</v>
      </c>
      <c r="H654" s="603"/>
      <c r="I654" s="26"/>
      <c r="J654" s="26"/>
      <c r="K654" s="26"/>
      <c r="L654" s="26"/>
      <c r="M654" s="26"/>
      <c r="N654" s="26"/>
      <c r="O654" s="26"/>
      <c r="P654" s="26"/>
    </row>
    <row r="655" spans="2:16" ht="15.75" customHeight="1">
      <c r="B655" s="33"/>
      <c r="C655" s="529" t="s">
        <v>272</v>
      </c>
      <c r="D655" s="526" t="s">
        <v>300</v>
      </c>
      <c r="E655" s="443">
        <v>0</v>
      </c>
      <c r="F655" s="528">
        <v>12</v>
      </c>
      <c r="G655" s="432" t="s">
        <v>1421</v>
      </c>
      <c r="H655" s="603"/>
      <c r="I655" s="26"/>
      <c r="J655" s="26"/>
      <c r="K655" s="26"/>
      <c r="L655" s="26"/>
      <c r="M655" s="26"/>
      <c r="N655" s="26"/>
      <c r="O655" s="26"/>
      <c r="P655" s="26"/>
    </row>
    <row r="656" spans="2:16" ht="15.75" customHeight="1">
      <c r="B656" s="33"/>
      <c r="C656" s="529" t="s">
        <v>313</v>
      </c>
      <c r="D656" s="526" t="s">
        <v>300</v>
      </c>
      <c r="E656" s="443">
        <v>5</v>
      </c>
      <c r="F656" s="528">
        <v>10</v>
      </c>
      <c r="G656" s="432" t="s">
        <v>1422</v>
      </c>
      <c r="H656" s="603"/>
      <c r="I656" s="26"/>
      <c r="J656" s="26"/>
      <c r="K656" s="26"/>
      <c r="L656" s="26"/>
      <c r="M656" s="26"/>
      <c r="N656" s="26"/>
      <c r="O656" s="26"/>
      <c r="P656" s="26"/>
    </row>
    <row r="657" spans="2:16" ht="15.75" customHeight="1">
      <c r="B657" s="33"/>
      <c r="C657" s="529" t="s">
        <v>1085</v>
      </c>
      <c r="D657" s="526" t="s">
        <v>300</v>
      </c>
      <c r="E657" s="443">
        <v>0</v>
      </c>
      <c r="F657" s="528">
        <v>26</v>
      </c>
      <c r="G657" s="432" t="s">
        <v>1423</v>
      </c>
      <c r="H657" s="603"/>
      <c r="I657" s="26"/>
      <c r="J657" s="26"/>
      <c r="K657" s="26"/>
      <c r="L657" s="26"/>
      <c r="M657" s="26"/>
      <c r="N657" s="26"/>
      <c r="O657" s="26"/>
      <c r="P657" s="26"/>
    </row>
    <row r="658" spans="2:16" ht="15.75" customHeight="1">
      <c r="B658" s="33"/>
      <c r="C658" s="26"/>
      <c r="D658" s="26"/>
      <c r="E658" s="176"/>
      <c r="F658" s="26"/>
      <c r="G658" s="616"/>
      <c r="H658" s="603"/>
      <c r="I658" s="26"/>
      <c r="J658" s="26"/>
      <c r="K658" s="26"/>
      <c r="L658" s="26"/>
      <c r="M658" s="26"/>
      <c r="N658" s="26"/>
      <c r="O658" s="26"/>
      <c r="P658" s="26"/>
    </row>
    <row r="659" spans="2:16" ht="15.75" customHeight="1">
      <c r="B659" s="33"/>
      <c r="C659" s="26"/>
      <c r="D659" s="26"/>
      <c r="E659" s="176"/>
      <c r="F659" s="26"/>
      <c r="G659" s="616"/>
      <c r="H659" s="603"/>
      <c r="I659" s="26"/>
      <c r="J659" s="26"/>
      <c r="K659" s="26"/>
      <c r="L659" s="26"/>
      <c r="M659" s="26"/>
      <c r="N659" s="26"/>
      <c r="O659" s="26"/>
      <c r="P659" s="26"/>
    </row>
    <row r="660" spans="2:16" ht="15.75" customHeight="1">
      <c r="B660" s="33"/>
      <c r="C660" s="590" t="s">
        <v>1424</v>
      </c>
      <c r="D660" s="591"/>
      <c r="E660" s="592"/>
      <c r="F660" s="593"/>
      <c r="G660" s="594"/>
      <c r="H660" s="603"/>
      <c r="I660" s="26"/>
      <c r="J660" s="26"/>
      <c r="K660" s="26"/>
      <c r="L660" s="26"/>
      <c r="M660" s="26"/>
      <c r="N660" s="26"/>
      <c r="O660" s="26"/>
      <c r="P660" s="26"/>
    </row>
    <row r="661" spans="2:16" ht="15.75" customHeight="1">
      <c r="B661" s="33"/>
      <c r="C661" s="627" t="s">
        <v>299</v>
      </c>
      <c r="D661" s="150" t="s">
        <v>317</v>
      </c>
      <c r="E661" s="628" t="s">
        <v>1425</v>
      </c>
      <c r="F661" s="629" t="s">
        <v>686</v>
      </c>
      <c r="G661" s="432" t="s">
        <v>229</v>
      </c>
      <c r="H661" s="603"/>
      <c r="I661" s="26"/>
      <c r="J661" s="26"/>
      <c r="K661" s="26"/>
      <c r="L661" s="26"/>
      <c r="M661" s="26"/>
      <c r="N661" s="26"/>
      <c r="O661" s="26"/>
      <c r="P661" s="26"/>
    </row>
    <row r="662" spans="2:16" ht="15.75" customHeight="1">
      <c r="B662" s="33"/>
      <c r="C662" s="529" t="s">
        <v>261</v>
      </c>
      <c r="D662" s="526" t="s">
        <v>328</v>
      </c>
      <c r="E662" s="500">
        <v>0.8</v>
      </c>
      <c r="F662" s="528" t="s">
        <v>37</v>
      </c>
      <c r="G662" s="432" t="s">
        <v>1426</v>
      </c>
      <c r="H662" s="603"/>
      <c r="I662" s="26"/>
      <c r="J662" s="26"/>
      <c r="K662" s="26"/>
      <c r="L662" s="26"/>
      <c r="M662" s="26"/>
      <c r="N662" s="26"/>
      <c r="O662" s="26"/>
      <c r="P662" s="26"/>
    </row>
    <row r="663" spans="2:16" ht="15.75" customHeight="1">
      <c r="B663" s="33"/>
      <c r="C663" s="529" t="s">
        <v>263</v>
      </c>
      <c r="D663" s="526" t="s">
        <v>328</v>
      </c>
      <c r="E663" s="500">
        <v>0.8</v>
      </c>
      <c r="F663" s="528" t="s">
        <v>37</v>
      </c>
      <c r="G663" s="432" t="s">
        <v>1426</v>
      </c>
      <c r="H663" s="603"/>
      <c r="I663" s="26"/>
      <c r="J663" s="26"/>
      <c r="K663" s="26"/>
      <c r="L663" s="26"/>
      <c r="M663" s="26"/>
      <c r="N663" s="26"/>
      <c r="O663" s="26"/>
      <c r="P663" s="26"/>
    </row>
    <row r="664" spans="2:16" ht="15.75" customHeight="1">
      <c r="B664" s="33"/>
      <c r="C664" s="529" t="s">
        <v>265</v>
      </c>
      <c r="D664" s="526" t="s">
        <v>328</v>
      </c>
      <c r="E664" s="500">
        <v>0.9</v>
      </c>
      <c r="F664" s="528" t="s">
        <v>37</v>
      </c>
      <c r="G664" s="432" t="s">
        <v>1427</v>
      </c>
      <c r="H664" s="603"/>
      <c r="I664" s="26"/>
      <c r="J664" s="26"/>
      <c r="K664" s="26"/>
      <c r="L664" s="26"/>
      <c r="M664" s="26"/>
      <c r="N664" s="26"/>
      <c r="O664" s="26"/>
      <c r="P664" s="26"/>
    </row>
    <row r="665" spans="2:16" ht="15.75" customHeight="1">
      <c r="B665" s="33"/>
      <c r="C665" s="529" t="s">
        <v>304</v>
      </c>
      <c r="D665" s="526" t="s">
        <v>328</v>
      </c>
      <c r="E665" s="500">
        <v>0.9</v>
      </c>
      <c r="F665" s="528" t="s">
        <v>37</v>
      </c>
      <c r="G665" s="432" t="s">
        <v>1427</v>
      </c>
      <c r="H665" s="603"/>
      <c r="I665" s="26"/>
      <c r="J665" s="26"/>
      <c r="K665" s="26"/>
      <c r="L665" s="26"/>
      <c r="M665" s="26"/>
      <c r="N665" s="26"/>
      <c r="O665" s="26"/>
      <c r="P665" s="26"/>
    </row>
    <row r="666" spans="2:16" ht="15.75" customHeight="1">
      <c r="B666" s="33"/>
      <c r="C666" s="529" t="s">
        <v>1076</v>
      </c>
      <c r="D666" s="526" t="s">
        <v>328</v>
      </c>
      <c r="E666" s="500">
        <v>0.9</v>
      </c>
      <c r="F666" s="528" t="s">
        <v>37</v>
      </c>
      <c r="G666" s="432" t="s">
        <v>1427</v>
      </c>
      <c r="H666" s="603"/>
      <c r="I666" s="412"/>
      <c r="J666" s="26"/>
      <c r="K666" s="26"/>
      <c r="L666" s="26"/>
      <c r="M666" s="26"/>
      <c r="N666" s="26"/>
      <c r="O666" s="26"/>
      <c r="P666" s="26"/>
    </row>
    <row r="667" spans="2:16" ht="15.75" customHeight="1">
      <c r="B667" s="33"/>
      <c r="C667" s="529" t="s">
        <v>1078</v>
      </c>
      <c r="D667" s="526" t="s">
        <v>328</v>
      </c>
      <c r="E667" s="500">
        <v>0.9</v>
      </c>
      <c r="F667" s="528" t="s">
        <v>37</v>
      </c>
      <c r="G667" s="432" t="s">
        <v>1427</v>
      </c>
      <c r="H667" s="603"/>
      <c r="I667" s="412"/>
      <c r="J667" s="26"/>
      <c r="K667" s="26"/>
      <c r="L667" s="26"/>
      <c r="M667" s="26"/>
      <c r="N667" s="26"/>
      <c r="O667" s="26"/>
      <c r="P667" s="26"/>
    </row>
    <row r="668" spans="2:16" ht="15.75" customHeight="1">
      <c r="B668" s="33"/>
      <c r="C668" s="529" t="s">
        <v>1080</v>
      </c>
      <c r="D668" s="526" t="s">
        <v>328</v>
      </c>
      <c r="E668" s="500">
        <v>0.8</v>
      </c>
      <c r="F668" s="528" t="s">
        <v>37</v>
      </c>
      <c r="G668" s="432" t="s">
        <v>1426</v>
      </c>
      <c r="H668" s="603"/>
      <c r="I668" s="412"/>
      <c r="J668" s="26"/>
      <c r="K668" s="26"/>
      <c r="L668" s="26"/>
      <c r="M668" s="26"/>
      <c r="N668" s="26"/>
      <c r="O668" s="26"/>
      <c r="P668" s="26"/>
    </row>
    <row r="669" spans="2:16" ht="15.75" customHeight="1">
      <c r="B669" s="33"/>
      <c r="C669" s="529" t="s">
        <v>311</v>
      </c>
      <c r="D669" s="526" t="s">
        <v>328</v>
      </c>
      <c r="E669" s="500">
        <v>0.7</v>
      </c>
      <c r="F669" s="528" t="s">
        <v>37</v>
      </c>
      <c r="G669" s="432" t="s">
        <v>1428</v>
      </c>
      <c r="H669" s="603"/>
      <c r="I669" s="412" t="s">
        <v>190</v>
      </c>
      <c r="J669" s="26"/>
      <c r="K669" s="26"/>
      <c r="L669" s="26"/>
      <c r="M669" s="26"/>
      <c r="N669" s="26"/>
      <c r="O669" s="26"/>
      <c r="P669" s="26"/>
    </row>
    <row r="670" spans="2:16" ht="15.75" customHeight="1">
      <c r="B670" s="33"/>
      <c r="C670" s="529" t="s">
        <v>272</v>
      </c>
      <c r="D670" s="526" t="s">
        <v>328</v>
      </c>
      <c r="E670" s="500">
        <v>1</v>
      </c>
      <c r="F670" s="528" t="s">
        <v>37</v>
      </c>
      <c r="G670" s="432" t="s">
        <v>1429</v>
      </c>
      <c r="H670" s="603"/>
      <c r="I670" s="412"/>
      <c r="J670" s="26"/>
      <c r="K670" s="26"/>
      <c r="L670" s="26"/>
      <c r="M670" s="26"/>
      <c r="N670" s="26"/>
      <c r="O670" s="26"/>
      <c r="P670" s="26"/>
    </row>
    <row r="671" spans="2:16" ht="15.75" customHeight="1">
      <c r="B671" s="33"/>
      <c r="C671" s="529" t="s">
        <v>313</v>
      </c>
      <c r="D671" s="526" t="s">
        <v>328</v>
      </c>
      <c r="E671" s="500">
        <v>1</v>
      </c>
      <c r="F671" s="528" t="s">
        <v>37</v>
      </c>
      <c r="G671" s="432" t="s">
        <v>1429</v>
      </c>
      <c r="H671" s="603"/>
      <c r="I671" s="412"/>
      <c r="J671" s="26"/>
      <c r="K671" s="26"/>
      <c r="L671" s="26"/>
      <c r="M671" s="26"/>
      <c r="N671" s="26"/>
      <c r="O671" s="26"/>
      <c r="P671" s="26"/>
    </row>
    <row r="672" spans="2:16" ht="15.75" customHeight="1">
      <c r="B672" s="33"/>
      <c r="C672" s="529" t="s">
        <v>1085</v>
      </c>
      <c r="D672" s="526" t="s">
        <v>328</v>
      </c>
      <c r="E672" s="500">
        <v>1</v>
      </c>
      <c r="F672" s="528" t="s">
        <v>37</v>
      </c>
      <c r="G672" s="432" t="s">
        <v>1429</v>
      </c>
      <c r="H672" s="603"/>
      <c r="I672" s="412"/>
      <c r="J672" s="26"/>
      <c r="K672" s="26"/>
      <c r="L672" s="26"/>
      <c r="M672" s="26"/>
      <c r="N672" s="26"/>
      <c r="O672" s="26"/>
      <c r="P672" s="26"/>
    </row>
    <row r="673" spans="2:16" ht="15.75" customHeight="1">
      <c r="B673" s="33"/>
      <c r="C673" s="26"/>
      <c r="D673" s="26"/>
      <c r="E673" s="176"/>
      <c r="F673" s="26"/>
      <c r="G673" s="616"/>
      <c r="H673" s="603"/>
      <c r="I673" s="26"/>
      <c r="J673" s="26"/>
      <c r="K673" s="26"/>
      <c r="L673" s="26"/>
      <c r="M673" s="26"/>
      <c r="N673" s="26"/>
      <c r="O673" s="26"/>
      <c r="P673" s="26"/>
    </row>
    <row r="674" spans="2:16" ht="15.75" customHeight="1">
      <c r="B674" s="33"/>
      <c r="C674" s="26"/>
      <c r="D674" s="26"/>
      <c r="E674" s="176"/>
      <c r="F674" s="26"/>
      <c r="G674" s="616"/>
      <c r="H674" s="603"/>
      <c r="I674" s="26"/>
      <c r="J674" s="26"/>
      <c r="K674" s="26"/>
      <c r="L674" s="26"/>
      <c r="M674" s="26"/>
      <c r="N674" s="26"/>
      <c r="O674" s="26"/>
      <c r="P674" s="26"/>
    </row>
    <row r="675" spans="2:16" ht="15.75" customHeight="1">
      <c r="B675" s="33"/>
      <c r="C675" s="590" t="s">
        <v>1430</v>
      </c>
      <c r="D675" s="591"/>
      <c r="E675" s="592"/>
      <c r="F675" s="593"/>
      <c r="G675" s="594"/>
      <c r="H675" s="603"/>
      <c r="I675" s="26"/>
      <c r="J675" s="26"/>
      <c r="K675" s="26"/>
      <c r="L675" s="26"/>
      <c r="M675" s="26"/>
      <c r="N675" s="26"/>
      <c r="O675" s="26"/>
      <c r="P675" s="26"/>
    </row>
    <row r="676" spans="2:16" ht="15.75" customHeight="1">
      <c r="B676" s="33"/>
      <c r="C676" s="627" t="s">
        <v>299</v>
      </c>
      <c r="D676" s="150" t="s">
        <v>1431</v>
      </c>
      <c r="E676" s="628" t="s">
        <v>1432</v>
      </c>
      <c r="F676" s="629" t="s">
        <v>686</v>
      </c>
      <c r="G676" s="630" t="s">
        <v>229</v>
      </c>
      <c r="H676" s="603"/>
      <c r="I676" s="26"/>
      <c r="J676" s="26"/>
      <c r="K676" s="26"/>
      <c r="L676" s="26"/>
      <c r="M676" s="26"/>
      <c r="N676" s="26"/>
      <c r="O676" s="26"/>
      <c r="P676" s="26"/>
    </row>
    <row r="677" spans="2:16" ht="15.75" customHeight="1">
      <c r="B677" s="33"/>
      <c r="C677" s="529" t="s">
        <v>261</v>
      </c>
      <c r="D677" s="526">
        <v>80</v>
      </c>
      <c r="E677" s="500">
        <v>0.75</v>
      </c>
      <c r="F677" s="528" t="s">
        <v>37</v>
      </c>
      <c r="G677" s="432" t="s">
        <v>1433</v>
      </c>
      <c r="H677" s="603"/>
      <c r="I677" s="26"/>
      <c r="J677" s="26"/>
      <c r="K677" s="26"/>
      <c r="L677" s="26"/>
      <c r="M677" s="26"/>
      <c r="N677" s="26"/>
      <c r="O677" s="26"/>
      <c r="P677" s="26"/>
    </row>
    <row r="678" spans="2:16" ht="15.75" customHeight="1">
      <c r="B678" s="33"/>
      <c r="C678" s="529" t="s">
        <v>263</v>
      </c>
      <c r="D678" s="526">
        <v>80</v>
      </c>
      <c r="E678" s="500">
        <v>0.75</v>
      </c>
      <c r="F678" s="528" t="s">
        <v>37</v>
      </c>
      <c r="G678" s="432" t="s">
        <v>1433</v>
      </c>
      <c r="H678" s="603"/>
      <c r="I678" s="26"/>
      <c r="J678" s="26"/>
      <c r="K678" s="26"/>
      <c r="L678" s="26"/>
      <c r="M678" s="26"/>
      <c r="N678" s="26"/>
      <c r="O678" s="26"/>
      <c r="P678" s="26"/>
    </row>
    <row r="679" spans="2:16" ht="15.75" customHeight="1">
      <c r="B679" s="33"/>
      <c r="C679" s="529" t="s">
        <v>265</v>
      </c>
      <c r="D679" s="526">
        <v>80</v>
      </c>
      <c r="E679" s="500">
        <v>0.75</v>
      </c>
      <c r="F679" s="528" t="s">
        <v>37</v>
      </c>
      <c r="G679" s="432" t="s">
        <v>1433</v>
      </c>
      <c r="H679" s="603"/>
      <c r="I679" s="26"/>
      <c r="J679" s="26"/>
      <c r="K679" s="26"/>
      <c r="L679" s="26"/>
      <c r="M679" s="26"/>
      <c r="N679" s="26"/>
      <c r="O679" s="26"/>
      <c r="P679" s="26"/>
    </row>
    <row r="680" spans="2:16" ht="15.75" customHeight="1">
      <c r="B680" s="33"/>
      <c r="C680" s="529" t="s">
        <v>304</v>
      </c>
      <c r="D680" s="526">
        <v>80</v>
      </c>
      <c r="E680" s="500">
        <v>0.75</v>
      </c>
      <c r="F680" s="528" t="s">
        <v>37</v>
      </c>
      <c r="G680" s="432" t="s">
        <v>1433</v>
      </c>
      <c r="H680" s="603"/>
      <c r="I680" s="26"/>
      <c r="J680" s="26"/>
      <c r="K680" s="26"/>
      <c r="L680" s="26"/>
      <c r="M680" s="26"/>
      <c r="N680" s="26"/>
      <c r="O680" s="26"/>
      <c r="P680" s="26"/>
    </row>
    <row r="681" spans="2:16" ht="15.75" customHeight="1">
      <c r="B681" s="33"/>
      <c r="C681" s="529" t="s">
        <v>1076</v>
      </c>
      <c r="D681" s="526">
        <v>80</v>
      </c>
      <c r="E681" s="500">
        <v>0.75</v>
      </c>
      <c r="F681" s="528" t="s">
        <v>37</v>
      </c>
      <c r="G681" s="432" t="s">
        <v>1433</v>
      </c>
      <c r="H681" s="603"/>
      <c r="I681" s="26"/>
      <c r="J681" s="26"/>
      <c r="K681" s="26"/>
      <c r="L681" s="26"/>
      <c r="M681" s="26"/>
      <c r="N681" s="26"/>
      <c r="O681" s="26"/>
      <c r="P681" s="26"/>
    </row>
    <row r="682" spans="2:16" ht="15.75" customHeight="1">
      <c r="B682" s="33"/>
      <c r="C682" s="529" t="s">
        <v>1078</v>
      </c>
      <c r="D682" s="526">
        <v>80</v>
      </c>
      <c r="E682" s="500">
        <v>0.75</v>
      </c>
      <c r="F682" s="528" t="s">
        <v>37</v>
      </c>
      <c r="G682" s="432" t="s">
        <v>1433</v>
      </c>
      <c r="H682" s="603"/>
      <c r="I682" s="26"/>
      <c r="J682" s="26"/>
      <c r="K682" s="26"/>
      <c r="L682" s="26"/>
      <c r="M682" s="26"/>
      <c r="N682" s="26"/>
      <c r="O682" s="26"/>
      <c r="P682" s="26"/>
    </row>
    <row r="683" spans="2:16" ht="15.75" customHeight="1">
      <c r="B683" s="33"/>
      <c r="C683" s="529" t="s">
        <v>1080</v>
      </c>
      <c r="D683" s="526">
        <v>80</v>
      </c>
      <c r="E683" s="500">
        <v>0.75</v>
      </c>
      <c r="F683" s="528" t="s">
        <v>37</v>
      </c>
      <c r="G683" s="432" t="s">
        <v>1433</v>
      </c>
      <c r="H683" s="603"/>
      <c r="I683" s="26"/>
      <c r="J683" s="26"/>
      <c r="K683" s="26"/>
      <c r="L683" s="26"/>
      <c r="M683" s="26"/>
      <c r="N683" s="26"/>
      <c r="O683" s="26"/>
      <c r="P683" s="26"/>
    </row>
    <row r="684" spans="2:16" ht="15.75" customHeight="1">
      <c r="B684" s="33"/>
      <c r="C684" s="529" t="s">
        <v>311</v>
      </c>
      <c r="D684" s="526">
        <v>0</v>
      </c>
      <c r="E684" s="500">
        <v>0.7</v>
      </c>
      <c r="F684" s="528" t="s">
        <v>37</v>
      </c>
      <c r="G684" s="432" t="s">
        <v>1434</v>
      </c>
      <c r="H684" s="603"/>
      <c r="I684" s="26"/>
      <c r="J684" s="26"/>
      <c r="K684" s="26"/>
      <c r="L684" s="26"/>
      <c r="M684" s="26"/>
      <c r="N684" s="26"/>
      <c r="O684" s="26"/>
      <c r="P684" s="26"/>
    </row>
    <row r="685" spans="2:16" ht="15.75" customHeight="1">
      <c r="B685" s="33"/>
      <c r="C685" s="529" t="s">
        <v>272</v>
      </c>
      <c r="D685" s="526">
        <v>0</v>
      </c>
      <c r="E685" s="500">
        <v>1</v>
      </c>
      <c r="F685" s="528" t="s">
        <v>37</v>
      </c>
      <c r="G685" s="432" t="s">
        <v>1435</v>
      </c>
      <c r="H685" s="603"/>
      <c r="I685" s="26"/>
      <c r="J685" s="26"/>
      <c r="K685" s="26"/>
      <c r="L685" s="26"/>
      <c r="M685" s="26"/>
      <c r="N685" s="26"/>
      <c r="O685" s="26"/>
      <c r="P685" s="26"/>
    </row>
    <row r="686" spans="2:16" ht="15.75" customHeight="1">
      <c r="B686" s="33"/>
      <c r="C686" s="529" t="s">
        <v>313</v>
      </c>
      <c r="D686" s="526">
        <v>0</v>
      </c>
      <c r="E686" s="500">
        <v>1</v>
      </c>
      <c r="F686" s="528" t="s">
        <v>37</v>
      </c>
      <c r="G686" s="432" t="s">
        <v>1436</v>
      </c>
      <c r="H686" s="603"/>
      <c r="I686" s="26"/>
      <c r="J686" s="26"/>
      <c r="K686" s="26"/>
      <c r="L686" s="26"/>
      <c r="M686" s="26"/>
      <c r="N686" s="26"/>
      <c r="O686" s="26"/>
      <c r="P686" s="26"/>
    </row>
    <row r="687" spans="2:16" ht="15.75" customHeight="1">
      <c r="B687" s="33"/>
      <c r="C687" s="529" t="s">
        <v>1085</v>
      </c>
      <c r="D687" s="526">
        <v>0</v>
      </c>
      <c r="E687" s="500">
        <v>1</v>
      </c>
      <c r="F687" s="528" t="s">
        <v>37</v>
      </c>
      <c r="G687" s="432" t="s">
        <v>1437</v>
      </c>
      <c r="H687" s="603"/>
      <c r="I687" s="26"/>
      <c r="J687" s="26"/>
      <c r="K687" s="26"/>
      <c r="L687" s="26"/>
      <c r="M687" s="26"/>
      <c r="N687" s="26"/>
      <c r="O687" s="26"/>
      <c r="P687" s="26"/>
    </row>
    <row r="688" spans="2:16" ht="15.75" customHeight="1">
      <c r="B688" s="33"/>
      <c r="C688" s="26"/>
      <c r="D688" s="26"/>
      <c r="E688" s="176"/>
      <c r="F688" s="26"/>
      <c r="G688" s="616"/>
      <c r="H688" s="603"/>
      <c r="I688" s="26"/>
      <c r="J688" s="26"/>
      <c r="K688" s="26"/>
      <c r="L688" s="26"/>
      <c r="M688" s="26"/>
      <c r="N688" s="26"/>
      <c r="O688" s="26"/>
      <c r="P688" s="26"/>
    </row>
    <row r="689" spans="2:16" ht="15.75" customHeight="1">
      <c r="B689" s="33"/>
      <c r="C689" s="26"/>
      <c r="D689" s="26"/>
      <c r="E689" s="176"/>
      <c r="F689" s="26"/>
      <c r="G689" s="616"/>
      <c r="H689" s="603"/>
      <c r="I689" s="26"/>
      <c r="J689" s="26"/>
      <c r="K689" s="26"/>
      <c r="L689" s="26"/>
      <c r="M689" s="26"/>
      <c r="N689" s="26"/>
      <c r="O689" s="26"/>
      <c r="P689" s="26"/>
    </row>
    <row r="690" spans="2:16" ht="15.75" customHeight="1">
      <c r="B690" s="33"/>
      <c r="C690" s="590" t="s">
        <v>1438</v>
      </c>
      <c r="D690" s="591"/>
      <c r="E690" s="592"/>
      <c r="F690" s="593"/>
      <c r="G690" s="594"/>
      <c r="H690" s="603"/>
      <c r="I690" s="26"/>
      <c r="J690" s="26"/>
      <c r="K690" s="26"/>
      <c r="L690" s="26"/>
      <c r="M690" s="26"/>
      <c r="N690" s="26"/>
      <c r="O690" s="26"/>
      <c r="P690" s="26"/>
    </row>
    <row r="691" spans="2:16" ht="15.75" customHeight="1">
      <c r="B691" s="33"/>
      <c r="C691" s="627" t="s">
        <v>299</v>
      </c>
      <c r="D691" s="150" t="s">
        <v>317</v>
      </c>
      <c r="E691" s="628" t="s">
        <v>1439</v>
      </c>
      <c r="F691" s="629" t="s">
        <v>686</v>
      </c>
      <c r="G691" s="630" t="s">
        <v>229</v>
      </c>
      <c r="H691" s="603"/>
      <c r="I691" s="26"/>
      <c r="J691" s="26"/>
      <c r="K691" s="26"/>
      <c r="L691" s="26"/>
      <c r="M691" s="26"/>
      <c r="N691" s="26"/>
      <c r="O691" s="26"/>
      <c r="P691" s="26"/>
    </row>
    <row r="692" spans="2:16" ht="15.75" customHeight="1">
      <c r="B692" s="33"/>
      <c r="C692" s="529" t="s">
        <v>261</v>
      </c>
      <c r="D692" s="526" t="s">
        <v>328</v>
      </c>
      <c r="E692" s="500">
        <v>1</v>
      </c>
      <c r="F692" s="528" t="s">
        <v>37</v>
      </c>
      <c r="G692" s="432" t="s">
        <v>1440</v>
      </c>
      <c r="H692" s="603"/>
      <c r="I692" s="26"/>
      <c r="J692" s="26"/>
      <c r="K692" s="26"/>
      <c r="L692" s="26"/>
      <c r="M692" s="26"/>
      <c r="N692" s="26"/>
      <c r="O692" s="26"/>
      <c r="P692" s="26"/>
    </row>
    <row r="693" spans="2:16" ht="15.75" customHeight="1">
      <c r="B693" s="33"/>
      <c r="C693" s="529" t="s">
        <v>263</v>
      </c>
      <c r="D693" s="526" t="s">
        <v>328</v>
      </c>
      <c r="E693" s="500">
        <v>0.8</v>
      </c>
      <c r="F693" s="528" t="s">
        <v>37</v>
      </c>
      <c r="G693" s="432" t="s">
        <v>1441</v>
      </c>
      <c r="H693" s="603"/>
      <c r="I693" s="26"/>
      <c r="J693" s="26"/>
      <c r="K693" s="26"/>
      <c r="L693" s="26"/>
      <c r="M693" s="26"/>
      <c r="N693" s="26"/>
      <c r="O693" s="26"/>
      <c r="P693" s="26"/>
    </row>
    <row r="694" spans="2:16" ht="15.75" customHeight="1">
      <c r="B694" s="33"/>
      <c r="C694" s="529" t="s">
        <v>265</v>
      </c>
      <c r="D694" s="526" t="s">
        <v>328</v>
      </c>
      <c r="E694" s="500">
        <v>0.9</v>
      </c>
      <c r="F694" s="528" t="s">
        <v>37</v>
      </c>
      <c r="G694" s="432" t="s">
        <v>1442</v>
      </c>
      <c r="H694" s="603"/>
      <c r="I694" s="26"/>
      <c r="J694" s="26"/>
      <c r="K694" s="26"/>
      <c r="L694" s="26"/>
      <c r="M694" s="26"/>
      <c r="N694" s="26"/>
      <c r="O694" s="26"/>
      <c r="P694" s="26"/>
    </row>
    <row r="695" spans="2:16" ht="15.75" customHeight="1">
      <c r="B695" s="33"/>
      <c r="C695" s="529" t="s">
        <v>304</v>
      </c>
      <c r="D695" s="526" t="s">
        <v>328</v>
      </c>
      <c r="E695" s="500">
        <v>1</v>
      </c>
      <c r="F695" s="528" t="s">
        <v>37</v>
      </c>
      <c r="G695" s="432" t="s">
        <v>1440</v>
      </c>
      <c r="H695" s="603"/>
      <c r="I695" s="26"/>
      <c r="J695" s="26"/>
      <c r="K695" s="26"/>
      <c r="L695" s="26"/>
      <c r="M695" s="26"/>
      <c r="N695" s="26"/>
      <c r="O695" s="26"/>
      <c r="P695" s="26"/>
    </row>
    <row r="696" spans="2:16" ht="15.75" customHeight="1">
      <c r="B696" s="33"/>
      <c r="C696" s="529" t="s">
        <v>1076</v>
      </c>
      <c r="D696" s="526" t="s">
        <v>328</v>
      </c>
      <c r="E696" s="500">
        <v>0.8</v>
      </c>
      <c r="F696" s="528" t="s">
        <v>37</v>
      </c>
      <c r="G696" s="432" t="s">
        <v>1441</v>
      </c>
      <c r="H696" s="603"/>
      <c r="I696" s="26"/>
      <c r="J696" s="26"/>
      <c r="K696" s="26"/>
      <c r="L696" s="26"/>
      <c r="M696" s="26"/>
      <c r="N696" s="26"/>
      <c r="O696" s="26"/>
      <c r="P696" s="26"/>
    </row>
    <row r="697" spans="2:16" ht="15.75" customHeight="1">
      <c r="B697" s="33"/>
      <c r="C697" s="529" t="s">
        <v>1078</v>
      </c>
      <c r="D697" s="526" t="s">
        <v>328</v>
      </c>
      <c r="E697" s="500">
        <v>0.6</v>
      </c>
      <c r="F697" s="528" t="s">
        <v>37</v>
      </c>
      <c r="G697" s="432" t="s">
        <v>1443</v>
      </c>
      <c r="H697" s="603"/>
      <c r="I697" s="26"/>
      <c r="J697" s="26"/>
      <c r="K697" s="26"/>
      <c r="L697" s="26"/>
      <c r="M697" s="26"/>
      <c r="N697" s="26"/>
      <c r="O697" s="26"/>
      <c r="P697" s="26"/>
    </row>
    <row r="698" spans="2:16" ht="15.75" customHeight="1">
      <c r="B698" s="33"/>
      <c r="C698" s="529" t="s">
        <v>1080</v>
      </c>
      <c r="D698" s="526" t="s">
        <v>328</v>
      </c>
      <c r="E698" s="500">
        <v>0.8</v>
      </c>
      <c r="F698" s="528" t="s">
        <v>37</v>
      </c>
      <c r="G698" s="432" t="s">
        <v>1441</v>
      </c>
      <c r="H698" s="603"/>
      <c r="I698" s="26"/>
      <c r="J698" s="26"/>
      <c r="K698" s="26"/>
      <c r="L698" s="26"/>
      <c r="M698" s="26"/>
      <c r="N698" s="26"/>
      <c r="O698" s="26"/>
      <c r="P698" s="26"/>
    </row>
    <row r="699" spans="2:16" ht="15.75" customHeight="1">
      <c r="B699" s="33"/>
      <c r="C699" s="529" t="s">
        <v>311</v>
      </c>
      <c r="D699" s="526" t="s">
        <v>328</v>
      </c>
      <c r="E699" s="500">
        <v>0.5</v>
      </c>
      <c r="F699" s="528" t="s">
        <v>37</v>
      </c>
      <c r="G699" s="432" t="s">
        <v>1444</v>
      </c>
      <c r="H699" s="603"/>
      <c r="I699" s="26"/>
      <c r="J699" s="26"/>
      <c r="K699" s="26"/>
      <c r="L699" s="26"/>
      <c r="M699" s="26"/>
      <c r="N699" s="26"/>
      <c r="O699" s="26"/>
      <c r="P699" s="26"/>
    </row>
    <row r="700" spans="2:16" ht="15.75" customHeight="1">
      <c r="B700" s="33"/>
      <c r="C700" s="529" t="s">
        <v>272</v>
      </c>
      <c r="D700" s="526" t="s">
        <v>328</v>
      </c>
      <c r="E700" s="500">
        <v>0</v>
      </c>
      <c r="F700" s="528" t="s">
        <v>37</v>
      </c>
      <c r="G700" s="432" t="s">
        <v>1445</v>
      </c>
      <c r="H700" s="603"/>
      <c r="I700" s="26"/>
      <c r="J700" s="26"/>
      <c r="K700" s="26"/>
      <c r="L700" s="26"/>
      <c r="M700" s="26"/>
      <c r="N700" s="26"/>
      <c r="O700" s="26"/>
      <c r="P700" s="26"/>
    </row>
    <row r="701" spans="2:16" ht="15.75" customHeight="1">
      <c r="B701" s="33"/>
      <c r="C701" s="529" t="s">
        <v>313</v>
      </c>
      <c r="D701" s="526" t="s">
        <v>328</v>
      </c>
      <c r="E701" s="500">
        <v>1</v>
      </c>
      <c r="F701" s="528" t="s">
        <v>37</v>
      </c>
      <c r="G701" s="432" t="s">
        <v>1440</v>
      </c>
      <c r="H701" s="603"/>
      <c r="I701" s="26"/>
      <c r="J701" s="26"/>
      <c r="K701" s="26"/>
      <c r="L701" s="26"/>
      <c r="M701" s="26"/>
      <c r="N701" s="26"/>
      <c r="O701" s="26"/>
      <c r="P701" s="26"/>
    </row>
    <row r="702" spans="2:16" ht="15.75" customHeight="1">
      <c r="B702" s="33"/>
      <c r="C702" s="411"/>
      <c r="D702" s="557"/>
      <c r="E702" s="250"/>
      <c r="F702" s="412"/>
      <c r="G702" s="615"/>
      <c r="H702" s="603"/>
      <c r="I702" s="26"/>
      <c r="J702" s="26"/>
      <c r="K702" s="26"/>
      <c r="L702" s="26"/>
      <c r="M702" s="26"/>
      <c r="N702" s="26"/>
      <c r="O702" s="26"/>
      <c r="P702" s="26"/>
    </row>
    <row r="703" spans="2:16" ht="15.75" customHeight="1">
      <c r="B703" s="33"/>
      <c r="C703" s="631" t="s">
        <v>1446</v>
      </c>
      <c r="D703" s="632"/>
      <c r="E703" s="633"/>
      <c r="F703" s="634"/>
      <c r="G703" s="635"/>
      <c r="H703" s="603"/>
      <c r="I703" s="26"/>
      <c r="J703" s="26"/>
      <c r="K703" s="26"/>
      <c r="L703" s="26"/>
      <c r="M703" s="26"/>
      <c r="N703" s="26"/>
      <c r="O703" s="26"/>
      <c r="P703" s="26"/>
    </row>
    <row r="704" spans="2:16" ht="15.75" customHeight="1">
      <c r="B704" s="33"/>
      <c r="C704" s="636" t="s">
        <v>299</v>
      </c>
      <c r="D704" s="637" t="s">
        <v>317</v>
      </c>
      <c r="E704" s="638" t="s">
        <v>1439</v>
      </c>
      <c r="F704" s="639" t="s">
        <v>686</v>
      </c>
      <c r="G704" s="640" t="s">
        <v>229</v>
      </c>
      <c r="H704" s="603"/>
      <c r="I704" s="26"/>
      <c r="J704" s="26"/>
      <c r="K704" s="26"/>
      <c r="L704" s="26"/>
      <c r="M704" s="26"/>
      <c r="N704" s="26"/>
      <c r="O704" s="26"/>
      <c r="P704" s="26"/>
    </row>
    <row r="705" spans="2:16" ht="15.75" customHeight="1">
      <c r="B705" s="33"/>
      <c r="C705" s="491" t="s">
        <v>261</v>
      </c>
      <c r="D705" s="506" t="s">
        <v>328</v>
      </c>
      <c r="E705" s="509">
        <v>1</v>
      </c>
      <c r="F705" s="508" t="s">
        <v>37</v>
      </c>
      <c r="G705" s="470" t="s">
        <v>1440</v>
      </c>
      <c r="H705" s="603"/>
      <c r="I705" s="26"/>
      <c r="J705" s="26"/>
      <c r="K705" s="26"/>
      <c r="L705" s="26"/>
      <c r="M705" s="26"/>
      <c r="N705" s="26"/>
      <c r="O705" s="26"/>
      <c r="P705" s="26"/>
    </row>
    <row r="706" spans="2:16" ht="15.75" customHeight="1">
      <c r="B706" s="33"/>
      <c r="C706" s="491" t="s">
        <v>263</v>
      </c>
      <c r="D706" s="506" t="s">
        <v>328</v>
      </c>
      <c r="E706" s="509">
        <v>1</v>
      </c>
      <c r="F706" s="508" t="s">
        <v>37</v>
      </c>
      <c r="G706" s="470" t="s">
        <v>1441</v>
      </c>
      <c r="H706" s="603"/>
      <c r="I706" s="26"/>
      <c r="J706" s="26"/>
      <c r="K706" s="26"/>
      <c r="L706" s="26"/>
      <c r="M706" s="26"/>
      <c r="N706" s="26"/>
      <c r="O706" s="26"/>
      <c r="P706" s="26"/>
    </row>
    <row r="707" spans="2:16" ht="15.75" customHeight="1">
      <c r="B707" s="33"/>
      <c r="C707" s="491" t="s">
        <v>265</v>
      </c>
      <c r="D707" s="506" t="s">
        <v>328</v>
      </c>
      <c r="E707" s="509">
        <v>1</v>
      </c>
      <c r="F707" s="508" t="s">
        <v>37</v>
      </c>
      <c r="G707" s="470" t="s">
        <v>1442</v>
      </c>
      <c r="H707" s="603"/>
      <c r="I707" s="26"/>
      <c r="J707" s="26"/>
      <c r="K707" s="26"/>
      <c r="L707" s="26"/>
      <c r="M707" s="26"/>
      <c r="N707" s="26"/>
      <c r="O707" s="26"/>
      <c r="P707" s="26"/>
    </row>
    <row r="708" spans="2:16" ht="15.75" customHeight="1">
      <c r="B708" s="33"/>
      <c r="C708" s="491" t="s">
        <v>304</v>
      </c>
      <c r="D708" s="506" t="s">
        <v>328</v>
      </c>
      <c r="E708" s="509">
        <v>1</v>
      </c>
      <c r="F708" s="508" t="s">
        <v>37</v>
      </c>
      <c r="G708" s="470" t="s">
        <v>1440</v>
      </c>
      <c r="H708" s="603"/>
      <c r="I708" s="26"/>
      <c r="J708" s="26"/>
      <c r="K708" s="26"/>
      <c r="L708" s="26"/>
      <c r="M708" s="26"/>
      <c r="N708" s="26"/>
      <c r="O708" s="26"/>
      <c r="P708" s="26"/>
    </row>
    <row r="709" spans="2:16" ht="15.75" customHeight="1">
      <c r="B709" s="33"/>
      <c r="C709" s="491" t="s">
        <v>1076</v>
      </c>
      <c r="D709" s="506" t="s">
        <v>328</v>
      </c>
      <c r="E709" s="509">
        <v>1</v>
      </c>
      <c r="F709" s="508" t="s">
        <v>37</v>
      </c>
      <c r="G709" s="470" t="s">
        <v>1441</v>
      </c>
      <c r="H709" s="603"/>
      <c r="I709" s="26"/>
      <c r="J709" s="26"/>
      <c r="K709" s="26"/>
      <c r="L709" s="26"/>
      <c r="M709" s="26"/>
      <c r="N709" s="26"/>
      <c r="O709" s="26"/>
      <c r="P709" s="26"/>
    </row>
    <row r="710" spans="2:16" ht="15.75" customHeight="1">
      <c r="B710" s="33"/>
      <c r="C710" s="491" t="s">
        <v>1078</v>
      </c>
      <c r="D710" s="506" t="s">
        <v>328</v>
      </c>
      <c r="E710" s="509">
        <v>1</v>
      </c>
      <c r="F710" s="508" t="s">
        <v>37</v>
      </c>
      <c r="G710" s="470" t="s">
        <v>1443</v>
      </c>
      <c r="H710" s="603"/>
      <c r="I710" s="26"/>
      <c r="J710" s="26"/>
      <c r="K710" s="26"/>
      <c r="L710" s="26"/>
      <c r="M710" s="26"/>
      <c r="N710" s="26"/>
      <c r="O710" s="26"/>
      <c r="P710" s="26"/>
    </row>
    <row r="711" spans="2:16" ht="15.75" customHeight="1">
      <c r="B711" s="33"/>
      <c r="C711" s="491" t="s">
        <v>1447</v>
      </c>
      <c r="D711" s="506" t="s">
        <v>328</v>
      </c>
      <c r="E711" s="509">
        <v>1</v>
      </c>
      <c r="F711" s="508" t="s">
        <v>37</v>
      </c>
      <c r="G711" s="470" t="s">
        <v>1441</v>
      </c>
      <c r="H711" s="603"/>
      <c r="I711" s="26"/>
      <c r="J711" s="26"/>
      <c r="K711" s="26"/>
      <c r="L711" s="26"/>
      <c r="M711" s="26"/>
      <c r="N711" s="26"/>
      <c r="O711" s="26"/>
      <c r="P711" s="26"/>
    </row>
    <row r="712" spans="2:16" ht="15.75" customHeight="1">
      <c r="B712" s="33"/>
      <c r="C712" s="491" t="s">
        <v>311</v>
      </c>
      <c r="D712" s="506" t="s">
        <v>328</v>
      </c>
      <c r="E712" s="509">
        <v>1</v>
      </c>
      <c r="F712" s="508" t="s">
        <v>37</v>
      </c>
      <c r="G712" s="470" t="s">
        <v>1444</v>
      </c>
      <c r="H712" s="603"/>
      <c r="I712" s="26"/>
      <c r="J712" s="26"/>
      <c r="K712" s="26"/>
      <c r="L712" s="26"/>
      <c r="M712" s="26"/>
      <c r="N712" s="26"/>
      <c r="O712" s="26"/>
      <c r="P712" s="26"/>
    </row>
    <row r="713" spans="2:16" ht="15.75" customHeight="1">
      <c r="B713" s="33"/>
      <c r="C713" s="491" t="s">
        <v>272</v>
      </c>
      <c r="D713" s="506" t="s">
        <v>328</v>
      </c>
      <c r="E713" s="509">
        <v>0</v>
      </c>
      <c r="F713" s="508" t="s">
        <v>37</v>
      </c>
      <c r="G713" s="470" t="s">
        <v>1445</v>
      </c>
      <c r="H713" s="603"/>
      <c r="I713" s="26"/>
      <c r="J713" s="26"/>
      <c r="K713" s="26"/>
      <c r="L713" s="26"/>
      <c r="M713" s="26"/>
      <c r="N713" s="26"/>
      <c r="O713" s="26"/>
      <c r="P713" s="26"/>
    </row>
    <row r="714" spans="2:16" ht="15.75" customHeight="1">
      <c r="B714" s="33"/>
      <c r="C714" s="491" t="s">
        <v>313</v>
      </c>
      <c r="D714" s="506" t="s">
        <v>328</v>
      </c>
      <c r="E714" s="509">
        <v>1</v>
      </c>
      <c r="F714" s="508" t="s">
        <v>37</v>
      </c>
      <c r="G714" s="470" t="s">
        <v>1440</v>
      </c>
      <c r="H714" s="603"/>
      <c r="I714" s="26"/>
      <c r="J714" s="26"/>
      <c r="K714" s="26"/>
      <c r="L714" s="26"/>
      <c r="M714" s="26"/>
      <c r="N714" s="26"/>
      <c r="O714" s="26"/>
      <c r="P714" s="26"/>
    </row>
    <row r="715" spans="2:16" ht="15.75" customHeight="1">
      <c r="B715" s="33"/>
      <c r="C715" s="411"/>
      <c r="D715" s="557"/>
      <c r="E715" s="250"/>
      <c r="F715" s="412"/>
      <c r="G715" s="615"/>
      <c r="H715" s="603"/>
      <c r="I715" s="26"/>
      <c r="J715" s="26"/>
      <c r="K715" s="26"/>
      <c r="L715" s="26"/>
      <c r="M715" s="26"/>
      <c r="N715" s="26"/>
      <c r="O715" s="26"/>
      <c r="P715" s="26"/>
    </row>
    <row r="716" spans="2:16" ht="15.75" customHeight="1">
      <c r="B716" s="33"/>
      <c r="C716" s="411"/>
      <c r="D716" s="557"/>
      <c r="E716" s="250"/>
      <c r="F716" s="412"/>
      <c r="G716" s="615"/>
      <c r="H716" s="641"/>
      <c r="I716" s="26"/>
      <c r="J716" s="26"/>
      <c r="K716" s="26"/>
      <c r="L716" s="26"/>
      <c r="M716" s="26"/>
      <c r="N716" s="26"/>
      <c r="O716" s="26"/>
      <c r="P716" s="26"/>
    </row>
    <row r="717" spans="2:16" ht="15.75" customHeight="1">
      <c r="B717" s="33"/>
      <c r="C717" s="642" t="s">
        <v>1448</v>
      </c>
      <c r="D717" s="591"/>
      <c r="E717" s="592"/>
      <c r="F717" s="593"/>
      <c r="G717" s="594"/>
      <c r="H717" s="603"/>
      <c r="I717" s="26"/>
      <c r="J717" s="26"/>
      <c r="K717" s="26"/>
      <c r="L717" s="26"/>
      <c r="M717" s="26"/>
      <c r="N717" s="26"/>
      <c r="O717" s="26"/>
      <c r="P717" s="26"/>
    </row>
    <row r="718" spans="2:16" ht="15.75" customHeight="1">
      <c r="B718" s="33"/>
      <c r="C718" s="643" t="s">
        <v>1449</v>
      </c>
      <c r="D718" s="557"/>
      <c r="E718" s="250"/>
      <c r="F718" s="412"/>
      <c r="G718" s="615"/>
      <c r="H718" s="603"/>
      <c r="I718" s="26"/>
      <c r="J718" s="26"/>
      <c r="K718" s="26"/>
      <c r="L718" s="26"/>
      <c r="M718" s="26"/>
      <c r="N718" s="26"/>
      <c r="O718" s="26"/>
      <c r="P718" s="26"/>
    </row>
    <row r="719" spans="2:16" ht="15.75" customHeight="1">
      <c r="B719" s="33"/>
      <c r="C719" s="26"/>
      <c r="D719" s="26"/>
      <c r="E719" s="176"/>
      <c r="F719" s="26"/>
      <c r="G719" s="616"/>
      <c r="H719" s="603"/>
      <c r="I719" s="26"/>
      <c r="J719" s="26"/>
      <c r="K719" s="26"/>
      <c r="L719" s="26"/>
      <c r="M719" s="26"/>
      <c r="N719" s="26"/>
      <c r="O719" s="26"/>
      <c r="P719" s="26"/>
    </row>
    <row r="720" spans="2:16" ht="15.75" customHeight="1">
      <c r="B720" s="33"/>
      <c r="C720" s="627" t="s">
        <v>751</v>
      </c>
      <c r="D720" s="150" t="s">
        <v>317</v>
      </c>
      <c r="E720" s="628" t="s">
        <v>212</v>
      </c>
      <c r="F720" s="629" t="s">
        <v>686</v>
      </c>
      <c r="G720" s="630" t="s">
        <v>229</v>
      </c>
      <c r="H720" s="603"/>
      <c r="I720" s="26"/>
      <c r="J720" s="26"/>
      <c r="K720" s="26"/>
      <c r="L720" s="26"/>
      <c r="M720" s="26"/>
      <c r="N720" s="26"/>
      <c r="O720" s="26"/>
      <c r="P720" s="26"/>
    </row>
    <row r="721" spans="2:16" ht="15.75" customHeight="1">
      <c r="B721" s="33"/>
      <c r="C721" s="411"/>
      <c r="D721" s="557"/>
      <c r="E721" s="250"/>
      <c r="F721" s="412"/>
      <c r="G721" s="615"/>
      <c r="H721" s="603"/>
      <c r="I721" s="26"/>
      <c r="J721" s="26"/>
      <c r="K721" s="26"/>
      <c r="L721" s="26"/>
      <c r="M721" s="26"/>
      <c r="N721" s="26"/>
      <c r="O721" s="26"/>
      <c r="P721" s="26"/>
    </row>
    <row r="722" spans="2:16" ht="15.75" customHeight="1">
      <c r="B722" s="33"/>
      <c r="C722" s="529" t="s">
        <v>469</v>
      </c>
      <c r="D722" s="526" t="s">
        <v>1450</v>
      </c>
      <c r="E722" s="596">
        <v>0.25</v>
      </c>
      <c r="F722" s="528" t="s">
        <v>1451</v>
      </c>
      <c r="G722" s="432" t="s">
        <v>1452</v>
      </c>
      <c r="H722" s="603"/>
      <c r="I722" s="26"/>
      <c r="J722" s="26"/>
      <c r="K722" s="26"/>
      <c r="L722" s="26"/>
      <c r="M722" s="26"/>
      <c r="N722" s="26"/>
      <c r="O722" s="26"/>
      <c r="P722" s="26"/>
    </row>
    <row r="723" spans="2:16" ht="15.75" customHeight="1">
      <c r="B723" s="33"/>
      <c r="C723" s="411"/>
      <c r="D723" s="557"/>
      <c r="E723" s="250"/>
      <c r="F723" s="412"/>
      <c r="G723" s="615"/>
      <c r="H723" s="603"/>
      <c r="I723" s="26"/>
      <c r="J723" s="26"/>
      <c r="K723" s="26"/>
      <c r="L723" s="26"/>
      <c r="M723" s="26"/>
      <c r="N723" s="26"/>
      <c r="O723" s="26"/>
      <c r="P723" s="26"/>
    </row>
    <row r="724" spans="2:16" ht="15.75" customHeight="1">
      <c r="B724" s="33"/>
      <c r="C724" s="411"/>
      <c r="D724" s="557"/>
      <c r="E724" s="250"/>
      <c r="F724" s="412"/>
      <c r="G724" s="615"/>
      <c r="H724" s="603"/>
      <c r="I724" s="26"/>
      <c r="J724" s="26"/>
      <c r="K724" s="26"/>
      <c r="L724" s="26"/>
      <c r="M724" s="26"/>
      <c r="N724" s="26"/>
      <c r="O724" s="26"/>
      <c r="P724" s="26"/>
    </row>
    <row r="725" spans="2:16" ht="15.75" customHeight="1">
      <c r="B725" s="33"/>
      <c r="C725" s="590" t="s">
        <v>1453</v>
      </c>
      <c r="D725" s="591"/>
      <c r="E725" s="592"/>
      <c r="F725" s="593"/>
      <c r="G725" s="594"/>
      <c r="H725" s="603"/>
      <c r="I725" s="26"/>
      <c r="J725" s="26"/>
      <c r="K725" s="26"/>
      <c r="L725" s="26"/>
      <c r="M725" s="26"/>
      <c r="N725" s="26"/>
      <c r="O725" s="26"/>
      <c r="P725" s="26"/>
    </row>
    <row r="726" spans="2:16" ht="15.75" customHeight="1">
      <c r="B726" s="33"/>
      <c r="C726" s="411" t="s">
        <v>1454</v>
      </c>
      <c r="D726" s="557"/>
      <c r="E726" s="250"/>
      <c r="F726" s="412"/>
      <c r="G726" s="615"/>
      <c r="H726" s="603"/>
      <c r="I726" s="26"/>
      <c r="J726" s="26"/>
      <c r="K726" s="26"/>
      <c r="L726" s="26"/>
      <c r="M726" s="26"/>
      <c r="N726" s="26"/>
      <c r="O726" s="26"/>
      <c r="P726" s="26"/>
    </row>
    <row r="727" spans="2:16" ht="15.75" customHeight="1">
      <c r="B727" s="33"/>
      <c r="C727" s="26"/>
      <c r="D727" s="26"/>
      <c r="E727" s="176"/>
      <c r="F727" s="26"/>
      <c r="G727" s="616"/>
      <c r="H727" s="603"/>
      <c r="I727" s="26"/>
      <c r="J727" s="26"/>
      <c r="K727" s="26"/>
      <c r="L727" s="26"/>
      <c r="M727" s="26"/>
      <c r="N727" s="26"/>
      <c r="O727" s="26"/>
      <c r="P727" s="26"/>
    </row>
    <row r="728" spans="2:16" ht="15.75" customHeight="1">
      <c r="B728" s="33"/>
      <c r="C728" s="627" t="s">
        <v>751</v>
      </c>
      <c r="D728" s="150" t="s">
        <v>317</v>
      </c>
      <c r="E728" s="628" t="s">
        <v>212</v>
      </c>
      <c r="F728" s="629" t="s">
        <v>686</v>
      </c>
      <c r="G728" s="630" t="s">
        <v>229</v>
      </c>
      <c r="H728" s="603"/>
      <c r="I728" s="26"/>
      <c r="J728" s="26"/>
      <c r="K728" s="26"/>
      <c r="L728" s="26"/>
      <c r="M728" s="26"/>
      <c r="N728" s="26"/>
      <c r="O728" s="26"/>
      <c r="P728" s="26"/>
    </row>
    <row r="729" spans="2:16" ht="15.75" customHeight="1">
      <c r="B729" s="33"/>
      <c r="C729" s="411"/>
      <c r="D729" s="557"/>
      <c r="E729" s="250"/>
      <c r="F729" s="412"/>
      <c r="G729" s="615"/>
      <c r="H729" s="603"/>
      <c r="I729" s="26"/>
      <c r="J729" s="26"/>
      <c r="K729" s="26"/>
      <c r="L729" s="26"/>
      <c r="M729" s="26"/>
      <c r="N729" s="26"/>
      <c r="O729" s="26"/>
      <c r="P729" s="26"/>
    </row>
    <row r="730" spans="2:16" ht="15.75" customHeight="1">
      <c r="B730" s="33"/>
      <c r="C730" s="529" t="s">
        <v>1455</v>
      </c>
      <c r="D730" s="526" t="s">
        <v>336</v>
      </c>
      <c r="E730" s="553">
        <v>160000</v>
      </c>
      <c r="F730" s="528" t="s">
        <v>1451</v>
      </c>
      <c r="G730" s="432" t="s">
        <v>1456</v>
      </c>
      <c r="H730" s="603"/>
      <c r="I730" s="26"/>
      <c r="J730" s="26"/>
      <c r="K730" s="26"/>
      <c r="L730" s="26"/>
      <c r="M730" s="26"/>
      <c r="N730" s="26"/>
      <c r="O730" s="26"/>
      <c r="P730" s="26"/>
    </row>
    <row r="731" spans="2:16" ht="15.75" customHeight="1">
      <c r="B731" s="33"/>
      <c r="C731" s="529" t="s">
        <v>1457</v>
      </c>
      <c r="D731" s="526" t="s">
        <v>328</v>
      </c>
      <c r="E731" s="500">
        <v>0.2</v>
      </c>
      <c r="F731" s="528" t="s">
        <v>1451</v>
      </c>
      <c r="G731" s="432" t="s">
        <v>1458</v>
      </c>
      <c r="H731" s="603"/>
      <c r="I731" s="26"/>
      <c r="J731" s="26"/>
      <c r="K731" s="26"/>
      <c r="L731" s="26"/>
      <c r="M731" s="26"/>
      <c r="N731" s="26"/>
      <c r="O731" s="26"/>
      <c r="P731" s="26"/>
    </row>
    <row r="732" spans="2:16" ht="15.75" customHeight="1">
      <c r="B732" s="33"/>
      <c r="C732" s="529" t="s">
        <v>1459</v>
      </c>
      <c r="D732" s="526" t="s">
        <v>328</v>
      </c>
      <c r="E732" s="500">
        <v>0.25</v>
      </c>
      <c r="F732" s="528" t="s">
        <v>1451</v>
      </c>
      <c r="G732" s="432" t="s">
        <v>1460</v>
      </c>
      <c r="H732" s="603"/>
      <c r="I732" s="26"/>
      <c r="J732" s="26"/>
      <c r="K732" s="26"/>
      <c r="L732" s="26"/>
      <c r="M732" s="26"/>
      <c r="N732" s="26"/>
      <c r="O732" s="26"/>
      <c r="P732" s="26"/>
    </row>
    <row r="733" spans="2:16" ht="15.75" customHeight="1">
      <c r="B733" s="33"/>
      <c r="C733" s="529" t="s">
        <v>1461</v>
      </c>
      <c r="D733" s="526" t="s">
        <v>1462</v>
      </c>
      <c r="E733" s="644">
        <v>3.5</v>
      </c>
      <c r="F733" s="528" t="s">
        <v>1463</v>
      </c>
      <c r="G733" s="432" t="s">
        <v>1464</v>
      </c>
      <c r="H733" s="603"/>
      <c r="I733" s="26"/>
      <c r="J733" s="26"/>
      <c r="K733" s="26"/>
      <c r="L733" s="26"/>
      <c r="M733" s="26"/>
      <c r="N733" s="26"/>
      <c r="O733" s="26"/>
      <c r="P733" s="26"/>
    </row>
    <row r="734" spans="2:16" ht="15.75" customHeight="1">
      <c r="B734" s="33"/>
      <c r="C734" s="529" t="s">
        <v>1465</v>
      </c>
      <c r="D734" s="526" t="s">
        <v>1466</v>
      </c>
      <c r="E734" s="645">
        <v>6</v>
      </c>
      <c r="F734" s="528" t="s">
        <v>1463</v>
      </c>
      <c r="G734" s="432" t="s">
        <v>1467</v>
      </c>
      <c r="H734" s="603"/>
      <c r="I734" s="26"/>
      <c r="J734" s="26"/>
      <c r="K734" s="26"/>
      <c r="L734" s="26"/>
      <c r="M734" s="26"/>
      <c r="N734" s="26"/>
      <c r="O734" s="26"/>
      <c r="P734" s="26"/>
    </row>
    <row r="735" spans="2:16" ht="15.75" customHeight="1">
      <c r="B735" s="33"/>
      <c r="C735" s="529" t="s">
        <v>1468</v>
      </c>
      <c r="D735" s="526" t="s">
        <v>1462</v>
      </c>
      <c r="E735" s="518">
        <v>4</v>
      </c>
      <c r="F735" s="528" t="s">
        <v>1469</v>
      </c>
      <c r="G735" s="432" t="s">
        <v>1470</v>
      </c>
      <c r="H735" s="603"/>
      <c r="I735" s="26"/>
      <c r="J735" s="26"/>
      <c r="K735" s="26"/>
      <c r="L735" s="26"/>
      <c r="M735" s="26"/>
      <c r="N735" s="26"/>
      <c r="O735" s="26"/>
      <c r="P735" s="26"/>
    </row>
    <row r="736" spans="2:16" ht="15.75" customHeight="1">
      <c r="B736" s="33"/>
      <c r="C736" s="411"/>
      <c r="D736" s="557"/>
      <c r="E736" s="250"/>
      <c r="F736" s="412"/>
      <c r="G736" s="615"/>
      <c r="H736" s="603"/>
      <c r="I736" s="26"/>
      <c r="J736" s="26"/>
      <c r="K736" s="26"/>
      <c r="L736" s="26"/>
      <c r="M736" s="26"/>
      <c r="N736" s="26"/>
      <c r="O736" s="26"/>
      <c r="P736" s="26"/>
    </row>
    <row r="737" spans="2:18" ht="15.75" customHeight="1">
      <c r="B737" s="33"/>
      <c r="C737" s="646" t="s">
        <v>1471</v>
      </c>
      <c r="D737" s="557"/>
      <c r="E737" s="250"/>
      <c r="F737" s="412"/>
      <c r="G737" s="615"/>
      <c r="H737" s="603"/>
      <c r="I737" s="26"/>
      <c r="J737" s="26"/>
      <c r="K737" s="26"/>
      <c r="L737" s="26"/>
      <c r="M737" s="26"/>
      <c r="N737" s="26"/>
      <c r="O737" s="26"/>
      <c r="P737" s="26"/>
    </row>
    <row r="738" spans="2:18" ht="15.75" customHeight="1">
      <c r="B738" s="33"/>
      <c r="C738" s="647" t="s">
        <v>1472</v>
      </c>
      <c r="D738" s="557"/>
      <c r="E738" s="250"/>
      <c r="F738" s="412"/>
      <c r="G738" s="615"/>
      <c r="H738" s="603"/>
      <c r="I738" s="26"/>
      <c r="J738" s="26"/>
      <c r="K738" s="26"/>
      <c r="L738" s="26"/>
      <c r="M738" s="26"/>
      <c r="N738" s="26"/>
      <c r="O738" s="26"/>
      <c r="P738" s="26"/>
    </row>
    <row r="739" spans="2:18" ht="15.75" customHeight="1">
      <c r="B739" s="33"/>
      <c r="C739" s="647" t="s">
        <v>1473</v>
      </c>
      <c r="D739" s="557"/>
      <c r="E739" s="250"/>
      <c r="F739" s="412"/>
      <c r="G739" s="615"/>
      <c r="H739" s="603"/>
      <c r="I739" s="26"/>
      <c r="J739" s="26"/>
      <c r="K739" s="26"/>
      <c r="L739" s="26"/>
      <c r="M739" s="26"/>
      <c r="N739" s="26"/>
      <c r="O739" s="26"/>
      <c r="P739" s="26"/>
    </row>
    <row r="740" spans="2:18" ht="15.75" customHeight="1">
      <c r="B740" s="47"/>
      <c r="C740" s="648"/>
      <c r="D740" s="649"/>
      <c r="E740" s="650"/>
      <c r="F740" s="651"/>
      <c r="G740" s="615"/>
      <c r="H740" s="603"/>
      <c r="I740" s="26"/>
      <c r="J740" s="26"/>
      <c r="K740" s="26"/>
      <c r="L740" s="26"/>
      <c r="M740" s="26"/>
      <c r="N740" s="26"/>
      <c r="O740" s="26"/>
      <c r="P740" s="26"/>
    </row>
    <row r="741" spans="2:18" ht="15.75" customHeight="1">
      <c r="B741" s="28"/>
      <c r="C741" s="610" t="s">
        <v>1474</v>
      </c>
      <c r="D741" s="611"/>
      <c r="E741" s="612"/>
      <c r="F741" s="652"/>
      <c r="G741" s="653"/>
      <c r="H741" s="654"/>
      <c r="I741" s="29"/>
      <c r="J741" s="29"/>
      <c r="K741" s="29"/>
      <c r="L741" s="29"/>
      <c r="M741" s="29"/>
      <c r="N741" s="29"/>
      <c r="O741" s="29"/>
      <c r="P741" s="29"/>
      <c r="Q741" s="655"/>
      <c r="R741" s="656"/>
    </row>
    <row r="742" spans="2:18" ht="15.75" customHeight="1">
      <c r="B742" s="33"/>
      <c r="C742" s="26"/>
      <c r="D742" s="26"/>
      <c r="E742" s="176"/>
      <c r="F742" s="26"/>
      <c r="G742" s="292"/>
      <c r="H742" s="603"/>
      <c r="I742" s="26"/>
      <c r="J742" s="26"/>
      <c r="K742" s="26"/>
      <c r="L742" s="26"/>
      <c r="M742" s="26"/>
      <c r="N742" s="26"/>
      <c r="O742" s="26"/>
      <c r="P742" s="26"/>
      <c r="R742" s="657"/>
    </row>
    <row r="743" spans="2:18" ht="15.75" customHeight="1">
      <c r="B743" s="33"/>
      <c r="C743" s="26"/>
      <c r="D743" s="26"/>
      <c r="E743" s="176"/>
      <c r="F743" s="26"/>
      <c r="G743" s="292"/>
      <c r="H743" s="603"/>
      <c r="I743" s="26"/>
      <c r="J743" s="26"/>
      <c r="K743" s="26"/>
      <c r="L743" s="26"/>
      <c r="M743" s="26"/>
      <c r="N743" s="26"/>
      <c r="O743" s="26"/>
      <c r="P743" s="26"/>
      <c r="R743" s="657"/>
    </row>
    <row r="744" spans="2:18" ht="15.75" customHeight="1">
      <c r="B744" s="33"/>
      <c r="C744" s="658" t="s">
        <v>211</v>
      </c>
      <c r="D744" s="659" t="s">
        <v>317</v>
      </c>
      <c r="E744" s="660" t="s">
        <v>150</v>
      </c>
      <c r="F744" s="661" t="s">
        <v>151</v>
      </c>
      <c r="G744" s="662" t="s">
        <v>152</v>
      </c>
      <c r="H744" s="663" t="s">
        <v>153</v>
      </c>
      <c r="I744" s="664" t="s">
        <v>154</v>
      </c>
      <c r="J744" s="664" t="s">
        <v>155</v>
      </c>
      <c r="K744" s="664" t="s">
        <v>201</v>
      </c>
      <c r="L744" s="664" t="s">
        <v>202</v>
      </c>
      <c r="M744" s="664" t="s">
        <v>203</v>
      </c>
      <c r="N744" s="664" t="s">
        <v>204</v>
      </c>
      <c r="O744" s="664" t="s">
        <v>205</v>
      </c>
      <c r="P744" s="664" t="s">
        <v>206</v>
      </c>
      <c r="Q744" s="664" t="s">
        <v>207</v>
      </c>
      <c r="R744" s="665" t="s">
        <v>208</v>
      </c>
    </row>
    <row r="745" spans="2:18" ht="15.75" customHeight="1">
      <c r="B745" s="33"/>
      <c r="C745" s="411"/>
      <c r="D745" s="526"/>
      <c r="E745" s="250"/>
      <c r="F745" s="412"/>
      <c r="G745" s="666"/>
      <c r="H745" s="412"/>
      <c r="I745" s="667"/>
      <c r="J745" s="667"/>
      <c r="K745" s="667"/>
      <c r="L745" s="667"/>
      <c r="M745" s="667"/>
      <c r="N745" s="667"/>
      <c r="O745" s="667"/>
      <c r="P745" s="667"/>
      <c r="Q745" s="667"/>
      <c r="R745" s="668"/>
    </row>
    <row r="746" spans="2:18" ht="15.75" customHeight="1">
      <c r="B746" s="33"/>
      <c r="C746" s="411" t="s">
        <v>1475</v>
      </c>
      <c r="D746" s="551" t="s">
        <v>336</v>
      </c>
      <c r="E746" s="364">
        <f>'P&amp;L'!G14</f>
        <v>0</v>
      </c>
      <c r="F746" s="669">
        <f>'P&amp;L'!H14</f>
        <v>0</v>
      </c>
      <c r="G746" s="670">
        <f>'P&amp;L'!I14</f>
        <v>0</v>
      </c>
      <c r="H746" s="669">
        <f>'P&amp;L'!J14</f>
        <v>5143660.7649999997</v>
      </c>
      <c r="I746" s="671">
        <f>'P&amp;L'!K14</f>
        <v>5410441.4719400005</v>
      </c>
      <c r="J746" s="671">
        <f>'P&amp;L'!L14</f>
        <v>5688599.726607901</v>
      </c>
      <c r="K746" s="671">
        <f>'P&amp;L'!M14</f>
        <v>6280018.9907890018</v>
      </c>
      <c r="L746" s="671">
        <f>'P&amp;L'!N14</f>
        <v>6468419.5605126703</v>
      </c>
      <c r="M746" s="671">
        <f>'P&amp;L'!O14</f>
        <v>6662472.1473280489</v>
      </c>
      <c r="N746" s="671">
        <f>'P&amp;L'!P14</f>
        <v>6862346.3117478909</v>
      </c>
      <c r="O746" s="671">
        <f>'P&amp;L'!Q14</f>
        <v>7068216.7011003289</v>
      </c>
      <c r="P746" s="671">
        <f>'P&amp;L'!R14</f>
        <v>7280263.2021333389</v>
      </c>
      <c r="Q746" s="671">
        <f>'P&amp;L'!S14</f>
        <v>7498671.0981973391</v>
      </c>
      <c r="R746" s="672">
        <f>'P&amp;L'!T14</f>
        <v>7723631.2311432613</v>
      </c>
    </row>
    <row r="747" spans="2:18" ht="15.75" customHeight="1">
      <c r="B747" s="33"/>
      <c r="C747" s="411" t="s">
        <v>1476</v>
      </c>
      <c r="D747" s="551" t="s">
        <v>320</v>
      </c>
      <c r="E747" s="673">
        <f t="shared" ref="E747:G747" si="5">0</f>
        <v>0</v>
      </c>
      <c r="F747" s="674">
        <f t="shared" si="5"/>
        <v>0</v>
      </c>
      <c r="G747" s="675">
        <f t="shared" si="5"/>
        <v>0</v>
      </c>
      <c r="H747" s="674">
        <f>'Calendar Assumptions'!F16</f>
        <v>155.73000000000002</v>
      </c>
      <c r="I747" s="676">
        <f>'Calendar Assumptions'!G16</f>
        <v>159.03600000000003</v>
      </c>
      <c r="J747" s="676">
        <f>'Calendar Assumptions'!H16</f>
        <v>162.34200000000004</v>
      </c>
      <c r="K747" s="676">
        <f>'Calendar Assumptions'!I16</f>
        <v>174</v>
      </c>
      <c r="L747" s="676">
        <f>'Calendar Assumptions'!J16</f>
        <v>174</v>
      </c>
      <c r="M747" s="676">
        <f>'Calendar Assumptions'!K16</f>
        <v>174</v>
      </c>
      <c r="N747" s="676">
        <f>'Calendar Assumptions'!L16</f>
        <v>174</v>
      </c>
      <c r="O747" s="676">
        <f>'Calendar Assumptions'!M16</f>
        <v>174</v>
      </c>
      <c r="P747" s="676">
        <f>'Calendar Assumptions'!N16</f>
        <v>174</v>
      </c>
      <c r="Q747" s="676">
        <f>'Calendar Assumptions'!O16</f>
        <v>174</v>
      </c>
      <c r="R747" s="677">
        <f>'Calendar Assumptions'!P16</f>
        <v>174</v>
      </c>
    </row>
    <row r="748" spans="2:18" ht="15.75" customHeight="1">
      <c r="B748" s="33"/>
      <c r="C748" s="411" t="s">
        <v>1477</v>
      </c>
      <c r="D748" s="551" t="s">
        <v>336</v>
      </c>
      <c r="E748" s="364">
        <f t="shared" ref="E748:G748" si="6">IF(E747=0,0,E746/E747)</f>
        <v>0</v>
      </c>
      <c r="F748" s="669">
        <f t="shared" si="6"/>
        <v>0</v>
      </c>
      <c r="G748" s="670">
        <f t="shared" si="6"/>
        <v>0</v>
      </c>
      <c r="H748" s="669">
        <f>'Revenue Assumptions'!F67</f>
        <v>40000</v>
      </c>
      <c r="I748" s="671">
        <f>'Revenue Assumptions'!G67</f>
        <v>41200</v>
      </c>
      <c r="J748" s="671">
        <f>'Revenue Assumptions'!H67</f>
        <v>42436</v>
      </c>
      <c r="K748" s="671">
        <f>'Revenue Assumptions'!I67</f>
        <v>43709.08</v>
      </c>
      <c r="L748" s="671">
        <f>'Revenue Assumptions'!J67</f>
        <v>45020.352400000003</v>
      </c>
      <c r="M748" s="671">
        <f>'Revenue Assumptions'!K67</f>
        <v>46370.962972000001</v>
      </c>
      <c r="N748" s="671">
        <f>'Revenue Assumptions'!L67</f>
        <v>47762.091861159999</v>
      </c>
      <c r="O748" s="671">
        <f>'Revenue Assumptions'!M67</f>
        <v>49194.954616994801</v>
      </c>
      <c r="P748" s="671">
        <f>'Revenue Assumptions'!N67</f>
        <v>50670.803255504645</v>
      </c>
      <c r="Q748" s="671">
        <f>'Revenue Assumptions'!O67</f>
        <v>52190.927353169784</v>
      </c>
      <c r="R748" s="672">
        <f>'Revenue Assumptions'!P67</f>
        <v>53756.655173764877</v>
      </c>
    </row>
    <row r="749" spans="2:18" ht="15.75" customHeight="1">
      <c r="B749" s="33"/>
      <c r="C749" s="411" t="s">
        <v>1478</v>
      </c>
      <c r="D749" s="551" t="s">
        <v>1462</v>
      </c>
      <c r="E749" s="673">
        <f t="shared" ref="E749:G749" si="7">0</f>
        <v>0</v>
      </c>
      <c r="F749" s="674">
        <f t="shared" si="7"/>
        <v>0</v>
      </c>
      <c r="G749" s="675">
        <f t="shared" si="7"/>
        <v>0</v>
      </c>
      <c r="H749" s="674">
        <f>$E$734</f>
        <v>6</v>
      </c>
      <c r="I749" s="676">
        <v>8</v>
      </c>
      <c r="J749" s="676">
        <v>8</v>
      </c>
      <c r="K749" s="676">
        <v>8</v>
      </c>
      <c r="L749" s="676">
        <v>8</v>
      </c>
      <c r="M749" s="676">
        <v>9</v>
      </c>
      <c r="N749" s="676">
        <v>9</v>
      </c>
      <c r="O749" s="676">
        <v>9</v>
      </c>
      <c r="P749" s="676">
        <v>9</v>
      </c>
      <c r="Q749" s="676">
        <v>10</v>
      </c>
      <c r="R749" s="677">
        <v>10</v>
      </c>
    </row>
    <row r="750" spans="2:18" ht="15.75" customHeight="1">
      <c r="B750" s="33"/>
      <c r="C750" s="411" t="s">
        <v>1479</v>
      </c>
      <c r="D750" s="551" t="s">
        <v>336</v>
      </c>
      <c r="E750" s="364">
        <f t="shared" ref="E750:R750" si="8">E749*E748</f>
        <v>0</v>
      </c>
      <c r="F750" s="669">
        <f t="shared" si="8"/>
        <v>0</v>
      </c>
      <c r="G750" s="670">
        <f t="shared" si="8"/>
        <v>0</v>
      </c>
      <c r="H750" s="669">
        <f t="shared" si="8"/>
        <v>240000</v>
      </c>
      <c r="I750" s="671">
        <f t="shared" si="8"/>
        <v>329600</v>
      </c>
      <c r="J750" s="671">
        <f t="shared" si="8"/>
        <v>339488</v>
      </c>
      <c r="K750" s="671">
        <f t="shared" si="8"/>
        <v>349672.64</v>
      </c>
      <c r="L750" s="671">
        <f t="shared" si="8"/>
        <v>360162.81920000003</v>
      </c>
      <c r="M750" s="671">
        <f t="shared" si="8"/>
        <v>417338.66674800002</v>
      </c>
      <c r="N750" s="671">
        <f t="shared" si="8"/>
        <v>429858.82675044</v>
      </c>
      <c r="O750" s="671">
        <f t="shared" si="8"/>
        <v>442754.59155295324</v>
      </c>
      <c r="P750" s="671">
        <f t="shared" si="8"/>
        <v>456037.2292995418</v>
      </c>
      <c r="Q750" s="671">
        <f t="shared" si="8"/>
        <v>521909.27353169781</v>
      </c>
      <c r="R750" s="672">
        <f t="shared" si="8"/>
        <v>537566.55173764878</v>
      </c>
    </row>
    <row r="751" spans="2:18" ht="15.75" customHeight="1">
      <c r="B751" s="33"/>
      <c r="C751" s="411" t="s">
        <v>1480</v>
      </c>
      <c r="D751" s="551" t="s">
        <v>336</v>
      </c>
      <c r="E751" s="364">
        <f t="shared" ref="E751:G751" si="9">IF(E750&gt;$E$730,$E$731*MIN(E750,$E$730),0)</f>
        <v>0</v>
      </c>
      <c r="F751" s="669">
        <f t="shared" si="9"/>
        <v>0</v>
      </c>
      <c r="G751" s="670">
        <f t="shared" si="9"/>
        <v>0</v>
      </c>
      <c r="H751" s="669">
        <f t="shared" ref="H751:R751" si="10">$E$730*$E$731</f>
        <v>32000</v>
      </c>
      <c r="I751" s="671">
        <f t="shared" si="10"/>
        <v>32000</v>
      </c>
      <c r="J751" s="671">
        <f t="shared" si="10"/>
        <v>32000</v>
      </c>
      <c r="K751" s="671">
        <f t="shared" si="10"/>
        <v>32000</v>
      </c>
      <c r="L751" s="671">
        <f t="shared" si="10"/>
        <v>32000</v>
      </c>
      <c r="M751" s="671">
        <f t="shared" si="10"/>
        <v>32000</v>
      </c>
      <c r="N751" s="671">
        <f t="shared" si="10"/>
        <v>32000</v>
      </c>
      <c r="O751" s="671">
        <f t="shared" si="10"/>
        <v>32000</v>
      </c>
      <c r="P751" s="671">
        <f t="shared" si="10"/>
        <v>32000</v>
      </c>
      <c r="Q751" s="671">
        <f t="shared" si="10"/>
        <v>32000</v>
      </c>
      <c r="R751" s="672">
        <f t="shared" si="10"/>
        <v>32000</v>
      </c>
    </row>
    <row r="752" spans="2:18" ht="15.75" customHeight="1">
      <c r="B752" s="33"/>
      <c r="C752" s="411" t="s">
        <v>1481</v>
      </c>
      <c r="D752" s="551" t="s">
        <v>336</v>
      </c>
      <c r="E752" s="364">
        <f t="shared" ref="E752:G752" si="11">$E$732*MAX(E750-$E$730,0)</f>
        <v>0</v>
      </c>
      <c r="F752" s="669">
        <f t="shared" si="11"/>
        <v>0</v>
      </c>
      <c r="G752" s="670">
        <f t="shared" si="11"/>
        <v>0</v>
      </c>
      <c r="H752" s="669">
        <f t="shared" ref="H752:R752" si="12">(H749-$E$735)*H748*$E$732</f>
        <v>20000</v>
      </c>
      <c r="I752" s="671">
        <f t="shared" si="12"/>
        <v>41200</v>
      </c>
      <c r="J752" s="671">
        <f t="shared" si="12"/>
        <v>42436</v>
      </c>
      <c r="K752" s="671">
        <f t="shared" si="12"/>
        <v>43709.08</v>
      </c>
      <c r="L752" s="671">
        <f t="shared" si="12"/>
        <v>45020.352400000003</v>
      </c>
      <c r="M752" s="671">
        <f t="shared" si="12"/>
        <v>57963.703715000003</v>
      </c>
      <c r="N752" s="671">
        <f t="shared" si="12"/>
        <v>59702.614826450001</v>
      </c>
      <c r="O752" s="671">
        <f t="shared" si="12"/>
        <v>61493.693271243501</v>
      </c>
      <c r="P752" s="671">
        <f t="shared" si="12"/>
        <v>63338.504069380804</v>
      </c>
      <c r="Q752" s="671">
        <f t="shared" si="12"/>
        <v>78286.391029754683</v>
      </c>
      <c r="R752" s="672">
        <f t="shared" si="12"/>
        <v>80634.982760647312</v>
      </c>
    </row>
    <row r="753" spans="2:18" ht="15.75" customHeight="1">
      <c r="B753" s="33"/>
      <c r="C753" s="411" t="s">
        <v>1482</v>
      </c>
      <c r="D753" s="551" t="s">
        <v>336</v>
      </c>
      <c r="E753" s="364">
        <f t="shared" ref="E753:R753" si="13">E751+E752</f>
        <v>0</v>
      </c>
      <c r="F753" s="669">
        <f t="shared" si="13"/>
        <v>0</v>
      </c>
      <c r="G753" s="670">
        <f t="shared" si="13"/>
        <v>0</v>
      </c>
      <c r="H753" s="669">
        <f t="shared" si="13"/>
        <v>52000</v>
      </c>
      <c r="I753" s="671">
        <f t="shared" si="13"/>
        <v>73200</v>
      </c>
      <c r="J753" s="671">
        <f t="shared" si="13"/>
        <v>74436</v>
      </c>
      <c r="K753" s="671">
        <f t="shared" si="13"/>
        <v>75709.08</v>
      </c>
      <c r="L753" s="671">
        <f t="shared" si="13"/>
        <v>77020.352400000003</v>
      </c>
      <c r="M753" s="671">
        <f t="shared" si="13"/>
        <v>89963.703715000011</v>
      </c>
      <c r="N753" s="671">
        <f t="shared" si="13"/>
        <v>91702.614826450008</v>
      </c>
      <c r="O753" s="671">
        <f t="shared" si="13"/>
        <v>93493.693271243508</v>
      </c>
      <c r="P753" s="671">
        <f t="shared" si="13"/>
        <v>95338.504069380811</v>
      </c>
      <c r="Q753" s="671">
        <f t="shared" si="13"/>
        <v>110286.39102975468</v>
      </c>
      <c r="R753" s="672">
        <f t="shared" si="13"/>
        <v>112634.98276064731</v>
      </c>
    </row>
    <row r="754" spans="2:18" ht="15.75" customHeight="1">
      <c r="B754" s="33"/>
      <c r="C754" s="411" t="s">
        <v>1483</v>
      </c>
      <c r="D754" s="551" t="s">
        <v>1462</v>
      </c>
      <c r="E754" s="673">
        <f t="shared" ref="E754:G754" si="14">IF(E750&gt;$E$730,$E$733,0)</f>
        <v>0</v>
      </c>
      <c r="F754" s="674">
        <f t="shared" si="14"/>
        <v>0</v>
      </c>
      <c r="G754" s="675">
        <f t="shared" si="14"/>
        <v>0</v>
      </c>
      <c r="H754" s="674">
        <v>4</v>
      </c>
      <c r="I754" s="676">
        <v>5</v>
      </c>
      <c r="J754" s="676">
        <v>5</v>
      </c>
      <c r="K754" s="676">
        <v>6</v>
      </c>
      <c r="L754" s="676">
        <v>6</v>
      </c>
      <c r="M754" s="676">
        <v>6</v>
      </c>
      <c r="N754" s="676">
        <v>7</v>
      </c>
      <c r="O754" s="676">
        <v>7</v>
      </c>
      <c r="P754" s="676">
        <v>7</v>
      </c>
      <c r="Q754" s="676">
        <v>7</v>
      </c>
      <c r="R754" s="677">
        <v>8</v>
      </c>
    </row>
    <row r="755" spans="2:18" ht="15.75" customHeight="1">
      <c r="B755" s="33"/>
      <c r="C755" s="411" t="s">
        <v>1484</v>
      </c>
      <c r="D755" s="551" t="s">
        <v>336</v>
      </c>
      <c r="E755" s="364">
        <f t="shared" ref="E755:R755" si="15">E753*E754</f>
        <v>0</v>
      </c>
      <c r="F755" s="669">
        <f t="shared" si="15"/>
        <v>0</v>
      </c>
      <c r="G755" s="670">
        <f t="shared" si="15"/>
        <v>0</v>
      </c>
      <c r="H755" s="669">
        <f t="shared" si="15"/>
        <v>208000</v>
      </c>
      <c r="I755" s="671">
        <f t="shared" si="15"/>
        <v>366000</v>
      </c>
      <c r="J755" s="671">
        <f t="shared" si="15"/>
        <v>372180</v>
      </c>
      <c r="K755" s="671">
        <f t="shared" si="15"/>
        <v>454254.48</v>
      </c>
      <c r="L755" s="671">
        <f t="shared" si="15"/>
        <v>462122.11440000002</v>
      </c>
      <c r="M755" s="671">
        <f t="shared" si="15"/>
        <v>539782.22229000006</v>
      </c>
      <c r="N755" s="671">
        <f t="shared" si="15"/>
        <v>641918.30378515006</v>
      </c>
      <c r="O755" s="671">
        <f t="shared" si="15"/>
        <v>654455.85289870459</v>
      </c>
      <c r="P755" s="671">
        <f t="shared" si="15"/>
        <v>667369.52848566568</v>
      </c>
      <c r="Q755" s="671">
        <f t="shared" si="15"/>
        <v>772004.73720828281</v>
      </c>
      <c r="R755" s="672">
        <f t="shared" si="15"/>
        <v>901079.86208517849</v>
      </c>
    </row>
    <row r="756" spans="2:18" ht="15.75" customHeight="1">
      <c r="B756" s="33"/>
      <c r="C756" s="411" t="s">
        <v>1485</v>
      </c>
      <c r="D756" s="551" t="s">
        <v>336</v>
      </c>
      <c r="E756" s="364">
        <f>E755</f>
        <v>0</v>
      </c>
      <c r="F756" s="669">
        <f t="shared" ref="F756:G756" si="16">F755-E755</f>
        <v>0</v>
      </c>
      <c r="G756" s="670">
        <f t="shared" si="16"/>
        <v>0</v>
      </c>
      <c r="H756" s="669">
        <f t="shared" ref="H756:R756" si="17">H755</f>
        <v>208000</v>
      </c>
      <c r="I756" s="671">
        <f t="shared" si="17"/>
        <v>366000</v>
      </c>
      <c r="J756" s="671">
        <f t="shared" si="17"/>
        <v>372180</v>
      </c>
      <c r="K756" s="671">
        <f t="shared" si="17"/>
        <v>454254.48</v>
      </c>
      <c r="L756" s="671">
        <f t="shared" si="17"/>
        <v>462122.11440000002</v>
      </c>
      <c r="M756" s="671">
        <f t="shared" si="17"/>
        <v>539782.22229000006</v>
      </c>
      <c r="N756" s="671">
        <f t="shared" si="17"/>
        <v>641918.30378515006</v>
      </c>
      <c r="O756" s="671">
        <f t="shared" si="17"/>
        <v>654455.85289870459</v>
      </c>
      <c r="P756" s="671">
        <f t="shared" si="17"/>
        <v>667369.52848566568</v>
      </c>
      <c r="Q756" s="671">
        <f t="shared" si="17"/>
        <v>772004.73720828281</v>
      </c>
      <c r="R756" s="672">
        <f t="shared" si="17"/>
        <v>901079.86208517849</v>
      </c>
    </row>
    <row r="757" spans="2:18" ht="15.75" customHeight="1">
      <c r="B757" s="33"/>
      <c r="C757" s="627"/>
      <c r="D757" s="150"/>
      <c r="E757" s="362"/>
      <c r="F757" s="678"/>
      <c r="G757" s="679"/>
      <c r="H757" s="678"/>
      <c r="I757" s="678"/>
      <c r="J757" s="678"/>
      <c r="K757" s="680"/>
      <c r="L757" s="680"/>
      <c r="M757" s="680"/>
      <c r="N757" s="680"/>
      <c r="O757" s="680"/>
      <c r="P757" s="680"/>
      <c r="R757" s="657"/>
    </row>
    <row r="758" spans="2:18" ht="15.75" customHeight="1">
      <c r="B758" s="33"/>
      <c r="C758" s="647" t="s">
        <v>1486</v>
      </c>
      <c r="D758" s="557"/>
      <c r="E758" s="250"/>
      <c r="F758" s="412"/>
      <c r="G758" s="666"/>
      <c r="H758" s="412"/>
      <c r="I758" s="412"/>
      <c r="J758" s="412"/>
      <c r="K758" s="411"/>
      <c r="L758" s="411"/>
      <c r="M758" s="411"/>
      <c r="N758" s="411"/>
      <c r="O758" s="411"/>
      <c r="P758" s="411"/>
      <c r="R758" s="657"/>
    </row>
    <row r="759" spans="2:18" ht="15.75" customHeight="1">
      <c r="B759" s="33"/>
      <c r="C759" s="26"/>
      <c r="D759" s="26"/>
      <c r="E759" s="176"/>
      <c r="F759" s="26"/>
      <c r="G759" s="292"/>
      <c r="H759" s="603"/>
      <c r="I759" s="26"/>
      <c r="J759" s="26"/>
      <c r="K759" s="26"/>
      <c r="L759" s="26"/>
      <c r="M759" s="26"/>
      <c r="N759" s="26"/>
      <c r="O759" s="26"/>
      <c r="P759" s="26"/>
      <c r="R759" s="657"/>
    </row>
    <row r="760" spans="2:18" ht="15.75" customHeight="1">
      <c r="B760" s="33"/>
      <c r="C760" s="26"/>
      <c r="D760" s="26"/>
      <c r="E760" s="176"/>
      <c r="F760" s="26"/>
      <c r="G760" s="292"/>
      <c r="H760" s="603"/>
      <c r="I760" s="26"/>
      <c r="J760" s="26"/>
      <c r="K760" s="26"/>
      <c r="L760" s="26"/>
      <c r="M760" s="26"/>
      <c r="N760" s="26"/>
      <c r="O760" s="26"/>
      <c r="P760" s="26"/>
      <c r="R760" s="657"/>
    </row>
    <row r="761" spans="2:18" ht="15.75" customHeight="1">
      <c r="B761" s="28"/>
      <c r="C761" s="681" t="s">
        <v>1487</v>
      </c>
      <c r="D761" s="682"/>
      <c r="E761" s="683"/>
      <c r="F761" s="684"/>
      <c r="G761" s="653"/>
      <c r="H761" s="685"/>
      <c r="I761" s="685"/>
      <c r="J761" s="685"/>
      <c r="K761" s="686"/>
      <c r="L761" s="686"/>
      <c r="M761" s="686"/>
      <c r="N761" s="686"/>
      <c r="O761" s="29"/>
      <c r="P761" s="29"/>
      <c r="Q761" s="655"/>
      <c r="R761" s="656"/>
    </row>
    <row r="762" spans="2:18" ht="15.75" customHeight="1">
      <c r="B762" s="33"/>
      <c r="C762" s="643" t="s">
        <v>1488</v>
      </c>
      <c r="D762" s="557"/>
      <c r="E762" s="250"/>
      <c r="F762" s="412"/>
      <c r="G762" s="666"/>
      <c r="H762" s="412"/>
      <c r="I762" s="411"/>
      <c r="J762" s="411"/>
      <c r="K762" s="411"/>
      <c r="L762" s="411"/>
      <c r="M762" s="411"/>
      <c r="N762" s="411"/>
      <c r="O762" s="26"/>
      <c r="P762" s="26"/>
      <c r="R762" s="657"/>
    </row>
    <row r="763" spans="2:18" ht="15.75" customHeight="1">
      <c r="B763" s="33"/>
      <c r="C763" s="411"/>
      <c r="D763" s="557"/>
      <c r="E763" s="250"/>
      <c r="F763" s="412"/>
      <c r="G763" s="666"/>
      <c r="H763" s="412"/>
      <c r="I763" s="412"/>
      <c r="J763" s="412"/>
      <c r="K763" s="411"/>
      <c r="L763" s="411"/>
      <c r="M763" s="411"/>
      <c r="N763" s="411"/>
      <c r="O763" s="26"/>
      <c r="P763" s="26"/>
      <c r="R763" s="657"/>
    </row>
    <row r="764" spans="2:18" ht="15.75" customHeight="1">
      <c r="B764" s="33"/>
      <c r="C764" s="687" t="s">
        <v>751</v>
      </c>
      <c r="D764" s="688" t="s">
        <v>317</v>
      </c>
      <c r="E764" s="689" t="s">
        <v>153</v>
      </c>
      <c r="F764" s="687" t="s">
        <v>154</v>
      </c>
      <c r="G764" s="690" t="s">
        <v>155</v>
      </c>
      <c r="H764" s="691" t="s">
        <v>201</v>
      </c>
      <c r="I764" s="687" t="s">
        <v>202</v>
      </c>
      <c r="J764" s="687" t="s">
        <v>203</v>
      </c>
      <c r="K764" s="687" t="s">
        <v>204</v>
      </c>
      <c r="L764" s="687" t="s">
        <v>205</v>
      </c>
      <c r="M764" s="687" t="s">
        <v>206</v>
      </c>
      <c r="N764" s="687" t="s">
        <v>229</v>
      </c>
      <c r="O764" s="26"/>
      <c r="P764" s="26"/>
      <c r="R764" s="657"/>
    </row>
    <row r="765" spans="2:18" ht="15.75" customHeight="1">
      <c r="B765" s="33"/>
      <c r="C765" s="26"/>
      <c r="D765" s="26"/>
      <c r="E765" s="176"/>
      <c r="F765" s="26"/>
      <c r="G765" s="292"/>
      <c r="H765" s="603"/>
      <c r="I765" s="26"/>
      <c r="J765" s="26"/>
      <c r="K765" s="26"/>
      <c r="L765" s="26"/>
      <c r="M765" s="411"/>
      <c r="N765" s="411"/>
      <c r="O765" s="26"/>
      <c r="P765" s="26"/>
      <c r="R765" s="657"/>
    </row>
    <row r="766" spans="2:18" ht="15.75" customHeight="1">
      <c r="B766" s="33"/>
      <c r="C766" s="411" t="s">
        <v>1489</v>
      </c>
      <c r="D766" s="557" t="s">
        <v>328</v>
      </c>
      <c r="E766" s="692">
        <v>0.89500000000000002</v>
      </c>
      <c r="F766" s="693">
        <v>0.91400000000000003</v>
      </c>
      <c r="G766" s="694">
        <v>0.93300000000000005</v>
      </c>
      <c r="H766" s="695">
        <v>1</v>
      </c>
      <c r="I766" s="693">
        <v>1</v>
      </c>
      <c r="J766" s="693">
        <v>1</v>
      </c>
      <c r="K766" s="693">
        <v>1</v>
      </c>
      <c r="L766" s="693">
        <v>1</v>
      </c>
      <c r="M766" s="693">
        <v>1</v>
      </c>
      <c r="N766" s="411" t="s">
        <v>1490</v>
      </c>
      <c r="O766" s="26"/>
      <c r="P766" s="26"/>
      <c r="R766" s="657"/>
    </row>
    <row r="767" spans="2:18" ht="15.75" customHeight="1">
      <c r="B767" s="33"/>
      <c r="C767" s="26"/>
      <c r="D767" s="26"/>
      <c r="E767" s="176"/>
      <c r="F767" s="26"/>
      <c r="G767" s="292"/>
      <c r="H767" s="603"/>
      <c r="I767" s="26"/>
      <c r="J767" s="26"/>
      <c r="K767" s="26"/>
      <c r="L767" s="26"/>
      <c r="M767" s="26"/>
      <c r="N767" s="26"/>
      <c r="O767" s="26"/>
      <c r="P767" s="26"/>
      <c r="R767" s="657"/>
    </row>
    <row r="768" spans="2:18" ht="15.75" customHeight="1">
      <c r="B768" s="558"/>
      <c r="C768" s="411" t="s">
        <v>1491</v>
      </c>
      <c r="D768" s="557" t="s">
        <v>300</v>
      </c>
      <c r="E768" s="696">
        <f>ROUND(E627*E766,0)</f>
        <v>156</v>
      </c>
      <c r="F768" s="697">
        <f>ROUND(E627*F766,0)</f>
        <v>159</v>
      </c>
      <c r="G768" s="698">
        <f>ROUND(E627*G766,0)</f>
        <v>162</v>
      </c>
      <c r="H768" s="699">
        <f>ROUND(E627*H766,0)</f>
        <v>174</v>
      </c>
      <c r="I768" s="697">
        <f>ROUND(E627*I766,0)</f>
        <v>174</v>
      </c>
      <c r="J768" s="697">
        <f>ROUND(E627*J766,0)</f>
        <v>174</v>
      </c>
      <c r="K768" s="697">
        <f>ROUND(E627*K766,0)</f>
        <v>174</v>
      </c>
      <c r="L768" s="697">
        <f>ROUND(E627*L766,0)</f>
        <v>174</v>
      </c>
      <c r="M768" s="697">
        <f>ROUND(E627*M766,0)</f>
        <v>174</v>
      </c>
      <c r="N768" s="411" t="s">
        <v>1492</v>
      </c>
      <c r="O768" s="26"/>
      <c r="P768" s="26"/>
      <c r="R768" s="657"/>
    </row>
    <row r="769" spans="2:18" ht="15.75" customHeight="1">
      <c r="B769" s="558"/>
      <c r="C769" s="411"/>
      <c r="D769" s="557"/>
      <c r="E769" s="176"/>
      <c r="F769" s="411"/>
      <c r="G769" s="700"/>
      <c r="H769" s="412"/>
      <c r="I769" s="411"/>
      <c r="J769" s="411"/>
      <c r="K769" s="411"/>
      <c r="L769" s="411"/>
      <c r="M769" s="411"/>
      <c r="N769" s="411"/>
      <c r="O769" s="26"/>
      <c r="P769" s="26"/>
      <c r="R769" s="657"/>
    </row>
    <row r="770" spans="2:18" ht="15.75" customHeight="1">
      <c r="B770" s="558"/>
      <c r="C770" s="411" t="s">
        <v>1493</v>
      </c>
      <c r="D770" s="557" t="s">
        <v>300</v>
      </c>
      <c r="E770" s="696">
        <f>E627</f>
        <v>174</v>
      </c>
      <c r="F770" s="411"/>
      <c r="G770" s="700"/>
      <c r="H770" s="412"/>
      <c r="I770" s="411"/>
      <c r="J770" s="411"/>
      <c r="K770" s="411"/>
      <c r="L770" s="411"/>
      <c r="M770" s="411"/>
      <c r="N770" s="411" t="s">
        <v>1494</v>
      </c>
      <c r="O770" s="26"/>
      <c r="P770" s="26"/>
      <c r="R770" s="657"/>
    </row>
    <row r="771" spans="2:18" ht="15.75" customHeight="1">
      <c r="B771" s="558"/>
      <c r="C771" s="411"/>
      <c r="D771" s="557"/>
      <c r="E771" s="176"/>
      <c r="F771" s="411"/>
      <c r="G771" s="700"/>
      <c r="H771" s="412"/>
      <c r="I771" s="411"/>
      <c r="J771" s="411"/>
      <c r="K771" s="411"/>
      <c r="L771" s="411"/>
      <c r="M771" s="411"/>
      <c r="N771" s="411"/>
      <c r="O771" s="26"/>
      <c r="P771" s="26"/>
      <c r="R771" s="657"/>
    </row>
    <row r="772" spans="2:18" ht="15.75" customHeight="1">
      <c r="B772" s="558"/>
      <c r="C772" s="411" t="s">
        <v>1495</v>
      </c>
      <c r="D772" s="557" t="s">
        <v>567</v>
      </c>
      <c r="E772" s="701">
        <f>Scenarios!$B$12</f>
        <v>1</v>
      </c>
      <c r="F772" s="411"/>
      <c r="G772" s="700"/>
      <c r="H772" s="412"/>
      <c r="I772" s="411"/>
      <c r="J772" s="411"/>
      <c r="K772" s="411"/>
      <c r="L772" s="411"/>
      <c r="M772" s="411"/>
      <c r="N772" s="411" t="s">
        <v>1496</v>
      </c>
      <c r="O772" s="26"/>
      <c r="P772" s="26"/>
      <c r="R772" s="657"/>
    </row>
    <row r="773" spans="2:18" ht="15.75" customHeight="1">
      <c r="B773" s="558"/>
      <c r="C773" s="26"/>
      <c r="D773" s="26"/>
      <c r="E773" s="176"/>
      <c r="F773" s="26"/>
      <c r="G773" s="292"/>
      <c r="H773" s="603"/>
      <c r="I773" s="26"/>
      <c r="J773" s="26"/>
      <c r="K773" s="26"/>
      <c r="L773" s="26"/>
      <c r="M773" s="411"/>
      <c r="N773" s="411"/>
      <c r="O773" s="26"/>
      <c r="P773" s="26"/>
      <c r="R773" s="657"/>
    </row>
    <row r="774" spans="2:18" ht="15.75" customHeight="1">
      <c r="B774" s="558"/>
      <c r="C774" s="26"/>
      <c r="D774" s="26"/>
      <c r="E774" s="176"/>
      <c r="F774" s="26"/>
      <c r="G774" s="292"/>
      <c r="H774" s="603"/>
      <c r="I774" s="26"/>
      <c r="J774" s="26"/>
      <c r="K774" s="26"/>
      <c r="L774" s="26"/>
      <c r="M774" s="411"/>
      <c r="N774" s="411"/>
      <c r="O774" s="26"/>
      <c r="P774" s="26"/>
      <c r="R774" s="657"/>
    </row>
    <row r="775" spans="2:18" ht="15.75" customHeight="1">
      <c r="B775" s="558"/>
      <c r="C775" s="26"/>
      <c r="D775" s="26"/>
      <c r="E775" s="176"/>
      <c r="F775" s="26"/>
      <c r="G775" s="292"/>
      <c r="H775" s="603"/>
      <c r="I775" s="26"/>
      <c r="J775" s="26"/>
      <c r="K775" s="26"/>
      <c r="L775" s="26"/>
      <c r="M775" s="26"/>
      <c r="N775" s="26"/>
      <c r="O775" s="26"/>
      <c r="P775" s="26"/>
      <c r="R775" s="657"/>
    </row>
    <row r="776" spans="2:18" ht="15.75" customHeight="1">
      <c r="B776" s="558"/>
      <c r="C776" s="26"/>
      <c r="D776" s="26"/>
      <c r="E776" s="176"/>
      <c r="F776" s="26"/>
      <c r="G776" s="292"/>
      <c r="H776" s="603"/>
      <c r="I776" s="26"/>
      <c r="J776" s="26"/>
      <c r="K776" s="26"/>
      <c r="L776" s="26"/>
      <c r="M776" s="26"/>
      <c r="N776" s="26"/>
      <c r="O776" s="26"/>
      <c r="P776" s="26"/>
      <c r="R776" s="657"/>
    </row>
    <row r="777" spans="2:18" ht="15.75" customHeight="1">
      <c r="B777" s="47"/>
      <c r="C777" s="48"/>
      <c r="D777" s="48"/>
      <c r="E777" s="702"/>
      <c r="F777" s="48"/>
      <c r="G777" s="703"/>
      <c r="H777" s="704"/>
      <c r="I777" s="48"/>
      <c r="J777" s="48"/>
      <c r="K777" s="48"/>
      <c r="L777" s="48"/>
      <c r="M777" s="48"/>
      <c r="N777" s="48"/>
      <c r="O777" s="48"/>
      <c r="P777" s="48"/>
      <c r="Q777" s="705"/>
      <c r="R777" s="706"/>
    </row>
    <row r="778" spans="2:18" ht="15" customHeight="1">
      <c r="B778" s="1421" t="s">
        <v>1497</v>
      </c>
      <c r="C778" s="1422"/>
      <c r="D778" s="1422"/>
      <c r="E778" s="1422"/>
      <c r="F778" s="1422"/>
      <c r="G778" s="1367"/>
      <c r="H778" s="603"/>
      <c r="I778" s="26"/>
      <c r="J778" s="26"/>
      <c r="K778" s="26"/>
      <c r="L778" s="26"/>
      <c r="M778" s="26"/>
      <c r="N778" s="26"/>
      <c r="O778" s="26"/>
      <c r="P778" s="26"/>
    </row>
    <row r="779" spans="2:18" ht="15.75" customHeight="1">
      <c r="B779" s="1423" t="s">
        <v>1498</v>
      </c>
      <c r="C779" s="1305"/>
      <c r="D779" s="1305"/>
      <c r="E779" s="1305"/>
      <c r="F779" s="1305"/>
      <c r="G779" s="1424"/>
      <c r="H779" s="603"/>
      <c r="I779" s="26"/>
      <c r="J779" s="26"/>
      <c r="K779" s="26"/>
      <c r="L779" s="26"/>
      <c r="M779" s="26"/>
      <c r="N779" s="26"/>
      <c r="O779" s="26"/>
      <c r="P779" s="26"/>
    </row>
    <row r="780" spans="2:18" ht="15.75" customHeight="1">
      <c r="B780" s="33"/>
      <c r="C780" s="26"/>
      <c r="D780" s="26"/>
      <c r="E780" s="176"/>
      <c r="F780" s="26"/>
      <c r="G780" s="616"/>
      <c r="H780" s="603"/>
      <c r="I780" s="26"/>
      <c r="J780" s="26"/>
      <c r="K780" s="26"/>
      <c r="L780" s="26"/>
      <c r="M780" s="26"/>
      <c r="N780" s="26"/>
      <c r="O780" s="26"/>
      <c r="P780" s="26"/>
    </row>
    <row r="781" spans="2:18" ht="15.75" customHeight="1">
      <c r="B781" s="33"/>
      <c r="C781" s="707" t="s">
        <v>751</v>
      </c>
      <c r="D781" s="708" t="s">
        <v>317</v>
      </c>
      <c r="E781" s="709" t="s">
        <v>212</v>
      </c>
      <c r="F781" s="709" t="s">
        <v>686</v>
      </c>
      <c r="G781" s="710" t="s">
        <v>229</v>
      </c>
      <c r="H781" s="603"/>
      <c r="I781" s="26"/>
      <c r="J781" s="26"/>
      <c r="K781" s="26"/>
      <c r="L781" s="26"/>
      <c r="M781" s="26"/>
      <c r="N781" s="26"/>
      <c r="O781" s="26"/>
      <c r="P781" s="26"/>
    </row>
    <row r="782" spans="2:18" ht="15.75" customHeight="1">
      <c r="B782" s="33"/>
      <c r="C782" s="711"/>
      <c r="D782" s="712"/>
      <c r="E782" s="711"/>
      <c r="F782" s="711"/>
      <c r="G782" s="713"/>
      <c r="H782" s="603"/>
      <c r="I782" s="26"/>
      <c r="J782" s="26"/>
      <c r="K782" s="26"/>
      <c r="L782" s="26"/>
      <c r="M782" s="26"/>
      <c r="N782" s="26"/>
      <c r="O782" s="26"/>
      <c r="P782" s="26"/>
    </row>
    <row r="783" spans="2:18" ht="15.75" customHeight="1">
      <c r="B783" s="33"/>
      <c r="C783" s="711" t="s">
        <v>1499</v>
      </c>
      <c r="D783" s="712" t="s">
        <v>336</v>
      </c>
      <c r="E783" s="714">
        <f>E120</f>
        <v>8970383.0899999999</v>
      </c>
      <c r="F783" s="711" t="s">
        <v>804</v>
      </c>
      <c r="G783" s="713" t="s">
        <v>1500</v>
      </c>
      <c r="H783" s="715">
        <v>8900000</v>
      </c>
      <c r="I783" s="211">
        <f t="shared" ref="I783:I801" si="18">E783-H783</f>
        <v>70383.089999999851</v>
      </c>
      <c r="J783" s="26"/>
      <c r="K783" s="26"/>
      <c r="L783" s="26"/>
      <c r="M783" s="26"/>
      <c r="N783" s="26"/>
      <c r="O783" s="26"/>
      <c r="P783" s="26"/>
    </row>
    <row r="784" spans="2:18" ht="15.75" customHeight="1">
      <c r="B784" s="33"/>
      <c r="C784" s="711" t="s">
        <v>213</v>
      </c>
      <c r="D784" s="712" t="s">
        <v>336</v>
      </c>
      <c r="E784" s="714">
        <f>E66</f>
        <v>11856915</v>
      </c>
      <c r="F784" s="711" t="s">
        <v>804</v>
      </c>
      <c r="G784" s="713" t="s">
        <v>1501</v>
      </c>
      <c r="H784" s="715">
        <v>11563650</v>
      </c>
      <c r="I784" s="211">
        <f t="shared" si="18"/>
        <v>293265</v>
      </c>
      <c r="J784" s="26"/>
      <c r="K784" s="26"/>
      <c r="L784" s="26"/>
      <c r="M784" s="26"/>
      <c r="N784" s="26"/>
      <c r="O784" s="26"/>
      <c r="P784" s="26"/>
    </row>
    <row r="785" spans="2:16" ht="15.75" customHeight="1">
      <c r="B785" s="33"/>
      <c r="C785" s="711" t="s">
        <v>1502</v>
      </c>
      <c r="D785" s="712" t="s">
        <v>336</v>
      </c>
      <c r="E785" s="714">
        <f>E783+E784</f>
        <v>20827298.09</v>
      </c>
      <c r="F785" s="711" t="s">
        <v>804</v>
      </c>
      <c r="G785" s="713" t="s">
        <v>1503</v>
      </c>
      <c r="H785" s="715">
        <v>20463650</v>
      </c>
      <c r="I785" s="211">
        <f t="shared" si="18"/>
        <v>363648.08999999985</v>
      </c>
      <c r="J785" s="26"/>
      <c r="K785" s="26"/>
      <c r="L785" s="26"/>
      <c r="M785" s="26"/>
      <c r="N785" s="26"/>
      <c r="O785" s="26"/>
      <c r="P785" s="26"/>
    </row>
    <row r="786" spans="2:16" ht="15.75" customHeight="1">
      <c r="B786" s="33"/>
      <c r="C786" s="711" t="s">
        <v>962</v>
      </c>
      <c r="D786" s="712" t="s">
        <v>336</v>
      </c>
      <c r="E786" s="714">
        <f>E159</f>
        <v>19761525</v>
      </c>
      <c r="F786" s="711" t="s">
        <v>908</v>
      </c>
      <c r="G786" s="713" t="s">
        <v>1504</v>
      </c>
      <c r="H786" s="715">
        <v>19272750</v>
      </c>
      <c r="I786" s="211">
        <f t="shared" si="18"/>
        <v>488775</v>
      </c>
      <c r="J786" s="26"/>
      <c r="K786" s="26"/>
      <c r="L786" s="26"/>
      <c r="M786" s="26"/>
      <c r="N786" s="26"/>
      <c r="O786" s="26"/>
      <c r="P786" s="26"/>
    </row>
    <row r="787" spans="2:16" ht="15.75" customHeight="1">
      <c r="B787" s="33"/>
      <c r="C787" s="711"/>
      <c r="D787" s="712"/>
      <c r="E787" s="711"/>
      <c r="F787" s="711"/>
      <c r="G787" s="713"/>
      <c r="H787" s="603"/>
      <c r="I787" s="26">
        <f t="shared" si="18"/>
        <v>0</v>
      </c>
      <c r="J787" s="26"/>
      <c r="K787" s="26"/>
      <c r="L787" s="26"/>
      <c r="M787" s="26"/>
      <c r="N787" s="26"/>
      <c r="O787" s="26"/>
      <c r="P787" s="26"/>
    </row>
    <row r="788" spans="2:16" ht="15.75" customHeight="1">
      <c r="B788" s="33"/>
      <c r="C788" s="711" t="s">
        <v>1505</v>
      </c>
      <c r="D788" s="712" t="s">
        <v>1506</v>
      </c>
      <c r="E788" s="716" t="s">
        <v>1507</v>
      </c>
      <c r="F788" s="711"/>
      <c r="G788" s="713" t="s">
        <v>1508</v>
      </c>
      <c r="H788" s="603" t="s">
        <v>1507</v>
      </c>
      <c r="I788" s="26" t="e">
        <f t="shared" si="18"/>
        <v>#VALUE!</v>
      </c>
      <c r="J788" s="26"/>
      <c r="K788" s="26"/>
      <c r="L788" s="26"/>
      <c r="M788" s="26"/>
      <c r="N788" s="26"/>
      <c r="O788" s="26"/>
      <c r="P788" s="26"/>
    </row>
    <row r="789" spans="2:16" ht="15.75" customHeight="1">
      <c r="B789" s="33"/>
      <c r="C789" s="711" t="s">
        <v>1509</v>
      </c>
      <c r="D789" s="712" t="s">
        <v>336</v>
      </c>
      <c r="E789" s="717">
        <f>ABS(Cashflow!E27)</f>
        <v>0</v>
      </c>
      <c r="F789" s="711" t="s">
        <v>908</v>
      </c>
      <c r="G789" s="713" t="s">
        <v>1510</v>
      </c>
      <c r="H789" s="603">
        <v>0</v>
      </c>
      <c r="I789" s="211">
        <f t="shared" si="18"/>
        <v>0</v>
      </c>
      <c r="J789" s="26"/>
      <c r="K789" s="26"/>
      <c r="L789" s="26"/>
      <c r="M789" s="26"/>
      <c r="N789" s="26"/>
      <c r="O789" s="26"/>
      <c r="P789" s="26"/>
    </row>
    <row r="790" spans="2:16" ht="15.75" customHeight="1">
      <c r="B790" s="33"/>
      <c r="C790" s="711" t="s">
        <v>1511</v>
      </c>
      <c r="D790" s="712" t="s">
        <v>336</v>
      </c>
      <c r="E790" s="714">
        <f>ABS(Cashflow!F27)</f>
        <v>20580525</v>
      </c>
      <c r="F790" s="711" t="s">
        <v>908</v>
      </c>
      <c r="G790" s="713" t="s">
        <v>1512</v>
      </c>
      <c r="H790" s="715">
        <v>20091750</v>
      </c>
      <c r="I790" s="211">
        <f t="shared" si="18"/>
        <v>488775</v>
      </c>
      <c r="J790" s="26"/>
      <c r="K790" s="26"/>
      <c r="L790" s="26"/>
      <c r="M790" s="26"/>
      <c r="N790" s="26"/>
      <c r="O790" s="26"/>
      <c r="P790" s="26"/>
    </row>
    <row r="791" spans="2:16" ht="15.75" customHeight="1">
      <c r="B791" s="33"/>
      <c r="C791" s="711" t="s">
        <v>1513</v>
      </c>
      <c r="D791" s="712" t="s">
        <v>336</v>
      </c>
      <c r="E791" s="714">
        <f>ABS(Cashflow!D35+Cashflow!E35+Cashflow!F35)</f>
        <v>22044069.690000001</v>
      </c>
      <c r="F791" s="711" t="s">
        <v>804</v>
      </c>
      <c r="G791" s="713" t="s">
        <v>1514</v>
      </c>
      <c r="H791" s="715">
        <v>36633194</v>
      </c>
      <c r="I791" s="211">
        <f t="shared" si="18"/>
        <v>-14589124.309999999</v>
      </c>
      <c r="J791" s="26"/>
      <c r="K791" s="26"/>
      <c r="L791" s="26"/>
      <c r="M791" s="26"/>
      <c r="N791" s="26"/>
      <c r="O791" s="26"/>
      <c r="P791" s="26"/>
    </row>
    <row r="792" spans="2:16" ht="15.75" customHeight="1">
      <c r="B792" s="33"/>
      <c r="C792" s="711"/>
      <c r="D792" s="712"/>
      <c r="E792" s="711"/>
      <c r="F792" s="711"/>
      <c r="G792" s="713"/>
      <c r="H792" s="603"/>
      <c r="I792" s="26">
        <f t="shared" si="18"/>
        <v>0</v>
      </c>
      <c r="J792" s="26"/>
      <c r="K792" s="26"/>
      <c r="L792" s="26"/>
      <c r="M792" s="26"/>
      <c r="N792" s="26"/>
      <c r="O792" s="26"/>
      <c r="P792" s="26"/>
    </row>
    <row r="793" spans="2:16" ht="15.75" customHeight="1">
      <c r="B793" s="33"/>
      <c r="C793" s="711" t="s">
        <v>1515</v>
      </c>
      <c r="D793" s="712" t="s">
        <v>793</v>
      </c>
      <c r="E793" s="718">
        <f>12</f>
        <v>12</v>
      </c>
      <c r="F793" s="711" t="s">
        <v>1451</v>
      </c>
      <c r="G793" s="713" t="s">
        <v>1516</v>
      </c>
      <c r="H793" s="603">
        <v>12</v>
      </c>
      <c r="I793" s="26">
        <f t="shared" si="18"/>
        <v>0</v>
      </c>
      <c r="J793" s="26"/>
      <c r="K793" s="26"/>
      <c r="L793" s="26"/>
      <c r="M793" s="26"/>
      <c r="N793" s="26"/>
      <c r="O793" s="26"/>
      <c r="P793" s="26"/>
    </row>
    <row r="794" spans="2:16" ht="15.75" customHeight="1">
      <c r="B794" s="33"/>
      <c r="C794" s="711" t="s">
        <v>1517</v>
      </c>
      <c r="D794" s="712" t="s">
        <v>1518</v>
      </c>
      <c r="E794" s="714">
        <f>E790/E793</f>
        <v>1715043.75</v>
      </c>
      <c r="F794" s="711" t="s">
        <v>804</v>
      </c>
      <c r="G794" s="713" t="s">
        <v>1519</v>
      </c>
      <c r="H794" s="715">
        <v>1674313</v>
      </c>
      <c r="I794" s="211">
        <f t="shared" si="18"/>
        <v>40730.75</v>
      </c>
      <c r="J794" s="26"/>
      <c r="K794" s="26"/>
      <c r="L794" s="26"/>
      <c r="M794" s="26"/>
      <c r="N794" s="26"/>
      <c r="O794" s="26"/>
      <c r="P794" s="26"/>
    </row>
    <row r="795" spans="2:16" ht="15.75" customHeight="1">
      <c r="B795" s="33"/>
      <c r="C795" s="711"/>
      <c r="D795" s="712"/>
      <c r="E795" s="717"/>
      <c r="F795" s="711"/>
      <c r="G795" s="713"/>
      <c r="H795" s="603"/>
      <c r="I795" s="211">
        <f t="shared" si="18"/>
        <v>0</v>
      </c>
      <c r="J795" s="26"/>
      <c r="K795" s="26"/>
      <c r="L795" s="26"/>
      <c r="M795" s="26"/>
      <c r="N795" s="26"/>
      <c r="O795" s="26"/>
      <c r="P795" s="26"/>
    </row>
    <row r="796" spans="2:16" ht="15.75" customHeight="1">
      <c r="B796" s="33"/>
      <c r="C796" s="711" t="s">
        <v>1520</v>
      </c>
      <c r="D796" s="712" t="s">
        <v>336</v>
      </c>
      <c r="E796" s="714">
        <f>E785-E786</f>
        <v>1065773.0899999999</v>
      </c>
      <c r="F796" s="711" t="s">
        <v>804</v>
      </c>
      <c r="G796" s="713" t="s">
        <v>1521</v>
      </c>
      <c r="H796" s="715">
        <v>1190900</v>
      </c>
      <c r="I796" s="211">
        <f t="shared" si="18"/>
        <v>-125126.91000000015</v>
      </c>
      <c r="J796" s="26"/>
      <c r="K796" s="26"/>
      <c r="L796" s="26"/>
      <c r="M796" s="26"/>
      <c r="N796" s="26"/>
      <c r="O796" s="26"/>
      <c r="P796" s="26"/>
    </row>
    <row r="797" spans="2:16" ht="15.75" customHeight="1">
      <c r="B797" s="33"/>
      <c r="C797" s="711" t="s">
        <v>1522</v>
      </c>
      <c r="D797" s="712" t="s">
        <v>336</v>
      </c>
      <c r="E797" s="714">
        <f>Cashflow!F38</f>
        <v>452228.39999999851</v>
      </c>
      <c r="F797" s="711" t="s">
        <v>908</v>
      </c>
      <c r="G797" s="713" t="s">
        <v>1523</v>
      </c>
      <c r="H797" s="715">
        <v>1400603</v>
      </c>
      <c r="I797" s="211">
        <f t="shared" si="18"/>
        <v>-948374.60000000149</v>
      </c>
      <c r="J797" s="26"/>
      <c r="K797" s="26"/>
      <c r="L797" s="26"/>
      <c r="M797" s="26"/>
      <c r="N797" s="26"/>
      <c r="O797" s="26"/>
      <c r="P797" s="26"/>
    </row>
    <row r="798" spans="2:16" ht="15.75" customHeight="1">
      <c r="B798" s="33"/>
      <c r="C798" s="711" t="s">
        <v>1524</v>
      </c>
      <c r="D798" s="712" t="s">
        <v>336</v>
      </c>
      <c r="E798" s="714">
        <f>Cashflow!G38</f>
        <v>1724785.5788420234</v>
      </c>
      <c r="F798" s="711" t="s">
        <v>908</v>
      </c>
      <c r="G798" s="713" t="s">
        <v>1525</v>
      </c>
      <c r="H798" s="715">
        <v>2602992</v>
      </c>
      <c r="I798" s="211">
        <f t="shared" si="18"/>
        <v>-878206.42115797661</v>
      </c>
      <c r="J798" s="26"/>
      <c r="K798" s="26"/>
      <c r="L798" s="26"/>
      <c r="M798" s="26"/>
      <c r="N798" s="26"/>
      <c r="O798" s="26"/>
      <c r="P798" s="26"/>
    </row>
    <row r="799" spans="2:16" ht="15.75" customHeight="1">
      <c r="B799" s="33"/>
      <c r="C799" s="711" t="s">
        <v>1526</v>
      </c>
      <c r="D799" s="712" t="s">
        <v>1518</v>
      </c>
      <c r="E799" s="714">
        <f>IF(Cashflow!G35=0,0,ABS(Cashflow!G35)/12)</f>
        <v>1366920.8045113951</v>
      </c>
      <c r="F799" s="711" t="s">
        <v>804</v>
      </c>
      <c r="G799" s="713" t="s">
        <v>1527</v>
      </c>
      <c r="H799" s="715">
        <v>1486248</v>
      </c>
      <c r="I799" s="211">
        <f t="shared" si="18"/>
        <v>-119327.19548860495</v>
      </c>
      <c r="J799" s="26"/>
      <c r="K799" s="26"/>
      <c r="L799" s="26"/>
      <c r="M799" s="26"/>
      <c r="N799" s="26"/>
      <c r="O799" s="26"/>
      <c r="P799" s="26"/>
    </row>
    <row r="800" spans="2:16" ht="15.75" customHeight="1">
      <c r="B800" s="33"/>
      <c r="C800" s="711"/>
      <c r="D800" s="712"/>
      <c r="E800" s="718"/>
      <c r="F800" s="711"/>
      <c r="G800" s="713"/>
      <c r="H800" s="603"/>
      <c r="I800" s="26">
        <f t="shared" si="18"/>
        <v>0</v>
      </c>
      <c r="J800" s="26"/>
      <c r="K800" s="26"/>
      <c r="L800" s="26"/>
      <c r="M800" s="26"/>
      <c r="N800" s="26"/>
      <c r="O800" s="26"/>
      <c r="P800" s="26"/>
    </row>
    <row r="801" spans="2:16" ht="15.75" customHeight="1">
      <c r="B801" s="33"/>
      <c r="C801" s="719" t="s">
        <v>1528</v>
      </c>
      <c r="D801" s="720" t="s">
        <v>793</v>
      </c>
      <c r="E801" s="721">
        <f>IF(E799=0,"N/A",E798/E799)</f>
        <v>1.2618035903393443</v>
      </c>
      <c r="F801" s="719" t="s">
        <v>804</v>
      </c>
      <c r="G801" s="722" t="s">
        <v>1529</v>
      </c>
      <c r="H801" s="603">
        <v>1.751384536</v>
      </c>
      <c r="I801" s="26">
        <f t="shared" si="18"/>
        <v>-0.48958094566065569</v>
      </c>
      <c r="J801" s="26"/>
      <c r="K801" s="26"/>
      <c r="L801" s="26"/>
      <c r="M801" s="26"/>
      <c r="N801" s="26"/>
      <c r="O801" s="26"/>
      <c r="P801" s="26"/>
    </row>
    <row r="802" spans="2:16" ht="15.75" customHeight="1">
      <c r="B802" s="33"/>
      <c r="C802" s="711" t="s">
        <v>1530</v>
      </c>
      <c r="D802" s="712" t="s">
        <v>336</v>
      </c>
      <c r="E802" s="714">
        <v>1500000</v>
      </c>
      <c r="F802" s="711"/>
      <c r="G802" s="713"/>
      <c r="H802" s="603"/>
      <c r="I802" s="26"/>
      <c r="J802" s="26"/>
      <c r="K802" s="26"/>
      <c r="L802" s="26"/>
      <c r="M802" s="26"/>
      <c r="N802" s="26"/>
      <c r="O802" s="26"/>
      <c r="P802" s="26"/>
    </row>
    <row r="803" spans="2:16" ht="15.75" customHeight="1">
      <c r="B803" s="33"/>
      <c r="C803" s="711" t="s">
        <v>1531</v>
      </c>
      <c r="D803" s="712" t="s">
        <v>192</v>
      </c>
      <c r="E803" s="711" t="str">
        <f>IF(Cashflow!G37&gt;0,"FY28",IF(Cashflow!H37&gt;0,"FY29",IF(Cashflow!I37&gt;0,"FY30","Post-FY30")))</f>
        <v>FY28</v>
      </c>
      <c r="F803" s="711" t="s">
        <v>804</v>
      </c>
      <c r="G803" s="713" t="s">
        <v>1532</v>
      </c>
      <c r="H803" s="603"/>
      <c r="I803" s="26"/>
      <c r="J803" s="26"/>
      <c r="K803" s="26"/>
      <c r="L803" s="26"/>
      <c r="M803" s="26"/>
      <c r="N803" s="26"/>
      <c r="O803" s="26"/>
      <c r="P803" s="26"/>
    </row>
    <row r="804" spans="2:16" ht="15.75" customHeight="1">
      <c r="B804" s="33"/>
      <c r="C804" s="26"/>
      <c r="D804" s="26"/>
      <c r="E804" s="176"/>
      <c r="F804" s="26"/>
      <c r="G804" s="616"/>
      <c r="H804" s="603"/>
      <c r="I804" s="26"/>
      <c r="J804" s="26"/>
      <c r="K804" s="26"/>
      <c r="L804" s="26"/>
      <c r="M804" s="26"/>
      <c r="N804" s="26"/>
      <c r="O804" s="26"/>
      <c r="P804" s="26"/>
    </row>
    <row r="805" spans="2:16" ht="15.75" customHeight="1">
      <c r="B805" s="33"/>
      <c r="C805" s="711" t="s">
        <v>1533</v>
      </c>
      <c r="D805" s="712"/>
      <c r="E805" s="711"/>
      <c r="F805" s="711"/>
      <c r="G805" s="713"/>
      <c r="H805" s="603"/>
      <c r="I805" s="26"/>
      <c r="J805" s="26"/>
      <c r="K805" s="26"/>
      <c r="L805" s="26"/>
      <c r="M805" s="26"/>
      <c r="N805" s="26"/>
      <c r="O805" s="26"/>
      <c r="P805" s="26"/>
    </row>
    <row r="806" spans="2:16" ht="15.75" customHeight="1">
      <c r="B806" s="33"/>
      <c r="C806" s="709" t="s">
        <v>339</v>
      </c>
      <c r="D806" s="723" t="s">
        <v>150</v>
      </c>
      <c r="E806" s="724" t="s">
        <v>151</v>
      </c>
      <c r="F806" s="724" t="s">
        <v>152</v>
      </c>
      <c r="G806" s="725" t="s">
        <v>153</v>
      </c>
      <c r="H806" s="603"/>
      <c r="I806" s="26"/>
      <c r="J806" s="26"/>
      <c r="K806" s="26"/>
      <c r="L806" s="26"/>
      <c r="M806" s="26"/>
      <c r="N806" s="26"/>
      <c r="O806" s="26"/>
      <c r="P806" s="26"/>
    </row>
    <row r="807" spans="2:16" ht="15.75" customHeight="1">
      <c r="B807" s="33"/>
      <c r="C807" s="711" t="s">
        <v>195</v>
      </c>
      <c r="D807" s="726">
        <f>Cashflow!D38</f>
        <v>0</v>
      </c>
      <c r="E807" s="727">
        <f>Cashflow!E38</f>
        <v>0</v>
      </c>
      <c r="F807" s="727">
        <f>Cashflow!F38</f>
        <v>452228.39999999851</v>
      </c>
      <c r="G807" s="728">
        <f>Cashflow!G38</f>
        <v>1724785.5788420234</v>
      </c>
      <c r="H807" s="603"/>
      <c r="I807" s="26"/>
      <c r="J807" s="26"/>
      <c r="K807" s="26"/>
      <c r="L807" s="26"/>
      <c r="M807" s="26"/>
      <c r="N807" s="26"/>
      <c r="O807" s="26"/>
      <c r="P807" s="26"/>
    </row>
    <row r="808" spans="2:16" ht="15.75" customHeight="1">
      <c r="B808" s="33"/>
      <c r="C808" s="711" t="s">
        <v>1534</v>
      </c>
      <c r="D808" s="726">
        <f>Cashflow!D37</f>
        <v>0</v>
      </c>
      <c r="E808" s="727">
        <f>D808+Cashflow!E37</f>
        <v>0</v>
      </c>
      <c r="F808" s="727">
        <f>E808+Cashflow!F37</f>
        <v>452228.39999999851</v>
      </c>
      <c r="G808" s="728">
        <f>F808+Cashflow!G37</f>
        <v>1724785.5788420234</v>
      </c>
      <c r="H808" s="603"/>
      <c r="I808" s="26"/>
      <c r="J808" s="26"/>
      <c r="K808" s="26"/>
      <c r="L808" s="26"/>
      <c r="M808" s="26"/>
      <c r="N808" s="26"/>
      <c r="O808" s="26"/>
      <c r="P808" s="26"/>
    </row>
    <row r="809" spans="2:16" ht="15.75" customHeight="1">
      <c r="B809" s="47"/>
      <c r="C809" s="729" t="s">
        <v>1535</v>
      </c>
      <c r="D809" s="730" t="str">
        <f>IF(D807&gt;=Inputs!$E$531,"OK","SHORTFALL")</f>
        <v>SHORTFALL</v>
      </c>
      <c r="E809" s="731" t="str">
        <f>IF(E807&gt;=Inputs!$E$531,"OK","SHORTFALL")</f>
        <v>SHORTFALL</v>
      </c>
      <c r="F809" s="731" t="str">
        <f>IF(F807&gt;=Inputs!$E$531,"OK","SHORTFALL")</f>
        <v>OK</v>
      </c>
      <c r="G809" s="732" t="str">
        <f>IF(G807&gt;=Inputs!$E$531,"OK","SHORTFALL")</f>
        <v>OK</v>
      </c>
      <c r="H809" s="603"/>
      <c r="I809" s="26"/>
      <c r="J809" s="26"/>
      <c r="K809" s="26"/>
      <c r="L809" s="26"/>
      <c r="M809" s="26"/>
      <c r="N809" s="26"/>
      <c r="O809" s="26"/>
      <c r="P809" s="26"/>
    </row>
    <row r="810" spans="2:16" ht="15.75" customHeight="1">
      <c r="G810" s="22"/>
      <c r="H810" s="733"/>
      <c r="M810" s="26"/>
      <c r="N810" s="26"/>
      <c r="O810" s="26"/>
      <c r="P810" s="26"/>
    </row>
    <row r="811" spans="2:16" ht="15.75" customHeight="1">
      <c r="G811" s="22"/>
      <c r="H811" s="733"/>
      <c r="M811" s="26"/>
      <c r="N811" s="26"/>
      <c r="O811" s="26"/>
      <c r="P811" s="26"/>
    </row>
    <row r="812" spans="2:16" ht="15.75" customHeight="1">
      <c r="G812" s="22"/>
      <c r="H812" s="733"/>
      <c r="M812" s="26"/>
      <c r="N812" s="26"/>
      <c r="O812" s="26"/>
      <c r="P812" s="26"/>
    </row>
    <row r="813" spans="2:16" ht="15.75" customHeight="1">
      <c r="G813" s="22"/>
      <c r="H813" s="733"/>
      <c r="M813" s="26"/>
      <c r="N813" s="26"/>
      <c r="O813" s="26"/>
      <c r="P813" s="26"/>
    </row>
    <row r="814" spans="2:16" ht="15.75" customHeight="1">
      <c r="G814" s="22"/>
      <c r="H814" s="733"/>
      <c r="M814" s="26"/>
      <c r="N814" s="26"/>
      <c r="O814" s="26"/>
      <c r="P814" s="26"/>
    </row>
    <row r="815" spans="2:16" ht="15.75" customHeight="1">
      <c r="G815" s="22"/>
      <c r="H815" s="733"/>
      <c r="M815" s="26"/>
      <c r="N815" s="26"/>
      <c r="O815" s="26"/>
      <c r="P815" s="26"/>
    </row>
    <row r="816" spans="2:16" ht="15.75" customHeight="1">
      <c r="G816" s="22"/>
      <c r="H816" s="733"/>
      <c r="M816" s="26"/>
      <c r="N816" s="26"/>
      <c r="O816" s="26"/>
      <c r="P816" s="26"/>
    </row>
    <row r="817" spans="7:16" ht="15.75" customHeight="1">
      <c r="G817" s="22"/>
      <c r="H817" s="733"/>
      <c r="M817" s="26"/>
      <c r="N817" s="26"/>
      <c r="O817" s="26"/>
      <c r="P817" s="26"/>
    </row>
    <row r="818" spans="7:16" ht="15.75" customHeight="1">
      <c r="G818" s="22"/>
      <c r="H818" s="733"/>
      <c r="M818" s="26"/>
      <c r="N818" s="26"/>
      <c r="O818" s="26"/>
      <c r="P818" s="26"/>
    </row>
    <row r="819" spans="7:16" ht="15.75" customHeight="1">
      <c r="G819" s="22"/>
      <c r="H819" s="733"/>
      <c r="M819" s="26"/>
      <c r="N819" s="26"/>
      <c r="O819" s="26"/>
      <c r="P819" s="26"/>
    </row>
    <row r="820" spans="7:16" ht="15.75" customHeight="1">
      <c r="G820" s="22"/>
      <c r="H820" s="733"/>
      <c r="M820" s="26"/>
      <c r="N820" s="26"/>
      <c r="O820" s="26"/>
      <c r="P820" s="26"/>
    </row>
    <row r="821" spans="7:16" ht="15.75" customHeight="1">
      <c r="G821" s="22"/>
      <c r="H821" s="733"/>
      <c r="M821" s="26"/>
      <c r="N821" s="26"/>
      <c r="O821" s="26"/>
      <c r="P821" s="26"/>
    </row>
    <row r="822" spans="7:16" ht="15.75" customHeight="1">
      <c r="G822" s="22"/>
      <c r="H822" s="733"/>
      <c r="M822" s="26"/>
      <c r="N822" s="26"/>
      <c r="O822" s="26"/>
      <c r="P822" s="26"/>
    </row>
    <row r="823" spans="7:16" ht="15.75" customHeight="1">
      <c r="G823" s="22"/>
      <c r="H823" s="733"/>
      <c r="M823" s="26"/>
      <c r="N823" s="26"/>
      <c r="O823" s="26"/>
      <c r="P823" s="26"/>
    </row>
    <row r="824" spans="7:16" ht="15.75" customHeight="1">
      <c r="G824" s="22"/>
      <c r="H824" s="733"/>
      <c r="M824" s="26"/>
      <c r="N824" s="26"/>
      <c r="O824" s="26"/>
      <c r="P824" s="26"/>
    </row>
    <row r="825" spans="7:16" ht="15.75" customHeight="1">
      <c r="G825" s="22"/>
      <c r="H825" s="733"/>
      <c r="M825" s="26"/>
      <c r="N825" s="26"/>
      <c r="O825" s="26"/>
      <c r="P825" s="26"/>
    </row>
    <row r="826" spans="7:16" ht="15.75" customHeight="1">
      <c r="G826" s="22"/>
      <c r="H826" s="733"/>
    </row>
    <row r="827" spans="7:16" ht="15.75" customHeight="1">
      <c r="G827" s="22"/>
      <c r="H827" s="733"/>
    </row>
    <row r="828" spans="7:16" ht="15.75" customHeight="1">
      <c r="G828" s="22"/>
      <c r="H828" s="733"/>
    </row>
    <row r="829" spans="7:16" ht="15.75" customHeight="1">
      <c r="G829" s="22"/>
      <c r="H829" s="733"/>
    </row>
    <row r="830" spans="7:16" ht="15.75" customHeight="1">
      <c r="G830" s="22"/>
      <c r="H830" s="733"/>
    </row>
    <row r="831" spans="7:16" ht="15.75" customHeight="1">
      <c r="G831" s="22"/>
      <c r="H831" s="733"/>
    </row>
    <row r="832" spans="7:16" ht="15.75" customHeight="1">
      <c r="G832" s="22"/>
      <c r="H832" s="733"/>
    </row>
    <row r="833" spans="7:8" ht="15.75" customHeight="1">
      <c r="G833" s="22"/>
      <c r="H833" s="733"/>
    </row>
    <row r="834" spans="7:8" ht="15.75" customHeight="1">
      <c r="G834" s="22"/>
      <c r="H834" s="733"/>
    </row>
    <row r="835" spans="7:8" ht="15.75" customHeight="1">
      <c r="G835" s="22"/>
      <c r="H835" s="733"/>
    </row>
    <row r="836" spans="7:8" ht="15.75" customHeight="1">
      <c r="G836" s="22"/>
      <c r="H836" s="733"/>
    </row>
    <row r="837" spans="7:8" ht="15.75" customHeight="1">
      <c r="G837" s="22"/>
      <c r="H837" s="733"/>
    </row>
    <row r="838" spans="7:8" ht="15.75" customHeight="1">
      <c r="G838" s="22"/>
      <c r="H838" s="733"/>
    </row>
    <row r="839" spans="7:8" ht="15.75" customHeight="1">
      <c r="G839" s="22"/>
      <c r="H839" s="733"/>
    </row>
    <row r="840" spans="7:8" ht="15.75" customHeight="1">
      <c r="G840" s="22"/>
      <c r="H840" s="733"/>
    </row>
    <row r="841" spans="7:8" ht="15.75" customHeight="1">
      <c r="G841" s="22"/>
      <c r="H841" s="733"/>
    </row>
    <row r="842" spans="7:8" ht="15.75" customHeight="1">
      <c r="G842" s="22"/>
      <c r="H842" s="733"/>
    </row>
    <row r="843" spans="7:8" ht="15.75" customHeight="1">
      <c r="G843" s="22"/>
      <c r="H843" s="733"/>
    </row>
    <row r="844" spans="7:8" ht="15.75" customHeight="1">
      <c r="G844" s="22"/>
      <c r="H844" s="733"/>
    </row>
    <row r="845" spans="7:8" ht="15.75" customHeight="1">
      <c r="G845" s="22"/>
      <c r="H845" s="733"/>
    </row>
    <row r="846" spans="7:8" ht="15.75" customHeight="1">
      <c r="G846" s="22"/>
      <c r="H846" s="733"/>
    </row>
    <row r="847" spans="7:8" ht="15.75" customHeight="1">
      <c r="G847" s="22"/>
      <c r="H847" s="733"/>
    </row>
    <row r="848" spans="7:8" ht="15.75" customHeight="1">
      <c r="G848" s="22"/>
      <c r="H848" s="733"/>
    </row>
    <row r="849" spans="7:8" ht="15.75" customHeight="1">
      <c r="G849" s="22"/>
      <c r="H849" s="733"/>
    </row>
    <row r="850" spans="7:8" ht="15.75" customHeight="1">
      <c r="G850" s="22"/>
      <c r="H850" s="733"/>
    </row>
    <row r="851" spans="7:8" ht="15.75" customHeight="1">
      <c r="G851" s="22"/>
      <c r="H851" s="733"/>
    </row>
    <row r="852" spans="7:8" ht="15.75" customHeight="1">
      <c r="G852" s="22"/>
      <c r="H852" s="733"/>
    </row>
    <row r="853" spans="7:8" ht="15.75" customHeight="1">
      <c r="G853" s="22"/>
      <c r="H853" s="733"/>
    </row>
    <row r="854" spans="7:8" ht="15.75" customHeight="1">
      <c r="G854" s="22"/>
      <c r="H854" s="733"/>
    </row>
    <row r="855" spans="7:8" ht="15.75" customHeight="1">
      <c r="G855" s="22"/>
      <c r="H855" s="733"/>
    </row>
    <row r="856" spans="7:8" ht="15.75" customHeight="1">
      <c r="G856" s="22"/>
      <c r="H856" s="733"/>
    </row>
    <row r="857" spans="7:8" ht="15.75" customHeight="1">
      <c r="G857" s="22"/>
      <c r="H857" s="733"/>
    </row>
    <row r="858" spans="7:8" ht="15.75" customHeight="1">
      <c r="G858" s="22"/>
      <c r="H858" s="733"/>
    </row>
    <row r="859" spans="7:8" ht="15.75" customHeight="1">
      <c r="G859" s="22"/>
      <c r="H859" s="733"/>
    </row>
    <row r="860" spans="7:8" ht="15.75" customHeight="1">
      <c r="G860" s="22"/>
      <c r="H860" s="733"/>
    </row>
    <row r="861" spans="7:8" ht="15.75" customHeight="1">
      <c r="G861" s="22"/>
      <c r="H861" s="733"/>
    </row>
    <row r="862" spans="7:8" ht="15.75" customHeight="1">
      <c r="G862" s="22"/>
      <c r="H862" s="733"/>
    </row>
    <row r="863" spans="7:8" ht="15.75" customHeight="1">
      <c r="G863" s="22"/>
      <c r="H863" s="733"/>
    </row>
    <row r="864" spans="7:8" ht="15.75" customHeight="1">
      <c r="G864" s="22"/>
      <c r="H864" s="733"/>
    </row>
    <row r="865" spans="7:8" ht="15.75" customHeight="1">
      <c r="G865" s="22"/>
      <c r="H865" s="733"/>
    </row>
    <row r="866" spans="7:8" ht="15.75" customHeight="1">
      <c r="G866" s="22"/>
      <c r="H866" s="733"/>
    </row>
    <row r="867" spans="7:8" ht="15.75" customHeight="1">
      <c r="G867" s="22"/>
      <c r="H867" s="733"/>
    </row>
    <row r="868" spans="7:8" ht="15.75" customHeight="1">
      <c r="G868" s="22"/>
      <c r="H868" s="733"/>
    </row>
    <row r="869" spans="7:8" ht="15.75" customHeight="1">
      <c r="G869" s="22"/>
      <c r="H869" s="733"/>
    </row>
    <row r="870" spans="7:8" ht="15.75" customHeight="1">
      <c r="G870" s="22"/>
      <c r="H870" s="733"/>
    </row>
    <row r="871" spans="7:8" ht="15.75" customHeight="1">
      <c r="G871" s="22"/>
      <c r="H871" s="733"/>
    </row>
    <row r="872" spans="7:8" ht="15.75" customHeight="1">
      <c r="G872" s="22"/>
      <c r="H872" s="733"/>
    </row>
    <row r="873" spans="7:8" ht="15.75" customHeight="1">
      <c r="G873" s="22"/>
      <c r="H873" s="733"/>
    </row>
    <row r="874" spans="7:8" ht="15.75" customHeight="1">
      <c r="G874" s="22"/>
      <c r="H874" s="733"/>
    </row>
    <row r="875" spans="7:8" ht="15.75" customHeight="1">
      <c r="G875" s="22"/>
      <c r="H875" s="733"/>
    </row>
    <row r="876" spans="7:8" ht="15.75" customHeight="1">
      <c r="G876" s="22"/>
      <c r="H876" s="733"/>
    </row>
    <row r="877" spans="7:8" ht="15.75" customHeight="1">
      <c r="G877" s="22"/>
      <c r="H877" s="733"/>
    </row>
    <row r="878" spans="7:8" ht="15.75" customHeight="1">
      <c r="G878" s="22"/>
      <c r="H878" s="733"/>
    </row>
    <row r="879" spans="7:8" ht="15.75" customHeight="1">
      <c r="G879" s="22"/>
      <c r="H879" s="733"/>
    </row>
    <row r="880" spans="7:8" ht="15.75" customHeight="1">
      <c r="G880" s="22"/>
      <c r="H880" s="733"/>
    </row>
    <row r="881" spans="7:8" ht="15.75" customHeight="1">
      <c r="G881" s="22"/>
      <c r="H881" s="733"/>
    </row>
    <row r="882" spans="7:8" ht="15.75" customHeight="1">
      <c r="G882" s="22"/>
      <c r="H882" s="733"/>
    </row>
    <row r="883" spans="7:8" ht="15.75" customHeight="1">
      <c r="G883" s="22"/>
      <c r="H883" s="733"/>
    </row>
    <row r="884" spans="7:8" ht="15.75" customHeight="1">
      <c r="G884" s="22"/>
      <c r="H884" s="733"/>
    </row>
    <row r="885" spans="7:8" ht="15.75" customHeight="1">
      <c r="G885" s="22"/>
      <c r="H885" s="733"/>
    </row>
    <row r="886" spans="7:8" ht="15.75" customHeight="1">
      <c r="G886" s="22"/>
      <c r="H886" s="733"/>
    </row>
    <row r="887" spans="7:8" ht="15.75" customHeight="1">
      <c r="G887" s="22"/>
      <c r="H887" s="733"/>
    </row>
    <row r="888" spans="7:8" ht="15.75" customHeight="1">
      <c r="G888" s="22"/>
      <c r="H888" s="733"/>
    </row>
    <row r="889" spans="7:8" ht="15.75" customHeight="1">
      <c r="G889" s="22"/>
      <c r="H889" s="733"/>
    </row>
    <row r="890" spans="7:8" ht="15.75" customHeight="1">
      <c r="G890" s="22"/>
      <c r="H890" s="733"/>
    </row>
    <row r="891" spans="7:8" ht="15.75" customHeight="1">
      <c r="G891" s="22"/>
      <c r="H891" s="733"/>
    </row>
    <row r="892" spans="7:8" ht="15.75" customHeight="1">
      <c r="G892" s="22"/>
      <c r="H892" s="733"/>
    </row>
    <row r="893" spans="7:8" ht="15.75" customHeight="1">
      <c r="G893" s="22"/>
      <c r="H893" s="733"/>
    </row>
    <row r="894" spans="7:8" ht="15.75" customHeight="1">
      <c r="G894" s="22"/>
      <c r="H894" s="733"/>
    </row>
    <row r="895" spans="7:8" ht="15.75" customHeight="1">
      <c r="G895" s="22"/>
      <c r="H895" s="733"/>
    </row>
    <row r="896" spans="7:8" ht="15.75" customHeight="1">
      <c r="G896" s="22"/>
      <c r="H896" s="733"/>
    </row>
    <row r="897" spans="7:8" ht="15.75" customHeight="1">
      <c r="G897" s="22"/>
      <c r="H897" s="733"/>
    </row>
    <row r="898" spans="7:8" ht="15.75" customHeight="1">
      <c r="G898" s="22"/>
      <c r="H898" s="733"/>
    </row>
    <row r="899" spans="7:8" ht="15.75" customHeight="1">
      <c r="G899" s="22"/>
      <c r="H899" s="733"/>
    </row>
    <row r="900" spans="7:8" ht="15.75" customHeight="1">
      <c r="G900" s="22"/>
      <c r="H900" s="733"/>
    </row>
    <row r="901" spans="7:8" ht="15.75" customHeight="1">
      <c r="G901" s="22"/>
      <c r="H901" s="733"/>
    </row>
    <row r="902" spans="7:8" ht="15.75" customHeight="1">
      <c r="G902" s="22"/>
      <c r="H902" s="733"/>
    </row>
    <row r="903" spans="7:8" ht="15.75" customHeight="1">
      <c r="G903" s="22"/>
      <c r="H903" s="733"/>
    </row>
    <row r="904" spans="7:8" ht="15.75" customHeight="1">
      <c r="G904" s="22"/>
      <c r="H904" s="733"/>
    </row>
    <row r="905" spans="7:8" ht="15.75" customHeight="1">
      <c r="G905" s="22"/>
      <c r="H905" s="733"/>
    </row>
    <row r="906" spans="7:8" ht="15.75" customHeight="1">
      <c r="G906" s="22"/>
      <c r="H906" s="733"/>
    </row>
    <row r="907" spans="7:8" ht="15.75" customHeight="1">
      <c r="G907" s="22"/>
      <c r="H907" s="733"/>
    </row>
    <row r="908" spans="7:8" ht="15.75" customHeight="1">
      <c r="G908" s="22"/>
      <c r="H908" s="733"/>
    </row>
    <row r="909" spans="7:8" ht="15.75" customHeight="1">
      <c r="G909" s="22"/>
      <c r="H909" s="733"/>
    </row>
    <row r="910" spans="7:8" ht="15.75" customHeight="1">
      <c r="G910" s="22"/>
      <c r="H910" s="733"/>
    </row>
    <row r="911" spans="7:8" ht="15.75" customHeight="1">
      <c r="G911" s="22"/>
      <c r="H911" s="733"/>
    </row>
    <row r="912" spans="7:8" ht="15.75" customHeight="1">
      <c r="G912" s="22"/>
      <c r="H912" s="733"/>
    </row>
    <row r="913" spans="7:8" ht="15.75" customHeight="1">
      <c r="G913" s="22"/>
      <c r="H913" s="733"/>
    </row>
    <row r="914" spans="7:8" ht="15.75" customHeight="1">
      <c r="G914" s="22"/>
      <c r="H914" s="733"/>
    </row>
    <row r="915" spans="7:8" ht="15.75" customHeight="1">
      <c r="G915" s="22"/>
      <c r="H915" s="733"/>
    </row>
    <row r="916" spans="7:8" ht="15.75" customHeight="1">
      <c r="G916" s="22"/>
      <c r="H916" s="733"/>
    </row>
    <row r="917" spans="7:8" ht="15.75" customHeight="1">
      <c r="G917" s="22"/>
      <c r="H917" s="733"/>
    </row>
    <row r="918" spans="7:8" ht="15.75" customHeight="1">
      <c r="G918" s="22"/>
      <c r="H918" s="733"/>
    </row>
    <row r="919" spans="7:8" ht="15.75" customHeight="1">
      <c r="G919" s="22"/>
      <c r="H919" s="733"/>
    </row>
    <row r="920" spans="7:8" ht="15.75" customHeight="1">
      <c r="G920" s="22"/>
      <c r="H920" s="733"/>
    </row>
    <row r="921" spans="7:8" ht="15.75" customHeight="1">
      <c r="G921" s="22"/>
      <c r="H921" s="733"/>
    </row>
    <row r="922" spans="7:8" ht="15.75" customHeight="1">
      <c r="G922" s="22"/>
      <c r="H922" s="733"/>
    </row>
    <row r="923" spans="7:8" ht="15.75" customHeight="1">
      <c r="G923" s="22"/>
      <c r="H923" s="733"/>
    </row>
    <row r="924" spans="7:8" ht="15.75" customHeight="1">
      <c r="G924" s="22"/>
      <c r="H924" s="733"/>
    </row>
    <row r="925" spans="7:8" ht="15.75" customHeight="1">
      <c r="G925" s="22"/>
      <c r="H925" s="733"/>
    </row>
    <row r="926" spans="7:8" ht="15.75" customHeight="1">
      <c r="G926" s="22"/>
      <c r="H926" s="733"/>
    </row>
    <row r="927" spans="7:8" ht="15.75" customHeight="1">
      <c r="G927" s="22"/>
      <c r="H927" s="733"/>
    </row>
    <row r="928" spans="7:8" ht="15.75" customHeight="1">
      <c r="G928" s="22"/>
      <c r="H928" s="733"/>
    </row>
    <row r="929" spans="7:8" ht="15.75" customHeight="1">
      <c r="G929" s="22"/>
      <c r="H929" s="733"/>
    </row>
    <row r="930" spans="7:8" ht="15.75" customHeight="1">
      <c r="G930" s="22"/>
      <c r="H930" s="733"/>
    </row>
    <row r="931" spans="7:8" ht="15.75" customHeight="1">
      <c r="G931" s="22"/>
      <c r="H931" s="733"/>
    </row>
    <row r="932" spans="7:8" ht="15.75" customHeight="1">
      <c r="G932" s="22"/>
      <c r="H932" s="733"/>
    </row>
    <row r="933" spans="7:8" ht="15.75" customHeight="1">
      <c r="G933" s="22"/>
      <c r="H933" s="733"/>
    </row>
    <row r="934" spans="7:8" ht="15.75" customHeight="1">
      <c r="G934" s="22"/>
      <c r="H934" s="733"/>
    </row>
    <row r="935" spans="7:8" ht="15.75" customHeight="1">
      <c r="G935" s="22"/>
      <c r="H935" s="733"/>
    </row>
    <row r="936" spans="7:8" ht="15.75" customHeight="1">
      <c r="G936" s="22"/>
      <c r="H936" s="733"/>
    </row>
    <row r="937" spans="7:8" ht="15.75" customHeight="1">
      <c r="G937" s="22"/>
      <c r="H937" s="733"/>
    </row>
    <row r="938" spans="7:8" ht="15.75" customHeight="1">
      <c r="G938" s="22"/>
      <c r="H938" s="733"/>
    </row>
    <row r="939" spans="7:8" ht="15.75" customHeight="1">
      <c r="G939" s="22"/>
      <c r="H939" s="733"/>
    </row>
    <row r="940" spans="7:8" ht="15.75" customHeight="1">
      <c r="G940" s="22"/>
      <c r="H940" s="733"/>
    </row>
    <row r="941" spans="7:8" ht="15.75" customHeight="1">
      <c r="G941" s="22"/>
      <c r="H941" s="733"/>
    </row>
    <row r="942" spans="7:8" ht="15.75" customHeight="1">
      <c r="G942" s="22"/>
      <c r="H942" s="733"/>
    </row>
    <row r="943" spans="7:8" ht="15.75" customHeight="1">
      <c r="G943" s="22"/>
      <c r="H943" s="733"/>
    </row>
    <row r="944" spans="7:8" ht="15.75" customHeight="1">
      <c r="G944" s="22"/>
      <c r="H944" s="733"/>
    </row>
    <row r="945" spans="7:8" ht="15.75" customHeight="1">
      <c r="G945" s="22"/>
      <c r="H945" s="733"/>
    </row>
    <row r="946" spans="7:8" ht="15.75" customHeight="1">
      <c r="G946" s="22"/>
      <c r="H946" s="733"/>
    </row>
    <row r="947" spans="7:8" ht="15.75" customHeight="1">
      <c r="G947" s="22"/>
      <c r="H947" s="733"/>
    </row>
    <row r="948" spans="7:8" ht="15.75" customHeight="1">
      <c r="G948" s="22"/>
      <c r="H948" s="733"/>
    </row>
    <row r="949" spans="7:8" ht="15.75" customHeight="1">
      <c r="G949" s="22"/>
      <c r="H949" s="733"/>
    </row>
    <row r="950" spans="7:8" ht="15.75" customHeight="1">
      <c r="G950" s="22"/>
      <c r="H950" s="733"/>
    </row>
    <row r="951" spans="7:8" ht="15.75" customHeight="1">
      <c r="G951" s="22"/>
      <c r="H951" s="733"/>
    </row>
    <row r="952" spans="7:8" ht="15.75" customHeight="1">
      <c r="G952" s="22"/>
      <c r="H952" s="733"/>
    </row>
    <row r="953" spans="7:8" ht="15.75" customHeight="1">
      <c r="G953" s="22"/>
      <c r="H953" s="733"/>
    </row>
    <row r="954" spans="7:8" ht="15.75" customHeight="1">
      <c r="G954" s="22"/>
      <c r="H954" s="733"/>
    </row>
    <row r="955" spans="7:8" ht="15.75" customHeight="1">
      <c r="G955" s="22"/>
      <c r="H955" s="733"/>
    </row>
    <row r="956" spans="7:8" ht="15.75" customHeight="1">
      <c r="G956" s="22"/>
      <c r="H956" s="733"/>
    </row>
    <row r="957" spans="7:8" ht="15.75" customHeight="1">
      <c r="G957" s="22"/>
      <c r="H957" s="733"/>
    </row>
    <row r="958" spans="7:8" ht="15.75" customHeight="1">
      <c r="G958" s="22"/>
      <c r="H958" s="733"/>
    </row>
    <row r="959" spans="7:8" ht="15.75" customHeight="1">
      <c r="G959" s="22"/>
      <c r="H959" s="733"/>
    </row>
    <row r="960" spans="7:8" ht="15.75" customHeight="1">
      <c r="G960" s="22"/>
      <c r="H960" s="733"/>
    </row>
    <row r="961" spans="7:8" ht="15.75" customHeight="1">
      <c r="G961" s="22"/>
      <c r="H961" s="733"/>
    </row>
    <row r="962" spans="7:8" ht="15.75" customHeight="1">
      <c r="G962" s="22"/>
      <c r="H962" s="733"/>
    </row>
    <row r="963" spans="7:8" ht="15.75" customHeight="1">
      <c r="G963" s="22"/>
      <c r="H963" s="733"/>
    </row>
    <row r="964" spans="7:8" ht="15.75" customHeight="1">
      <c r="G964" s="22"/>
      <c r="H964" s="733"/>
    </row>
    <row r="965" spans="7:8" ht="15.75" customHeight="1">
      <c r="G965" s="22"/>
      <c r="H965" s="733"/>
    </row>
    <row r="966" spans="7:8" ht="15.75" customHeight="1">
      <c r="G966" s="22"/>
      <c r="H966" s="733"/>
    </row>
    <row r="967" spans="7:8" ht="15.75" customHeight="1">
      <c r="G967" s="22"/>
      <c r="H967" s="733"/>
    </row>
    <row r="968" spans="7:8" ht="15.75" customHeight="1">
      <c r="G968" s="22"/>
      <c r="H968" s="733"/>
    </row>
    <row r="969" spans="7:8" ht="15.75" customHeight="1">
      <c r="G969" s="22"/>
      <c r="H969" s="733"/>
    </row>
    <row r="970" spans="7:8" ht="15.75" customHeight="1">
      <c r="G970" s="22"/>
      <c r="H970" s="733"/>
    </row>
    <row r="971" spans="7:8" ht="15.75" customHeight="1">
      <c r="G971" s="22"/>
      <c r="H971" s="733"/>
    </row>
    <row r="972" spans="7:8" ht="15.75" customHeight="1">
      <c r="G972" s="22"/>
      <c r="H972" s="733"/>
    </row>
    <row r="973" spans="7:8" ht="15.75" customHeight="1">
      <c r="G973" s="22"/>
      <c r="H973" s="733"/>
    </row>
    <row r="974" spans="7:8" ht="15.75" customHeight="1">
      <c r="G974" s="22"/>
      <c r="H974" s="733"/>
    </row>
    <row r="975" spans="7:8" ht="15.75" customHeight="1">
      <c r="G975" s="22"/>
      <c r="H975" s="733"/>
    </row>
    <row r="976" spans="7:8" ht="15.75" customHeight="1">
      <c r="G976" s="22"/>
      <c r="H976" s="733"/>
    </row>
    <row r="977" spans="7:8" ht="15.75" customHeight="1">
      <c r="G977" s="22"/>
      <c r="H977" s="733"/>
    </row>
    <row r="978" spans="7:8" ht="15.75" customHeight="1">
      <c r="G978" s="22"/>
      <c r="H978" s="733"/>
    </row>
    <row r="979" spans="7:8" ht="15.75" customHeight="1">
      <c r="G979" s="22"/>
      <c r="H979" s="733"/>
    </row>
    <row r="980" spans="7:8" ht="15.75" customHeight="1">
      <c r="G980" s="22"/>
      <c r="H980" s="733"/>
    </row>
    <row r="981" spans="7:8" ht="15.75" customHeight="1">
      <c r="G981" s="22"/>
      <c r="H981" s="733"/>
    </row>
    <row r="982" spans="7:8" ht="15.75" customHeight="1">
      <c r="G982" s="22"/>
      <c r="H982" s="733"/>
    </row>
    <row r="983" spans="7:8" ht="15.75" customHeight="1">
      <c r="G983" s="22"/>
      <c r="H983" s="733"/>
    </row>
    <row r="984" spans="7:8" ht="15.75" customHeight="1">
      <c r="G984" s="22"/>
      <c r="H984" s="733"/>
    </row>
    <row r="985" spans="7:8" ht="15.75" customHeight="1">
      <c r="G985" s="22"/>
      <c r="H985" s="733"/>
    </row>
    <row r="986" spans="7:8" ht="15.75" customHeight="1">
      <c r="G986" s="22"/>
      <c r="H986" s="733"/>
    </row>
    <row r="987" spans="7:8" ht="15.75" customHeight="1">
      <c r="G987" s="22"/>
      <c r="H987" s="733"/>
    </row>
    <row r="988" spans="7:8" ht="15.75" customHeight="1">
      <c r="G988" s="22"/>
      <c r="H988" s="733"/>
    </row>
    <row r="989" spans="7:8" ht="15.75" customHeight="1">
      <c r="G989" s="22"/>
      <c r="H989" s="733"/>
    </row>
    <row r="990" spans="7:8" ht="15.75" customHeight="1">
      <c r="G990" s="22"/>
      <c r="H990" s="733"/>
    </row>
    <row r="991" spans="7:8" ht="15.75" customHeight="1">
      <c r="G991" s="22"/>
      <c r="H991" s="733"/>
    </row>
    <row r="992" spans="7:8" ht="15.75" customHeight="1">
      <c r="G992" s="22"/>
      <c r="H992" s="733"/>
    </row>
    <row r="993" spans="7:8" ht="15.75" customHeight="1">
      <c r="G993" s="22"/>
      <c r="H993" s="733"/>
    </row>
    <row r="994" spans="7:8" ht="15.75" customHeight="1">
      <c r="G994" s="22"/>
      <c r="H994" s="733"/>
    </row>
    <row r="995" spans="7:8" ht="15.75" customHeight="1">
      <c r="G995" s="22"/>
      <c r="H995" s="733"/>
    </row>
    <row r="996" spans="7:8" ht="15.75" customHeight="1">
      <c r="G996" s="22"/>
      <c r="H996" s="733"/>
    </row>
    <row r="997" spans="7:8" ht="15.75" customHeight="1">
      <c r="G997" s="22"/>
      <c r="H997" s="733"/>
    </row>
    <row r="998" spans="7:8" ht="15.75" customHeight="1">
      <c r="G998" s="22"/>
      <c r="H998" s="733"/>
    </row>
    <row r="999" spans="7:8" ht="15.75" customHeight="1">
      <c r="G999" s="22"/>
      <c r="H999" s="733"/>
    </row>
    <row r="1000" spans="7:8" ht="15.75" customHeight="1">
      <c r="G1000" s="22"/>
      <c r="H1000" s="733"/>
    </row>
    <row r="1001" spans="7:8" ht="15.75" customHeight="1">
      <c r="G1001" s="22"/>
      <c r="H1001" s="733"/>
    </row>
    <row r="1002" spans="7:8" ht="15.75" customHeight="1">
      <c r="G1002" s="22"/>
      <c r="H1002" s="733"/>
    </row>
    <row r="1003" spans="7:8" ht="15.75" customHeight="1">
      <c r="G1003" s="22"/>
      <c r="H1003" s="733"/>
    </row>
    <row r="1004" spans="7:8" ht="15.75" customHeight="1">
      <c r="G1004" s="22"/>
      <c r="H1004" s="733"/>
    </row>
    <row r="1005" spans="7:8" ht="15.75" customHeight="1">
      <c r="G1005" s="22"/>
      <c r="H1005" s="733"/>
    </row>
    <row r="1006" spans="7:8" ht="15.75" customHeight="1">
      <c r="G1006" s="22"/>
      <c r="H1006" s="733"/>
    </row>
    <row r="1007" spans="7:8" ht="15.75" customHeight="1">
      <c r="G1007" s="22"/>
      <c r="H1007" s="733"/>
    </row>
    <row r="1008" spans="7:8" ht="15.75" customHeight="1">
      <c r="G1008" s="22"/>
      <c r="H1008" s="733"/>
    </row>
    <row r="1009" spans="7:8" ht="15.75" customHeight="1">
      <c r="G1009" s="22"/>
      <c r="H1009" s="733"/>
    </row>
    <row r="1010" spans="7:8" ht="15.75" customHeight="1"/>
    <row r="1011" spans="7:8" ht="15.75" customHeight="1"/>
    <row r="1012" spans="7:8" ht="15.75" customHeight="1"/>
    <row r="1013" spans="7:8" ht="15.75" customHeight="1"/>
    <row r="1014" spans="7:8" ht="15.75" customHeight="1"/>
    <row r="1015" spans="7:8" ht="15.75" customHeight="1"/>
    <row r="1016" spans="7:8" ht="15.75" customHeight="1"/>
    <row r="1017" spans="7:8" ht="15.75" customHeight="1"/>
    <row r="1018" spans="7:8" ht="15.75" customHeight="1"/>
    <row r="1019" spans="7:8" ht="15.75" customHeight="1"/>
    <row r="1020" spans="7:8" ht="15.75" customHeight="1"/>
    <row r="1021" spans="7:8" ht="15.75" customHeight="1"/>
    <row r="1022" spans="7:8" ht="15.75" customHeight="1"/>
    <row r="1023" spans="7:8" ht="15.75" customHeight="1"/>
    <row r="1024" spans="7:8"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sheetData>
  <mergeCells count="16">
    <mergeCell ref="J464:K464"/>
    <mergeCell ref="B475:G475"/>
    <mergeCell ref="B491:G491"/>
    <mergeCell ref="H586:V586"/>
    <mergeCell ref="B44:G44"/>
    <mergeCell ref="B146:G146"/>
    <mergeCell ref="B778:G778"/>
    <mergeCell ref="B779:G779"/>
    <mergeCell ref="B288:G288"/>
    <mergeCell ref="B305:G305"/>
    <mergeCell ref="B370:G370"/>
    <mergeCell ref="B2:G2"/>
    <mergeCell ref="B3:G3"/>
    <mergeCell ref="B7:G7"/>
    <mergeCell ref="I7:J7"/>
    <mergeCell ref="B24:G24"/>
  </mergeCells>
  <pageMargins left="0.25" right="0.25" top="0.35" bottom="0.35" header="0" footer="0"/>
  <pageSetup orientation="landscape"/>
  <headerFooter>
    <oddHeader>&amp;C&amp;A</oddHeader>
    <oddFooter>&amp;CPage &amp;P of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E699"/>
  </sheetPr>
  <dimension ref="A1:P999"/>
  <sheetViews>
    <sheetView showGridLines="0" workbookViewId="0">
      <pane ySplit="3" topLeftCell="A4" activePane="bottomLeft" state="frozen"/>
      <selection pane="bottomLeft" activeCell="B5" sqref="B5"/>
    </sheetView>
  </sheetViews>
  <sheetFormatPr defaultColWidth="12.6328125" defaultRowHeight="15" customHeight="1"/>
  <cols>
    <col min="1" max="1" width="19.90625" customWidth="1"/>
    <col min="2" max="2" width="19.36328125" customWidth="1"/>
    <col min="3" max="3" width="34.453125" customWidth="1"/>
    <col min="4" max="4" width="17.453125" customWidth="1"/>
    <col min="5" max="5" width="15.36328125" customWidth="1"/>
    <col min="6" max="6" width="17.6328125" customWidth="1"/>
    <col min="7" max="7" width="14.08984375" customWidth="1"/>
    <col min="8" max="8" width="14" customWidth="1"/>
    <col min="9" max="16" width="13" customWidth="1"/>
  </cols>
  <sheetData>
    <row r="1" spans="1:16" ht="12.75" customHeight="1">
      <c r="A1" s="230" t="s">
        <v>1536</v>
      </c>
      <c r="B1" s="230"/>
      <c r="C1" s="230" t="s">
        <v>1537</v>
      </c>
      <c r="D1" s="230"/>
      <c r="E1" s="230"/>
      <c r="F1" s="230"/>
      <c r="G1" s="230"/>
      <c r="H1" s="474"/>
      <c r="I1" s="474"/>
      <c r="J1" s="474"/>
      <c r="K1" s="474"/>
      <c r="L1" s="474"/>
      <c r="M1" s="474"/>
      <c r="N1" s="474"/>
      <c r="O1" s="474"/>
      <c r="P1" s="474"/>
    </row>
    <row r="2" spans="1:16" ht="14.25" hidden="1" customHeight="1">
      <c r="A2" s="292"/>
      <c r="B2" s="292"/>
      <c r="C2" s="292"/>
      <c r="D2" s="292"/>
      <c r="E2" s="292"/>
      <c r="F2" s="292"/>
      <c r="G2" s="292"/>
      <c r="H2" s="292"/>
      <c r="I2" s="292"/>
      <c r="J2" s="292"/>
      <c r="K2" s="292"/>
      <c r="L2" s="292"/>
      <c r="M2" s="292"/>
      <c r="N2" s="292"/>
      <c r="O2" s="292"/>
      <c r="P2" s="292"/>
    </row>
    <row r="3" spans="1:16" ht="14.25" customHeight="1">
      <c r="A3" s="292"/>
      <c r="B3" s="292"/>
      <c r="C3" s="292"/>
      <c r="D3" s="734"/>
      <c r="E3" s="292"/>
      <c r="F3" s="735" t="str">
        <f t="shared" ref="F3:P3" si="0">F19</f>
        <v>FY28</v>
      </c>
      <c r="G3" s="735" t="str">
        <f t="shared" si="0"/>
        <v>FY29</v>
      </c>
      <c r="H3" s="735" t="str">
        <f t="shared" si="0"/>
        <v>FY30</v>
      </c>
      <c r="I3" s="735" t="str">
        <f t="shared" si="0"/>
        <v>FY31</v>
      </c>
      <c r="J3" s="735" t="str">
        <f t="shared" si="0"/>
        <v>FY32</v>
      </c>
      <c r="K3" s="735" t="str">
        <f t="shared" si="0"/>
        <v>FY33</v>
      </c>
      <c r="L3" s="735" t="str">
        <f t="shared" si="0"/>
        <v>FY34</v>
      </c>
      <c r="M3" s="735" t="str">
        <f t="shared" si="0"/>
        <v>FY35</v>
      </c>
      <c r="N3" s="735" t="str">
        <f t="shared" si="0"/>
        <v>FY36</v>
      </c>
      <c r="O3" s="735" t="str">
        <f t="shared" si="0"/>
        <v>FY37</v>
      </c>
      <c r="P3" s="735" t="str">
        <f t="shared" si="0"/>
        <v>FY38</v>
      </c>
    </row>
    <row r="4" spans="1:16" ht="14.25" customHeight="1">
      <c r="A4" s="292"/>
      <c r="B4" s="24" t="s">
        <v>1538</v>
      </c>
      <c r="C4" s="292"/>
      <c r="D4" s="736" t="s">
        <v>1539</v>
      </c>
      <c r="E4" s="737" t="s">
        <v>1540</v>
      </c>
      <c r="F4" s="738"/>
      <c r="G4" s="292"/>
      <c r="H4" s="734"/>
      <c r="I4" s="734"/>
      <c r="J4" s="734"/>
      <c r="K4" s="734"/>
      <c r="L4" s="734"/>
      <c r="M4" s="734"/>
      <c r="N4" s="734"/>
      <c r="O4" s="734"/>
      <c r="P4" s="734"/>
    </row>
    <row r="5" spans="1:16" ht="14.25" customHeight="1">
      <c r="A5" s="292"/>
      <c r="B5" s="223">
        <v>1</v>
      </c>
      <c r="C5" s="24" t="s">
        <v>261</v>
      </c>
      <c r="D5" s="739">
        <f>Inputs!$E290</f>
        <v>5000</v>
      </c>
      <c r="E5" s="739">
        <f>'Calendar Assumptions'!D41*'Calendar Assumptions'!E41</f>
        <v>4000</v>
      </c>
      <c r="F5" s="740"/>
      <c r="G5" s="741"/>
      <c r="H5" s="740"/>
      <c r="I5" s="740"/>
      <c r="J5" s="740"/>
      <c r="K5" s="740"/>
      <c r="L5" s="740"/>
      <c r="M5" s="740"/>
      <c r="N5" s="740"/>
      <c r="O5" s="740"/>
      <c r="P5" s="740"/>
    </row>
    <row r="6" spans="1:16" ht="14.25" customHeight="1">
      <c r="A6" s="292"/>
      <c r="B6" s="223">
        <v>2</v>
      </c>
      <c r="C6" s="24" t="s">
        <v>263</v>
      </c>
      <c r="D6" s="739">
        <f>Inputs!$E291</f>
        <v>3000</v>
      </c>
      <c r="E6" s="739">
        <f>'Calendar Assumptions'!D42*'Calendar Assumptions'!E42</f>
        <v>2400</v>
      </c>
      <c r="F6" s="740"/>
      <c r="G6" s="741"/>
      <c r="H6" s="740"/>
      <c r="I6" s="740"/>
      <c r="J6" s="740"/>
      <c r="K6" s="740"/>
      <c r="L6" s="740"/>
      <c r="M6" s="740"/>
      <c r="N6" s="740"/>
      <c r="O6" s="740"/>
      <c r="P6" s="740"/>
    </row>
    <row r="7" spans="1:16" ht="14.25" customHeight="1">
      <c r="A7" s="292"/>
      <c r="B7" s="223">
        <v>3</v>
      </c>
      <c r="C7" s="24" t="s">
        <v>265</v>
      </c>
      <c r="D7" s="739">
        <f>Inputs!$E292</f>
        <v>1500</v>
      </c>
      <c r="E7" s="739">
        <f>'Calendar Assumptions'!D43*'Calendar Assumptions'!E43</f>
        <v>1350</v>
      </c>
      <c r="F7" s="740"/>
      <c r="G7" s="741"/>
      <c r="H7" s="740"/>
      <c r="I7" s="740"/>
      <c r="J7" s="740"/>
      <c r="K7" s="740"/>
      <c r="L7" s="740"/>
      <c r="M7" s="740"/>
      <c r="N7" s="740"/>
      <c r="O7" s="740"/>
      <c r="P7" s="740"/>
    </row>
    <row r="8" spans="1:16" ht="14.25" customHeight="1">
      <c r="A8" s="292"/>
      <c r="B8" s="223">
        <v>4</v>
      </c>
      <c r="C8" s="24" t="s">
        <v>1541</v>
      </c>
      <c r="D8" s="739">
        <f>Inputs!$E293</f>
        <v>3500</v>
      </c>
      <c r="E8" s="739">
        <f>'Calendar Assumptions'!D44*'Calendar Assumptions'!E44</f>
        <v>3150</v>
      </c>
      <c r="F8" s="740"/>
      <c r="G8" s="741"/>
      <c r="H8" s="740"/>
      <c r="I8" s="740"/>
      <c r="J8" s="740"/>
      <c r="K8" s="740"/>
      <c r="L8" s="740"/>
      <c r="M8" s="740"/>
      <c r="N8" s="740"/>
      <c r="O8" s="740"/>
      <c r="P8" s="740"/>
    </row>
    <row r="9" spans="1:16" ht="14.25" customHeight="1">
      <c r="A9" s="292"/>
      <c r="B9" s="223">
        <v>5</v>
      </c>
      <c r="C9" s="24" t="s">
        <v>1076</v>
      </c>
      <c r="D9" s="739">
        <f>Inputs!$E294</f>
        <v>3500</v>
      </c>
      <c r="E9" s="739">
        <f>'Calendar Assumptions'!D45*'Calendar Assumptions'!E45</f>
        <v>3150</v>
      </c>
      <c r="F9" s="740"/>
      <c r="G9" s="741"/>
      <c r="H9" s="740"/>
      <c r="I9" s="740"/>
      <c r="J9" s="740"/>
      <c r="K9" s="740"/>
      <c r="L9" s="740"/>
      <c r="M9" s="740"/>
      <c r="N9" s="740"/>
      <c r="O9" s="740"/>
      <c r="P9" s="740"/>
    </row>
    <row r="10" spans="1:16" ht="14.25" customHeight="1">
      <c r="A10" s="292"/>
      <c r="B10" s="223">
        <v>6</v>
      </c>
      <c r="C10" s="24" t="s">
        <v>1078</v>
      </c>
      <c r="D10" s="739">
        <f>Inputs!$E295</f>
        <v>3500</v>
      </c>
      <c r="E10" s="739">
        <f>'Calendar Assumptions'!D46*'Calendar Assumptions'!E46</f>
        <v>3150</v>
      </c>
      <c r="F10" s="740"/>
      <c r="G10" s="741"/>
      <c r="H10" s="740"/>
      <c r="I10" s="740"/>
      <c r="J10" s="740"/>
      <c r="K10" s="740"/>
      <c r="L10" s="740"/>
      <c r="M10" s="740"/>
      <c r="N10" s="740"/>
      <c r="O10" s="740"/>
      <c r="P10" s="740"/>
    </row>
    <row r="11" spans="1:16" ht="14.25" customHeight="1">
      <c r="A11" s="292"/>
      <c r="B11" s="223">
        <v>7</v>
      </c>
      <c r="C11" s="24" t="s">
        <v>1080</v>
      </c>
      <c r="D11" s="739">
        <f>Inputs!$E296</f>
        <v>3500</v>
      </c>
      <c r="E11" s="739">
        <f>'Calendar Assumptions'!D47*'Calendar Assumptions'!E47</f>
        <v>2800</v>
      </c>
      <c r="F11" s="740"/>
      <c r="G11" s="741"/>
      <c r="H11" s="740"/>
      <c r="I11" s="740"/>
      <c r="J11" s="740"/>
      <c r="K11" s="740"/>
      <c r="L11" s="740"/>
      <c r="M11" s="740"/>
      <c r="N11" s="740"/>
      <c r="O11" s="740"/>
      <c r="P11" s="740"/>
    </row>
    <row r="12" spans="1:16" ht="14.25" customHeight="1">
      <c r="A12" s="292"/>
      <c r="B12" s="223">
        <v>8</v>
      </c>
      <c r="C12" s="24" t="s">
        <v>311</v>
      </c>
      <c r="D12" s="739">
        <f>Inputs!$E297</f>
        <v>3500</v>
      </c>
      <c r="E12" s="739">
        <f>'Calendar Assumptions'!D48*'Calendar Assumptions'!E48</f>
        <v>2450</v>
      </c>
      <c r="F12" s="740"/>
      <c r="G12" s="741"/>
      <c r="H12" s="740"/>
      <c r="I12" s="740"/>
      <c r="J12" s="740"/>
      <c r="K12" s="740"/>
      <c r="L12" s="740"/>
      <c r="M12" s="740"/>
      <c r="N12" s="740"/>
      <c r="O12" s="740"/>
      <c r="P12" s="740"/>
    </row>
    <row r="13" spans="1:16" ht="14.25" customHeight="1">
      <c r="A13" s="292"/>
      <c r="B13" s="223">
        <v>9</v>
      </c>
      <c r="C13" s="24" t="s">
        <v>272</v>
      </c>
      <c r="D13" s="739">
        <f>Inputs!$E298</f>
        <v>2000</v>
      </c>
      <c r="E13" s="739">
        <f>'Calendar Assumptions'!D49*'Calendar Assumptions'!E49</f>
        <v>2000</v>
      </c>
      <c r="F13" s="740"/>
      <c r="G13" s="741"/>
      <c r="H13" s="740"/>
      <c r="I13" s="740"/>
      <c r="J13" s="740"/>
      <c r="K13" s="740"/>
      <c r="L13" s="740"/>
      <c r="M13" s="740"/>
      <c r="N13" s="740"/>
      <c r="O13" s="740"/>
      <c r="P13" s="740"/>
    </row>
    <row r="14" spans="1:16" ht="14.25" customHeight="1">
      <c r="A14" s="292"/>
      <c r="B14" s="223">
        <v>10</v>
      </c>
      <c r="C14" s="24" t="s">
        <v>1542</v>
      </c>
      <c r="D14" s="739">
        <f>Inputs!$E299</f>
        <v>2000</v>
      </c>
      <c r="E14" s="739">
        <f>'Calendar Assumptions'!D50*'Calendar Assumptions'!E50</f>
        <v>2000</v>
      </c>
      <c r="F14" s="740"/>
      <c r="G14" s="741"/>
      <c r="H14" s="740"/>
      <c r="I14" s="740"/>
      <c r="J14" s="740"/>
      <c r="K14" s="740"/>
      <c r="L14" s="740"/>
      <c r="M14" s="740"/>
      <c r="N14" s="740"/>
      <c r="O14" s="740"/>
      <c r="P14" s="740"/>
    </row>
    <row r="15" spans="1:16" ht="14.25" customHeight="1">
      <c r="A15" s="292"/>
      <c r="B15" s="223">
        <v>11</v>
      </c>
      <c r="C15" s="24" t="s">
        <v>1543</v>
      </c>
      <c r="D15" s="739">
        <f>Inputs!$E300</f>
        <v>4000</v>
      </c>
      <c r="E15" s="739">
        <f>'Calendar Assumptions'!D51*'Calendar Assumptions'!E51</f>
        <v>4000</v>
      </c>
      <c r="F15" s="740"/>
      <c r="G15" s="741"/>
      <c r="H15" s="740"/>
      <c r="I15" s="740"/>
      <c r="J15" s="740"/>
      <c r="K15" s="740"/>
      <c r="L15" s="740"/>
      <c r="M15" s="740"/>
      <c r="N15" s="740"/>
      <c r="O15" s="740"/>
      <c r="P15" s="740"/>
    </row>
    <row r="16" spans="1:16" ht="15" customHeight="1">
      <c r="A16" s="292"/>
      <c r="B16" s="292"/>
      <c r="C16" s="292"/>
      <c r="D16" s="734"/>
      <c r="E16" s="742"/>
      <c r="F16" s="740"/>
      <c r="G16" s="740"/>
      <c r="H16" s="740"/>
      <c r="I16" s="740"/>
      <c r="J16" s="740"/>
      <c r="K16" s="740"/>
      <c r="L16" s="740"/>
      <c r="M16" s="740"/>
      <c r="N16" s="740"/>
      <c r="O16" s="740"/>
      <c r="P16" s="740"/>
    </row>
    <row r="17" spans="1:16" ht="15" customHeight="1">
      <c r="A17" s="292"/>
      <c r="B17" s="292"/>
      <c r="C17" s="292"/>
      <c r="D17" s="292"/>
      <c r="E17" s="292"/>
      <c r="F17" s="741"/>
      <c r="G17" s="741"/>
      <c r="H17" s="741"/>
      <c r="I17" s="741"/>
      <c r="J17" s="741"/>
      <c r="K17" s="741"/>
      <c r="L17" s="741"/>
      <c r="M17" s="741"/>
      <c r="N17" s="741"/>
      <c r="O17" s="741"/>
      <c r="P17" s="741"/>
    </row>
    <row r="18" spans="1:16" ht="15" customHeight="1">
      <c r="A18" s="292"/>
      <c r="B18" s="292"/>
      <c r="C18" s="292"/>
      <c r="D18" s="292"/>
      <c r="E18" s="237" t="s">
        <v>192</v>
      </c>
      <c r="F18" s="227"/>
      <c r="G18" s="227"/>
      <c r="H18" s="227"/>
      <c r="I18" s="227"/>
      <c r="J18" s="227"/>
      <c r="K18" s="227"/>
      <c r="L18" s="227"/>
      <c r="M18" s="227"/>
      <c r="N18" s="227"/>
      <c r="O18" s="227"/>
      <c r="P18" s="227"/>
    </row>
    <row r="19" spans="1:16" ht="15" customHeight="1">
      <c r="A19" s="292"/>
      <c r="B19" s="24" t="s">
        <v>1544</v>
      </c>
      <c r="C19" s="292"/>
      <c r="D19" s="237" t="s">
        <v>1545</v>
      </c>
      <c r="E19" s="292"/>
      <c r="F19" s="735" t="str">
        <f>'P&amp;L'!J6</f>
        <v>FY28</v>
      </c>
      <c r="G19" s="735" t="str">
        <f>'P&amp;L'!K6</f>
        <v>FY29</v>
      </c>
      <c r="H19" s="735" t="str">
        <f>'P&amp;L'!L6</f>
        <v>FY30</v>
      </c>
      <c r="I19" s="735" t="str">
        <f>'P&amp;L'!M6</f>
        <v>FY31</v>
      </c>
      <c r="J19" s="735" t="str">
        <f>'P&amp;L'!N6</f>
        <v>FY32</v>
      </c>
      <c r="K19" s="735" t="str">
        <f>'P&amp;L'!O6</f>
        <v>FY33</v>
      </c>
      <c r="L19" s="735" t="str">
        <f>'P&amp;L'!P6</f>
        <v>FY34</v>
      </c>
      <c r="M19" s="735" t="str">
        <f>'P&amp;L'!Q6</f>
        <v>FY35</v>
      </c>
      <c r="N19" s="735" t="str">
        <f>'P&amp;L'!R6</f>
        <v>FY36</v>
      </c>
      <c r="O19" s="735" t="str">
        <f>'P&amp;L'!S6</f>
        <v>FY37</v>
      </c>
      <c r="P19" s="735" t="str">
        <f>'P&amp;L'!T6</f>
        <v>FY38</v>
      </c>
    </row>
    <row r="20" spans="1:16" ht="15" customHeight="1">
      <c r="A20" s="292"/>
      <c r="B20" s="24"/>
      <c r="C20" s="292"/>
      <c r="D20" s="237"/>
      <c r="E20" s="292"/>
      <c r="F20" s="227"/>
      <c r="G20" s="227"/>
      <c r="H20" s="227"/>
      <c r="I20" s="227"/>
      <c r="J20" s="227"/>
      <c r="K20" s="227"/>
      <c r="L20" s="227"/>
      <c r="M20" s="227"/>
      <c r="N20" s="227"/>
      <c r="O20" s="227"/>
      <c r="P20" s="227"/>
    </row>
    <row r="21" spans="1:16" ht="15.75" customHeight="1">
      <c r="A21" s="292"/>
      <c r="B21" s="223">
        <v>1</v>
      </c>
      <c r="C21" s="24" t="s">
        <v>261</v>
      </c>
      <c r="D21" s="743">
        <f>'Calendar Assumptions'!D41*'Calendar Assumptions'!E41</f>
        <v>4000</v>
      </c>
      <c r="E21" s="744"/>
      <c r="F21" s="745">
        <f>Inputs!E310</f>
        <v>103</v>
      </c>
      <c r="G21" s="745">
        <f>F21*(1+Inputs!$E$315)</f>
        <v>106.09</v>
      </c>
      <c r="H21" s="745">
        <f>G21*(1+Inputs!$E$315)</f>
        <v>109.2727</v>
      </c>
      <c r="I21" s="745">
        <f>H21*(1+Inputs!$E$315)</f>
        <v>112.550881</v>
      </c>
      <c r="J21" s="745">
        <f>I21*(1+Inputs!$E$315)</f>
        <v>115.92740743</v>
      </c>
      <c r="K21" s="745">
        <f>J21*(1+Inputs!$E$315)</f>
        <v>119.4052296529</v>
      </c>
      <c r="L21" s="745">
        <f>K21*(1+Inputs!$E$315)</f>
        <v>122.987386542487</v>
      </c>
      <c r="M21" s="745">
        <f>L21*(1+Inputs!$E$315)</f>
        <v>126.67700813876162</v>
      </c>
      <c r="N21" s="745">
        <f>M21*(1+Inputs!$E$315)</f>
        <v>130.47731838292447</v>
      </c>
      <c r="O21" s="745">
        <f>N21*(1+Inputs!$E$315)</f>
        <v>134.39163793441222</v>
      </c>
      <c r="P21" s="745">
        <f>O21*(1+Inputs!$E$315)</f>
        <v>138.4233870724446</v>
      </c>
    </row>
    <row r="22" spans="1:16" ht="15.75" customHeight="1">
      <c r="A22" s="292"/>
      <c r="B22" s="223">
        <v>2</v>
      </c>
      <c r="C22" s="24" t="s">
        <v>263</v>
      </c>
      <c r="D22" s="743">
        <f>'Calendar Assumptions'!D42*'Calendar Assumptions'!E42</f>
        <v>2400</v>
      </c>
      <c r="E22" s="744"/>
      <c r="F22" s="745">
        <f>F21</f>
        <v>103</v>
      </c>
      <c r="G22" s="745">
        <f>F22*(1+Inputs!$E$315)</f>
        <v>106.09</v>
      </c>
      <c r="H22" s="745">
        <f>G22*(1+Inputs!$E$315)</f>
        <v>109.2727</v>
      </c>
      <c r="I22" s="745">
        <f>H22*(1+Inputs!$E$315)</f>
        <v>112.550881</v>
      </c>
      <c r="J22" s="745">
        <f>I22*(1+Inputs!$E$315)</f>
        <v>115.92740743</v>
      </c>
      <c r="K22" s="745">
        <f>J22*(1+Inputs!$E$315)</f>
        <v>119.4052296529</v>
      </c>
      <c r="L22" s="745">
        <f>K22*(1+Inputs!$E$315)</f>
        <v>122.987386542487</v>
      </c>
      <c r="M22" s="745">
        <f>L22*(1+Inputs!$E$315)</f>
        <v>126.67700813876162</v>
      </c>
      <c r="N22" s="745">
        <f>M22*(1+Inputs!$E$315)</f>
        <v>130.47731838292447</v>
      </c>
      <c r="O22" s="745">
        <f>N22*(1+Inputs!$E$315)</f>
        <v>134.39163793441222</v>
      </c>
      <c r="P22" s="745">
        <f>O22*(1+Inputs!$E$315)</f>
        <v>138.4233870724446</v>
      </c>
    </row>
    <row r="23" spans="1:16" ht="15.75" customHeight="1">
      <c r="A23" s="292"/>
      <c r="B23" s="223">
        <v>3</v>
      </c>
      <c r="C23" s="24" t="s">
        <v>265</v>
      </c>
      <c r="D23" s="743">
        <f>'Calendar Assumptions'!D43*'Calendar Assumptions'!E43</f>
        <v>1350</v>
      </c>
      <c r="E23" s="744"/>
      <c r="F23" s="745">
        <f>Inputs!E312</f>
        <v>88</v>
      </c>
      <c r="G23" s="745">
        <f>F23*(1+Inputs!$E$315)</f>
        <v>90.64</v>
      </c>
      <c r="H23" s="745">
        <f>G23*(1+Inputs!$E$315)</f>
        <v>93.359200000000001</v>
      </c>
      <c r="I23" s="745">
        <f>H23*(1+Inputs!$E$315)</f>
        <v>96.159976</v>
      </c>
      <c r="J23" s="745">
        <f>I23*(1+Inputs!$E$315)</f>
        <v>99.044775279999996</v>
      </c>
      <c r="K23" s="745">
        <f>J23*(1+Inputs!$E$315)</f>
        <v>102.01611853839999</v>
      </c>
      <c r="L23" s="745">
        <f>K23*(1+Inputs!$E$315)</f>
        <v>105.076602094552</v>
      </c>
      <c r="M23" s="745">
        <f>L23*(1+Inputs!$E$315)</f>
        <v>108.22890015738857</v>
      </c>
      <c r="N23" s="745">
        <f>M23*(1+Inputs!$E$315)</f>
        <v>111.47576716211023</v>
      </c>
      <c r="O23" s="745">
        <f>N23*(1+Inputs!$E$315)</f>
        <v>114.82004017697354</v>
      </c>
      <c r="P23" s="745">
        <f>O23*(1+Inputs!$E$315)</f>
        <v>118.26464138228275</v>
      </c>
    </row>
    <row r="24" spans="1:16" ht="15.75" customHeight="1">
      <c r="A24" s="292"/>
      <c r="B24" s="223">
        <v>4</v>
      </c>
      <c r="C24" s="24" t="s">
        <v>1541</v>
      </c>
      <c r="D24" s="743">
        <f>'Calendar Assumptions'!D44*'Calendar Assumptions'!E44</f>
        <v>3150</v>
      </c>
      <c r="E24" s="744"/>
      <c r="F24" s="745">
        <f>Inputs!E313</f>
        <v>124</v>
      </c>
      <c r="G24" s="745">
        <f>F24*(1+Inputs!$E$315)</f>
        <v>127.72</v>
      </c>
      <c r="H24" s="745">
        <f>G24*(1+Inputs!$E$315)</f>
        <v>131.55160000000001</v>
      </c>
      <c r="I24" s="745">
        <f>H24*(1+Inputs!$E$315)</f>
        <v>135.49814800000001</v>
      </c>
      <c r="J24" s="745">
        <f>I24*(1+Inputs!$E$315)</f>
        <v>139.56309244000002</v>
      </c>
      <c r="K24" s="745">
        <f>J24*(1+Inputs!$E$315)</f>
        <v>143.74998521320003</v>
      </c>
      <c r="L24" s="745">
        <f>K24*(1+Inputs!$E$315)</f>
        <v>148.06248476959604</v>
      </c>
      <c r="M24" s="745">
        <f>L24*(1+Inputs!$E$315)</f>
        <v>152.50435931268393</v>
      </c>
      <c r="N24" s="745">
        <f>M24*(1+Inputs!$E$315)</f>
        <v>157.07949009206445</v>
      </c>
      <c r="O24" s="745">
        <f>N24*(1+Inputs!$E$315)</f>
        <v>161.79187479482638</v>
      </c>
      <c r="P24" s="745">
        <f>O24*(1+Inputs!$E$315)</f>
        <v>166.64563103867118</v>
      </c>
    </row>
    <row r="25" spans="1:16" ht="15.75" customHeight="1">
      <c r="A25" s="292"/>
      <c r="B25" s="223">
        <v>5</v>
      </c>
      <c r="C25" s="24" t="s">
        <v>1076</v>
      </c>
      <c r="D25" s="743">
        <f>'Calendar Assumptions'!D45*'Calendar Assumptions'!E45</f>
        <v>3150</v>
      </c>
      <c r="E25" s="744"/>
      <c r="F25" s="745">
        <f>Inputs!E314</f>
        <v>103</v>
      </c>
      <c r="G25" s="745">
        <f>F25*(1+Inputs!$E$315)</f>
        <v>106.09</v>
      </c>
      <c r="H25" s="745">
        <f>G25*(1+Inputs!$E$315)</f>
        <v>109.2727</v>
      </c>
      <c r="I25" s="745">
        <f>H25*(1+Inputs!$E$315)</f>
        <v>112.550881</v>
      </c>
      <c r="J25" s="745">
        <f>I25*(1+Inputs!$E$315)</f>
        <v>115.92740743</v>
      </c>
      <c r="K25" s="745">
        <f>J25*(1+Inputs!$E$315)</f>
        <v>119.4052296529</v>
      </c>
      <c r="L25" s="745">
        <f>K25*(1+Inputs!$E$315)</f>
        <v>122.987386542487</v>
      </c>
      <c r="M25" s="745">
        <f>L25*(1+Inputs!$E$315)</f>
        <v>126.67700813876162</v>
      </c>
      <c r="N25" s="745">
        <f>M25*(1+Inputs!$E$315)</f>
        <v>130.47731838292447</v>
      </c>
      <c r="O25" s="745">
        <f>N25*(1+Inputs!$E$315)</f>
        <v>134.39163793441222</v>
      </c>
      <c r="P25" s="745">
        <f>O25*(1+Inputs!$E$315)</f>
        <v>138.4233870724446</v>
      </c>
    </row>
    <row r="26" spans="1:16" ht="15.75" customHeight="1">
      <c r="A26" s="292"/>
      <c r="B26" s="223">
        <v>6</v>
      </c>
      <c r="C26" s="24" t="s">
        <v>1078</v>
      </c>
      <c r="D26" s="743">
        <f>'Calendar Assumptions'!D46*'Calendar Assumptions'!E46</f>
        <v>3150</v>
      </c>
      <c r="E26" s="744"/>
      <c r="F26" s="745">
        <f>Inputs!E314</f>
        <v>103</v>
      </c>
      <c r="G26" s="745">
        <f>F26*(1+Inputs!$E$315)</f>
        <v>106.09</v>
      </c>
      <c r="H26" s="745">
        <f>G26*(1+Inputs!$E$315)</f>
        <v>109.2727</v>
      </c>
      <c r="I26" s="745">
        <f>H26*(1+Inputs!$E$315)</f>
        <v>112.550881</v>
      </c>
      <c r="J26" s="745">
        <f>I26*(1+Inputs!$E$315)</f>
        <v>115.92740743</v>
      </c>
      <c r="K26" s="745">
        <f>J26*(1+Inputs!$E$315)</f>
        <v>119.4052296529</v>
      </c>
      <c r="L26" s="745">
        <f>K26*(1+Inputs!$E$315)</f>
        <v>122.987386542487</v>
      </c>
      <c r="M26" s="745">
        <f>L26*(1+Inputs!$E$315)</f>
        <v>126.67700813876162</v>
      </c>
      <c r="N26" s="745">
        <f>M26*(1+Inputs!$E$315)</f>
        <v>130.47731838292447</v>
      </c>
      <c r="O26" s="745">
        <f>N26*(1+Inputs!$E$315)</f>
        <v>134.39163793441222</v>
      </c>
      <c r="P26" s="745">
        <f>O26*(1+Inputs!$E$315)</f>
        <v>138.4233870724446</v>
      </c>
    </row>
    <row r="27" spans="1:16" ht="15.75" customHeight="1">
      <c r="A27" s="292"/>
      <c r="B27" s="223">
        <v>7</v>
      </c>
      <c r="C27" s="24" t="s">
        <v>1080</v>
      </c>
      <c r="D27" s="743">
        <f>'Calendar Assumptions'!D47*'Calendar Assumptions'!E47</f>
        <v>2800</v>
      </c>
      <c r="E27" s="744"/>
      <c r="F27" s="745">
        <f>Inputs!E314</f>
        <v>103</v>
      </c>
      <c r="G27" s="745">
        <f>F27*(1+Inputs!$E$315)</f>
        <v>106.09</v>
      </c>
      <c r="H27" s="745">
        <f>G27*(1+Inputs!$E$315)</f>
        <v>109.2727</v>
      </c>
      <c r="I27" s="745">
        <f>H27*(1+Inputs!$E$315)</f>
        <v>112.550881</v>
      </c>
      <c r="J27" s="745">
        <f>I27*(1+Inputs!$E$315)</f>
        <v>115.92740743</v>
      </c>
      <c r="K27" s="745">
        <f>J27*(1+Inputs!$E$315)</f>
        <v>119.4052296529</v>
      </c>
      <c r="L27" s="745">
        <f>K27*(1+Inputs!$E$315)</f>
        <v>122.987386542487</v>
      </c>
      <c r="M27" s="745">
        <f>L27*(1+Inputs!$E$315)</f>
        <v>126.67700813876162</v>
      </c>
      <c r="N27" s="745">
        <f>M27*(1+Inputs!$E$315)</f>
        <v>130.47731838292447</v>
      </c>
      <c r="O27" s="745">
        <f>N27*(1+Inputs!$E$315)</f>
        <v>134.39163793441222</v>
      </c>
      <c r="P27" s="745">
        <f>O27*(1+Inputs!$E$315)</f>
        <v>138.4233870724446</v>
      </c>
    </row>
    <row r="28" spans="1:16" ht="15.75" customHeight="1">
      <c r="A28" s="292"/>
      <c r="B28" s="223">
        <v>8</v>
      </c>
      <c r="C28" s="24" t="s">
        <v>311</v>
      </c>
      <c r="D28" s="743">
        <f>'Calendar Assumptions'!D48*'Calendar Assumptions'!E48</f>
        <v>2450</v>
      </c>
      <c r="E28" s="744"/>
      <c r="F28" s="745">
        <v>0</v>
      </c>
      <c r="G28" s="745">
        <f>F28*(1+Inputs!$E$315)</f>
        <v>0</v>
      </c>
      <c r="H28" s="745">
        <f>G28*(1+Inputs!$E$315)</f>
        <v>0</v>
      </c>
      <c r="I28" s="745">
        <f>H28*(1+Inputs!$E$315)</f>
        <v>0</v>
      </c>
      <c r="J28" s="745">
        <f>I28*(1+Inputs!$E$315)</f>
        <v>0</v>
      </c>
      <c r="K28" s="745">
        <f>J28*(1+Inputs!$E$315)</f>
        <v>0</v>
      </c>
      <c r="L28" s="745">
        <f>K28*(1+Inputs!$E$315)</f>
        <v>0</v>
      </c>
      <c r="M28" s="745">
        <f>L28*(1+Inputs!$E$315)</f>
        <v>0</v>
      </c>
      <c r="N28" s="745">
        <f>M28*(1+Inputs!$E$315)</f>
        <v>0</v>
      </c>
      <c r="O28" s="745">
        <f>N28*(1+Inputs!$E$315)</f>
        <v>0</v>
      </c>
      <c r="P28" s="745">
        <f>O28*(1+Inputs!$E$315)</f>
        <v>0</v>
      </c>
    </row>
    <row r="29" spans="1:16" ht="15.75" customHeight="1">
      <c r="A29" s="292"/>
      <c r="B29" s="223">
        <v>9</v>
      </c>
      <c r="C29" s="24" t="s">
        <v>272</v>
      </c>
      <c r="D29" s="743">
        <f>'Calendar Assumptions'!D49*'Calendar Assumptions'!E49</f>
        <v>2000</v>
      </c>
      <c r="E29" s="744"/>
      <c r="F29" s="745">
        <v>0</v>
      </c>
      <c r="G29" s="745">
        <f>F29*(1+Inputs!$E$315)</f>
        <v>0</v>
      </c>
      <c r="H29" s="745">
        <f>G29*(1+Inputs!$E$315)</f>
        <v>0</v>
      </c>
      <c r="I29" s="745">
        <f>H29*(1+Inputs!$E$315)</f>
        <v>0</v>
      </c>
      <c r="J29" s="745">
        <f>I29*(1+Inputs!$E$315)</f>
        <v>0</v>
      </c>
      <c r="K29" s="745">
        <f>J29*(1+Inputs!$E$315)</f>
        <v>0</v>
      </c>
      <c r="L29" s="745">
        <f>K29*(1+Inputs!$E$315)</f>
        <v>0</v>
      </c>
      <c r="M29" s="745">
        <f>L29*(1+Inputs!$E$315)</f>
        <v>0</v>
      </c>
      <c r="N29" s="745">
        <f>M29*(1+Inputs!$E$315)</f>
        <v>0</v>
      </c>
      <c r="O29" s="745">
        <f>N29*(1+Inputs!$E$315)</f>
        <v>0</v>
      </c>
      <c r="P29" s="745">
        <f>O29*(1+Inputs!$E$315)</f>
        <v>0</v>
      </c>
    </row>
    <row r="30" spans="1:16" ht="15.75" customHeight="1">
      <c r="A30" s="292"/>
      <c r="B30" s="223">
        <v>10</v>
      </c>
      <c r="C30" s="24" t="s">
        <v>1542</v>
      </c>
      <c r="D30" s="743">
        <f>'Calendar Assumptions'!D50*'Calendar Assumptions'!E50</f>
        <v>2000</v>
      </c>
      <c r="E30" s="744"/>
      <c r="F30" s="745">
        <v>0</v>
      </c>
      <c r="G30" s="745">
        <f>F30*(1+Inputs!$E$315)</f>
        <v>0</v>
      </c>
      <c r="H30" s="745">
        <f>G30*(1+Inputs!$E$315)</f>
        <v>0</v>
      </c>
      <c r="I30" s="745">
        <f>H30*(1+Inputs!$E$315)</f>
        <v>0</v>
      </c>
      <c r="J30" s="745">
        <f>I30*(1+Inputs!$E$315)</f>
        <v>0</v>
      </c>
      <c r="K30" s="745">
        <f>J30*(1+Inputs!$E$315)</f>
        <v>0</v>
      </c>
      <c r="L30" s="745">
        <f>K30*(1+Inputs!$E$315)</f>
        <v>0</v>
      </c>
      <c r="M30" s="745">
        <f>L30*(1+Inputs!$E$315)</f>
        <v>0</v>
      </c>
      <c r="N30" s="745">
        <f>M30*(1+Inputs!$E$315)</f>
        <v>0</v>
      </c>
      <c r="O30" s="745">
        <f>N30*(1+Inputs!$E$315)</f>
        <v>0</v>
      </c>
      <c r="P30" s="745">
        <f>O30*(1+Inputs!$E$315)</f>
        <v>0</v>
      </c>
    </row>
    <row r="31" spans="1:16" ht="15.75" customHeight="1">
      <c r="A31" s="292"/>
      <c r="B31" s="223">
        <v>11</v>
      </c>
      <c r="C31" s="24" t="s">
        <v>1543</v>
      </c>
      <c r="D31" s="743">
        <f>'Calendar Assumptions'!D51*'Calendar Assumptions'!E51</f>
        <v>4000</v>
      </c>
      <c r="E31" s="744"/>
      <c r="F31" s="745">
        <v>0</v>
      </c>
      <c r="G31" s="745">
        <f>F31*(1+Inputs!$E$315)</f>
        <v>0</v>
      </c>
      <c r="H31" s="745">
        <f>G31*(1+Inputs!$E$315)</f>
        <v>0</v>
      </c>
      <c r="I31" s="745">
        <f>H31*(1+Inputs!$E$315)</f>
        <v>0</v>
      </c>
      <c r="J31" s="745">
        <f>I31*(1+Inputs!$E$315)</f>
        <v>0</v>
      </c>
      <c r="K31" s="745">
        <f>J31*(1+Inputs!$E$315)</f>
        <v>0</v>
      </c>
      <c r="L31" s="745">
        <f>K31*(1+Inputs!$E$315)</f>
        <v>0</v>
      </c>
      <c r="M31" s="745">
        <f>L31*(1+Inputs!$E$315)</f>
        <v>0</v>
      </c>
      <c r="N31" s="745">
        <f>M31*(1+Inputs!$E$315)</f>
        <v>0</v>
      </c>
      <c r="O31" s="745">
        <f>N31*(1+Inputs!$E$315)</f>
        <v>0</v>
      </c>
      <c r="P31" s="745">
        <f>O31*(1+Inputs!$E$315)</f>
        <v>0</v>
      </c>
    </row>
    <row r="32" spans="1:16" ht="15.75" customHeight="1">
      <c r="A32" s="292"/>
      <c r="B32" s="292"/>
      <c r="C32" s="292"/>
      <c r="D32" s="292"/>
      <c r="E32" s="292"/>
      <c r="F32" s="227"/>
      <c r="G32" s="227"/>
      <c r="H32" s="227"/>
      <c r="I32" s="227"/>
      <c r="J32" s="227"/>
      <c r="K32" s="227"/>
      <c r="L32" s="227"/>
      <c r="M32" s="227"/>
      <c r="N32" s="227"/>
      <c r="O32" s="227"/>
      <c r="P32" s="227"/>
    </row>
    <row r="33" spans="1:16" ht="15.75" customHeight="1">
      <c r="A33" s="292"/>
      <c r="B33" s="292"/>
      <c r="C33" s="292"/>
      <c r="D33" s="292"/>
      <c r="E33" s="237" t="s">
        <v>192</v>
      </c>
      <c r="F33" s="227"/>
      <c r="G33" s="227"/>
      <c r="H33" s="227"/>
      <c r="I33" s="227"/>
      <c r="J33" s="227"/>
      <c r="K33" s="227"/>
      <c r="L33" s="227"/>
      <c r="M33" s="227"/>
      <c r="N33" s="227"/>
      <c r="O33" s="227"/>
      <c r="P33" s="227"/>
    </row>
    <row r="34" spans="1:16" ht="15.75" customHeight="1">
      <c r="A34" s="292"/>
      <c r="B34" s="1426" t="s">
        <v>1546</v>
      </c>
      <c r="C34" s="1305"/>
      <c r="D34" s="237" t="s">
        <v>1545</v>
      </c>
      <c r="E34" s="292"/>
      <c r="F34" s="747" t="str">
        <f t="shared" ref="F34:P34" si="1">F19</f>
        <v>FY28</v>
      </c>
      <c r="G34" s="748" t="str">
        <f t="shared" si="1"/>
        <v>FY29</v>
      </c>
      <c r="H34" s="748" t="str">
        <f t="shared" si="1"/>
        <v>FY30</v>
      </c>
      <c r="I34" s="748" t="str">
        <f t="shared" si="1"/>
        <v>FY31</v>
      </c>
      <c r="J34" s="748" t="str">
        <f t="shared" si="1"/>
        <v>FY32</v>
      </c>
      <c r="K34" s="748" t="str">
        <f t="shared" si="1"/>
        <v>FY33</v>
      </c>
      <c r="L34" s="748" t="str">
        <f t="shared" si="1"/>
        <v>FY34</v>
      </c>
      <c r="M34" s="748" t="str">
        <f t="shared" si="1"/>
        <v>FY35</v>
      </c>
      <c r="N34" s="748" t="str">
        <f t="shared" si="1"/>
        <v>FY36</v>
      </c>
      <c r="O34" s="748" t="str">
        <f t="shared" si="1"/>
        <v>FY37</v>
      </c>
      <c r="P34" s="748" t="str">
        <f t="shared" si="1"/>
        <v>FY38</v>
      </c>
    </row>
    <row r="35" spans="1:16" ht="15.75" customHeight="1">
      <c r="A35" s="292"/>
      <c r="B35" s="24"/>
      <c r="C35" s="292"/>
      <c r="D35" s="237"/>
      <c r="E35" s="292"/>
      <c r="F35" s="227"/>
      <c r="G35" s="227"/>
      <c r="H35" s="227"/>
      <c r="I35" s="227"/>
      <c r="J35" s="227"/>
      <c r="K35" s="227"/>
      <c r="L35" s="227"/>
      <c r="M35" s="227"/>
      <c r="N35" s="227"/>
      <c r="O35" s="227"/>
      <c r="P35" s="227"/>
    </row>
    <row r="36" spans="1:16" ht="15.75" customHeight="1">
      <c r="A36" s="292"/>
      <c r="B36" s="223">
        <v>1</v>
      </c>
      <c r="C36" s="24" t="s">
        <v>261</v>
      </c>
      <c r="D36" s="749">
        <f>'Calendar Assumptions'!$D41*'Calendar Assumptions'!$E41</f>
        <v>4000</v>
      </c>
      <c r="E36" s="744"/>
      <c r="F36" s="750">
        <f t="shared" ref="F36:F46" si="2">D21*F21*RM_VHA_GBO_Fee</f>
        <v>53560</v>
      </c>
      <c r="G36" s="750">
        <f t="shared" ref="G36:P36" si="3">$D36*G21*RM_VHA_GBO_Fee</f>
        <v>55166.8</v>
      </c>
      <c r="H36" s="750">
        <f t="shared" si="3"/>
        <v>56821.804000000004</v>
      </c>
      <c r="I36" s="750">
        <f t="shared" si="3"/>
        <v>58526.458120000003</v>
      </c>
      <c r="J36" s="750">
        <f t="shared" si="3"/>
        <v>60282.251863600002</v>
      </c>
      <c r="K36" s="750">
        <f t="shared" si="3"/>
        <v>62090.719419508001</v>
      </c>
      <c r="L36" s="750">
        <f t="shared" si="3"/>
        <v>63953.441002093241</v>
      </c>
      <c r="M36" s="750">
        <f t="shared" si="3"/>
        <v>65872.04423215604</v>
      </c>
      <c r="N36" s="750">
        <f t="shared" si="3"/>
        <v>67848.205559120732</v>
      </c>
      <c r="O36" s="750">
        <f t="shared" si="3"/>
        <v>69883.651725894364</v>
      </c>
      <c r="P36" s="750">
        <f t="shared" si="3"/>
        <v>71980.161277671199</v>
      </c>
    </row>
    <row r="37" spans="1:16" ht="15.75" customHeight="1">
      <c r="A37" s="292"/>
      <c r="B37" s="223">
        <v>2</v>
      </c>
      <c r="C37" s="24" t="s">
        <v>263</v>
      </c>
      <c r="D37" s="749">
        <f>'Calendar Assumptions'!$D42*'Calendar Assumptions'!$E42</f>
        <v>2400</v>
      </c>
      <c r="E37" s="744"/>
      <c r="F37" s="750">
        <f t="shared" si="2"/>
        <v>32136</v>
      </c>
      <c r="G37" s="750">
        <f t="shared" ref="G37:P37" si="4">$D37*G22*RM_VHA_GBO_Fee</f>
        <v>33100.080000000002</v>
      </c>
      <c r="H37" s="750">
        <f t="shared" si="4"/>
        <v>34093.082399999999</v>
      </c>
      <c r="I37" s="750">
        <f t="shared" si="4"/>
        <v>35115.874872</v>
      </c>
      <c r="J37" s="750">
        <f t="shared" si="4"/>
        <v>36169.351118159997</v>
      </c>
      <c r="K37" s="750">
        <f t="shared" si="4"/>
        <v>37254.431651704806</v>
      </c>
      <c r="L37" s="750">
        <f t="shared" si="4"/>
        <v>38372.064601255945</v>
      </c>
      <c r="M37" s="750">
        <f t="shared" si="4"/>
        <v>39523.226539293624</v>
      </c>
      <c r="N37" s="750">
        <f t="shared" si="4"/>
        <v>40708.923335472435</v>
      </c>
      <c r="O37" s="750">
        <f t="shared" si="4"/>
        <v>41930.191035536613</v>
      </c>
      <c r="P37" s="750">
        <f t="shared" si="4"/>
        <v>43188.096766602721</v>
      </c>
    </row>
    <row r="38" spans="1:16" ht="15.75" customHeight="1">
      <c r="A38" s="292"/>
      <c r="B38" s="223">
        <v>3</v>
      </c>
      <c r="C38" s="24" t="s">
        <v>265</v>
      </c>
      <c r="D38" s="749">
        <f>'Calendar Assumptions'!$D43*'Calendar Assumptions'!$E43</f>
        <v>1350</v>
      </c>
      <c r="E38" s="744"/>
      <c r="F38" s="750">
        <f t="shared" si="2"/>
        <v>15444</v>
      </c>
      <c r="G38" s="750">
        <f t="shared" ref="G38:P38" si="5">$D38*G23*RM_VHA_GBO_Fee</f>
        <v>15907.32</v>
      </c>
      <c r="H38" s="750">
        <f t="shared" si="5"/>
        <v>16384.5396</v>
      </c>
      <c r="I38" s="750">
        <f t="shared" si="5"/>
        <v>16876.075788000002</v>
      </c>
      <c r="J38" s="750">
        <f t="shared" si="5"/>
        <v>17382.35806164</v>
      </c>
      <c r="K38" s="750">
        <f t="shared" si="5"/>
        <v>17903.828803489199</v>
      </c>
      <c r="L38" s="750">
        <f t="shared" si="5"/>
        <v>18440.943667593878</v>
      </c>
      <c r="M38" s="750">
        <f t="shared" si="5"/>
        <v>18994.171977621692</v>
      </c>
      <c r="N38" s="750">
        <f t="shared" si="5"/>
        <v>19563.997136950347</v>
      </c>
      <c r="O38" s="750">
        <f t="shared" si="5"/>
        <v>20150.917051058856</v>
      </c>
      <c r="P38" s="750">
        <f t="shared" si="5"/>
        <v>20755.444562590623</v>
      </c>
    </row>
    <row r="39" spans="1:16" ht="15.75" customHeight="1">
      <c r="A39" s="292"/>
      <c r="B39" s="223">
        <v>4</v>
      </c>
      <c r="C39" s="24" t="s">
        <v>1541</v>
      </c>
      <c r="D39" s="749">
        <f>'Calendar Assumptions'!$D44*'Calendar Assumptions'!$E44</f>
        <v>3150</v>
      </c>
      <c r="E39" s="744"/>
      <c r="F39" s="750">
        <f t="shared" si="2"/>
        <v>50778</v>
      </c>
      <c r="G39" s="750">
        <f t="shared" ref="G39:P39" si="6">$D39*G24*RM_VHA_GBO_Fee</f>
        <v>52301.340000000004</v>
      </c>
      <c r="H39" s="750">
        <f t="shared" si="6"/>
        <v>53870.380200000007</v>
      </c>
      <c r="I39" s="750">
        <f t="shared" si="6"/>
        <v>55486.491606000003</v>
      </c>
      <c r="J39" s="750">
        <f t="shared" si="6"/>
        <v>57151.086354180006</v>
      </c>
      <c r="K39" s="750">
        <f t="shared" si="6"/>
        <v>58865.618944805414</v>
      </c>
      <c r="L39" s="750">
        <f t="shared" si="6"/>
        <v>60631.587513149578</v>
      </c>
      <c r="M39" s="750">
        <f t="shared" si="6"/>
        <v>62450.535138544074</v>
      </c>
      <c r="N39" s="750">
        <f t="shared" si="6"/>
        <v>64324.051192700397</v>
      </c>
      <c r="O39" s="750">
        <f t="shared" si="6"/>
        <v>66253.772728481403</v>
      </c>
      <c r="P39" s="750">
        <f t="shared" si="6"/>
        <v>68241.385910335855</v>
      </c>
    </row>
    <row r="40" spans="1:16" ht="15.75" customHeight="1">
      <c r="A40" s="292"/>
      <c r="B40" s="223">
        <v>5</v>
      </c>
      <c r="C40" s="24" t="s">
        <v>1076</v>
      </c>
      <c r="D40" s="749">
        <f>'Calendar Assumptions'!$D45*'Calendar Assumptions'!$E45</f>
        <v>3150</v>
      </c>
      <c r="E40" s="744"/>
      <c r="F40" s="750">
        <f t="shared" si="2"/>
        <v>42178.5</v>
      </c>
      <c r="G40" s="750">
        <f t="shared" ref="G40:P40" si="7">$D40*G25*RM_VHA_GBO_Fee</f>
        <v>43443.855000000003</v>
      </c>
      <c r="H40" s="750">
        <f t="shared" si="7"/>
        <v>44747.17065</v>
      </c>
      <c r="I40" s="750">
        <f t="shared" si="7"/>
        <v>46089.585769500001</v>
      </c>
      <c r="J40" s="750">
        <f t="shared" si="7"/>
        <v>47472.273342585002</v>
      </c>
      <c r="K40" s="750">
        <f t="shared" si="7"/>
        <v>48896.441542862551</v>
      </c>
      <c r="L40" s="750">
        <f t="shared" si="7"/>
        <v>50363.33478914843</v>
      </c>
      <c r="M40" s="750">
        <f t="shared" si="7"/>
        <v>51874.234832822884</v>
      </c>
      <c r="N40" s="750">
        <f t="shared" si="7"/>
        <v>53430.461877807567</v>
      </c>
      <c r="O40" s="750">
        <f t="shared" si="7"/>
        <v>55033.37573414181</v>
      </c>
      <c r="P40" s="750">
        <f t="shared" si="7"/>
        <v>56684.377006166062</v>
      </c>
    </row>
    <row r="41" spans="1:16" ht="15.75" customHeight="1">
      <c r="A41" s="292"/>
      <c r="B41" s="223">
        <v>6</v>
      </c>
      <c r="C41" s="24" t="s">
        <v>1078</v>
      </c>
      <c r="D41" s="749">
        <f>'Calendar Assumptions'!$D46*'Calendar Assumptions'!$E46</f>
        <v>3150</v>
      </c>
      <c r="E41" s="744"/>
      <c r="F41" s="750">
        <f t="shared" si="2"/>
        <v>42178.5</v>
      </c>
      <c r="G41" s="750">
        <f t="shared" ref="G41:P41" si="8">$D41*G26*RM_VHA_GBO_Fee</f>
        <v>43443.855000000003</v>
      </c>
      <c r="H41" s="750">
        <f t="shared" si="8"/>
        <v>44747.17065</v>
      </c>
      <c r="I41" s="750">
        <f t="shared" si="8"/>
        <v>46089.585769500001</v>
      </c>
      <c r="J41" s="750">
        <f t="shared" si="8"/>
        <v>47472.273342585002</v>
      </c>
      <c r="K41" s="750">
        <f t="shared" si="8"/>
        <v>48896.441542862551</v>
      </c>
      <c r="L41" s="750">
        <f t="shared" si="8"/>
        <v>50363.33478914843</v>
      </c>
      <c r="M41" s="750">
        <f t="shared" si="8"/>
        <v>51874.234832822884</v>
      </c>
      <c r="N41" s="750">
        <f t="shared" si="8"/>
        <v>53430.461877807567</v>
      </c>
      <c r="O41" s="750">
        <f t="shared" si="8"/>
        <v>55033.37573414181</v>
      </c>
      <c r="P41" s="750">
        <f t="shared" si="8"/>
        <v>56684.377006166062</v>
      </c>
    </row>
    <row r="42" spans="1:16" ht="15.75" customHeight="1">
      <c r="A42" s="292"/>
      <c r="B42" s="223">
        <v>7</v>
      </c>
      <c r="C42" s="24" t="s">
        <v>1080</v>
      </c>
      <c r="D42" s="749">
        <f>'Calendar Assumptions'!$D47*'Calendar Assumptions'!$E47</f>
        <v>2800</v>
      </c>
      <c r="E42" s="744"/>
      <c r="F42" s="750">
        <f t="shared" si="2"/>
        <v>37492</v>
      </c>
      <c r="G42" s="750">
        <f t="shared" ref="G42:P42" si="9">$D42*G27*RM_VHA_GBO_Fee</f>
        <v>38616.76</v>
      </c>
      <c r="H42" s="750">
        <f t="shared" si="9"/>
        <v>39775.262800000004</v>
      </c>
      <c r="I42" s="750">
        <f t="shared" si="9"/>
        <v>40968.520684000003</v>
      </c>
      <c r="J42" s="750">
        <f t="shared" si="9"/>
        <v>42197.57630452</v>
      </c>
      <c r="K42" s="750">
        <f t="shared" si="9"/>
        <v>43463.503593655601</v>
      </c>
      <c r="L42" s="750">
        <f t="shared" si="9"/>
        <v>44767.408701465269</v>
      </c>
      <c r="M42" s="750">
        <f t="shared" si="9"/>
        <v>46110.430962509228</v>
      </c>
      <c r="N42" s="750">
        <f t="shared" si="9"/>
        <v>47493.743891384504</v>
      </c>
      <c r="O42" s="750">
        <f t="shared" si="9"/>
        <v>48918.55620812605</v>
      </c>
      <c r="P42" s="750">
        <f t="shared" si="9"/>
        <v>50386.112894369835</v>
      </c>
    </row>
    <row r="43" spans="1:16" ht="15.75" customHeight="1">
      <c r="A43" s="292"/>
      <c r="B43" s="223">
        <v>8</v>
      </c>
      <c r="C43" s="24" t="s">
        <v>311</v>
      </c>
      <c r="D43" s="749">
        <f>'Calendar Assumptions'!$D48*'Calendar Assumptions'!$E48</f>
        <v>2450</v>
      </c>
      <c r="E43" s="744"/>
      <c r="F43" s="750">
        <f t="shared" si="2"/>
        <v>0</v>
      </c>
      <c r="G43" s="750">
        <f t="shared" ref="G43:P43" si="10">$D43*G28*RM_VHA_GBO_Fee</f>
        <v>0</v>
      </c>
      <c r="H43" s="750">
        <f t="shared" si="10"/>
        <v>0</v>
      </c>
      <c r="I43" s="750">
        <f t="shared" si="10"/>
        <v>0</v>
      </c>
      <c r="J43" s="750">
        <f t="shared" si="10"/>
        <v>0</v>
      </c>
      <c r="K43" s="750">
        <f t="shared" si="10"/>
        <v>0</v>
      </c>
      <c r="L43" s="750">
        <f t="shared" si="10"/>
        <v>0</v>
      </c>
      <c r="M43" s="750">
        <f t="shared" si="10"/>
        <v>0</v>
      </c>
      <c r="N43" s="750">
        <f t="shared" si="10"/>
        <v>0</v>
      </c>
      <c r="O43" s="750">
        <f t="shared" si="10"/>
        <v>0</v>
      </c>
      <c r="P43" s="750">
        <f t="shared" si="10"/>
        <v>0</v>
      </c>
    </row>
    <row r="44" spans="1:16" ht="15.75" customHeight="1">
      <c r="A44" s="292"/>
      <c r="B44" s="223">
        <v>9</v>
      </c>
      <c r="C44" s="24" t="s">
        <v>272</v>
      </c>
      <c r="D44" s="749">
        <f>'Calendar Assumptions'!$D49*'Calendar Assumptions'!$E49</f>
        <v>2000</v>
      </c>
      <c r="E44" s="744"/>
      <c r="F44" s="750">
        <f t="shared" si="2"/>
        <v>0</v>
      </c>
      <c r="G44" s="750">
        <f t="shared" ref="G44:P44" si="11">$D44*G29*RM_VHA_GBO_Fee</f>
        <v>0</v>
      </c>
      <c r="H44" s="750">
        <f t="shared" si="11"/>
        <v>0</v>
      </c>
      <c r="I44" s="750">
        <f t="shared" si="11"/>
        <v>0</v>
      </c>
      <c r="J44" s="750">
        <f t="shared" si="11"/>
        <v>0</v>
      </c>
      <c r="K44" s="750">
        <f t="shared" si="11"/>
        <v>0</v>
      </c>
      <c r="L44" s="750">
        <f t="shared" si="11"/>
        <v>0</v>
      </c>
      <c r="M44" s="750">
        <f t="shared" si="11"/>
        <v>0</v>
      </c>
      <c r="N44" s="750">
        <f t="shared" si="11"/>
        <v>0</v>
      </c>
      <c r="O44" s="750">
        <f t="shared" si="11"/>
        <v>0</v>
      </c>
      <c r="P44" s="750">
        <f t="shared" si="11"/>
        <v>0</v>
      </c>
    </row>
    <row r="45" spans="1:16" ht="15.75" customHeight="1">
      <c r="A45" s="292"/>
      <c r="B45" s="223">
        <v>10</v>
      </c>
      <c r="C45" s="24" t="s">
        <v>1542</v>
      </c>
      <c r="D45" s="749">
        <f>'Calendar Assumptions'!$D50*'Calendar Assumptions'!$E50</f>
        <v>2000</v>
      </c>
      <c r="E45" s="744"/>
      <c r="F45" s="750">
        <f t="shared" si="2"/>
        <v>0</v>
      </c>
      <c r="G45" s="750">
        <f t="shared" ref="G45:P45" si="12">$D45*G30*RM_VHA_GBO_Fee</f>
        <v>0</v>
      </c>
      <c r="H45" s="750">
        <f t="shared" si="12"/>
        <v>0</v>
      </c>
      <c r="I45" s="750">
        <f t="shared" si="12"/>
        <v>0</v>
      </c>
      <c r="J45" s="750">
        <f t="shared" si="12"/>
        <v>0</v>
      </c>
      <c r="K45" s="750">
        <f t="shared" si="12"/>
        <v>0</v>
      </c>
      <c r="L45" s="750">
        <f t="shared" si="12"/>
        <v>0</v>
      </c>
      <c r="M45" s="750">
        <f t="shared" si="12"/>
        <v>0</v>
      </c>
      <c r="N45" s="750">
        <f t="shared" si="12"/>
        <v>0</v>
      </c>
      <c r="O45" s="750">
        <f t="shared" si="12"/>
        <v>0</v>
      </c>
      <c r="P45" s="750">
        <f t="shared" si="12"/>
        <v>0</v>
      </c>
    </row>
    <row r="46" spans="1:16" ht="15.75" customHeight="1">
      <c r="A46" s="292"/>
      <c r="B46" s="223">
        <v>11</v>
      </c>
      <c r="C46" s="24" t="s">
        <v>1543</v>
      </c>
      <c r="D46" s="749">
        <f>'Calendar Assumptions'!$D51*'Calendar Assumptions'!$E51</f>
        <v>4000</v>
      </c>
      <c r="E46" s="744"/>
      <c r="F46" s="750">
        <f t="shared" si="2"/>
        <v>0</v>
      </c>
      <c r="G46" s="750">
        <f t="shared" ref="G46:P46" si="13">$D46*G31*RM_VHA_GBO_Fee</f>
        <v>0</v>
      </c>
      <c r="H46" s="750">
        <f t="shared" si="13"/>
        <v>0</v>
      </c>
      <c r="I46" s="750">
        <f t="shared" si="13"/>
        <v>0</v>
      </c>
      <c r="J46" s="750">
        <f t="shared" si="13"/>
        <v>0</v>
      </c>
      <c r="K46" s="750">
        <f t="shared" si="13"/>
        <v>0</v>
      </c>
      <c r="L46" s="750">
        <f t="shared" si="13"/>
        <v>0</v>
      </c>
      <c r="M46" s="750">
        <f t="shared" si="13"/>
        <v>0</v>
      </c>
      <c r="N46" s="750">
        <f t="shared" si="13"/>
        <v>0</v>
      </c>
      <c r="O46" s="750">
        <f t="shared" si="13"/>
        <v>0</v>
      </c>
      <c r="P46" s="750">
        <f t="shared" si="13"/>
        <v>0</v>
      </c>
    </row>
    <row r="47" spans="1:16" ht="15.75" customHeight="1">
      <c r="A47" s="292"/>
      <c r="B47" s="292"/>
      <c r="C47" s="292"/>
      <c r="D47" s="292"/>
      <c r="E47" s="292"/>
      <c r="F47" s="741"/>
      <c r="G47" s="741"/>
      <c r="H47" s="741"/>
      <c r="I47" s="741"/>
      <c r="J47" s="741"/>
      <c r="K47" s="741"/>
      <c r="L47" s="741"/>
      <c r="M47" s="741"/>
      <c r="N47" s="741"/>
      <c r="O47" s="741"/>
      <c r="P47" s="741"/>
    </row>
    <row r="48" spans="1:16" ht="15.75" customHeight="1">
      <c r="A48" s="292"/>
      <c r="B48" s="292"/>
      <c r="C48" s="292"/>
      <c r="D48" s="292"/>
      <c r="E48" s="237" t="s">
        <v>192</v>
      </c>
      <c r="F48" s="227"/>
      <c r="G48" s="227"/>
      <c r="H48" s="227"/>
      <c r="I48" s="227"/>
      <c r="J48" s="227"/>
      <c r="K48" s="227"/>
      <c r="L48" s="227"/>
      <c r="M48" s="227"/>
      <c r="N48" s="227"/>
      <c r="O48" s="227"/>
      <c r="P48" s="227"/>
    </row>
    <row r="49" spans="1:16" ht="33.75" customHeight="1">
      <c r="A49" s="292"/>
      <c r="B49" s="1426" t="s">
        <v>1547</v>
      </c>
      <c r="C49" s="1305"/>
      <c r="D49" s="237" t="s">
        <v>1545</v>
      </c>
      <c r="E49" s="292"/>
      <c r="F49" s="748" t="str">
        <f t="shared" ref="F49:P49" si="14">F34</f>
        <v>FY28</v>
      </c>
      <c r="G49" s="748" t="str">
        <f t="shared" si="14"/>
        <v>FY29</v>
      </c>
      <c r="H49" s="748" t="str">
        <f t="shared" si="14"/>
        <v>FY30</v>
      </c>
      <c r="I49" s="748" t="str">
        <f t="shared" si="14"/>
        <v>FY31</v>
      </c>
      <c r="J49" s="748" t="str">
        <f t="shared" si="14"/>
        <v>FY32</v>
      </c>
      <c r="K49" s="748" t="str">
        <f t="shared" si="14"/>
        <v>FY33</v>
      </c>
      <c r="L49" s="748" t="str">
        <f t="shared" si="14"/>
        <v>FY34</v>
      </c>
      <c r="M49" s="748" t="str">
        <f t="shared" si="14"/>
        <v>FY35</v>
      </c>
      <c r="N49" s="748" t="str">
        <f t="shared" si="14"/>
        <v>FY36</v>
      </c>
      <c r="O49" s="748" t="str">
        <f t="shared" si="14"/>
        <v>FY37</v>
      </c>
      <c r="P49" s="748" t="str">
        <f t="shared" si="14"/>
        <v>FY38</v>
      </c>
    </row>
    <row r="50" spans="1:16" ht="15.75" customHeight="1">
      <c r="A50" s="292"/>
      <c r="B50" s="24"/>
      <c r="C50" s="292"/>
      <c r="D50" s="237"/>
      <c r="E50" s="292"/>
      <c r="F50" s="227"/>
      <c r="G50" s="227"/>
      <c r="H50" s="227"/>
      <c r="I50" s="227"/>
      <c r="J50" s="227"/>
      <c r="K50" s="227"/>
      <c r="L50" s="227"/>
      <c r="M50" s="227"/>
      <c r="N50" s="227"/>
      <c r="O50" s="227"/>
      <c r="P50" s="227"/>
    </row>
    <row r="51" spans="1:16" ht="15.75" customHeight="1">
      <c r="A51" s="292"/>
      <c r="B51" s="223">
        <v>1</v>
      </c>
      <c r="C51" s="24" t="s">
        <v>261</v>
      </c>
      <c r="D51" s="749">
        <f>D36</f>
        <v>4000</v>
      </c>
      <c r="E51" s="744"/>
      <c r="F51" s="750">
        <f>F36*'Calendar Assumptions'!F5</f>
        <v>910787.79999999993</v>
      </c>
      <c r="G51" s="750">
        <f>G36*'Calendar Assumptions'!G5</f>
        <v>958026.64880000008</v>
      </c>
      <c r="H51" s="750">
        <f>H36*'Calendar Assumptions'!H5</f>
        <v>1007280.1195080001</v>
      </c>
      <c r="I51" s="750">
        <f>I36*'Calendar Assumptions'!I5</f>
        <v>1112002.7042799999</v>
      </c>
      <c r="J51" s="750">
        <f>J36*'Calendar Assumptions'!J5</f>
        <v>1145362.7854084</v>
      </c>
      <c r="K51" s="750">
        <f>K36*'Calendar Assumptions'!K5</f>
        <v>1179723.6689706519</v>
      </c>
      <c r="L51" s="750">
        <f>L36*'Calendar Assumptions'!L5</f>
        <v>1215115.3790397716</v>
      </c>
      <c r="M51" s="750">
        <f>M36*'Calendar Assumptions'!M5</f>
        <v>1251568.8404109648</v>
      </c>
      <c r="N51" s="750">
        <f>N36*'Calendar Assumptions'!N5</f>
        <v>1289115.9056232939</v>
      </c>
      <c r="O51" s="750">
        <f>O36*'Calendar Assumptions'!O5</f>
        <v>1327789.382791993</v>
      </c>
      <c r="P51" s="750">
        <f>P36*'Calendar Assumptions'!P5</f>
        <v>1367623.0642757528</v>
      </c>
    </row>
    <row r="52" spans="1:16" ht="15.75" customHeight="1">
      <c r="A52" s="292"/>
      <c r="B52" s="223">
        <v>2</v>
      </c>
      <c r="C52" s="24" t="s">
        <v>263</v>
      </c>
      <c r="D52" s="743">
        <v>3000</v>
      </c>
      <c r="E52" s="744"/>
      <c r="F52" s="750">
        <f>F37*'Calendar Assumptions'!F6</f>
        <v>517710.95999999996</v>
      </c>
      <c r="G52" s="750">
        <f>G37*'Calendar Assumptions'!G6</f>
        <v>544562.51616000012</v>
      </c>
      <c r="H52" s="750">
        <f>H37*'Calendar Assumptions'!H6</f>
        <v>572559.22582559998</v>
      </c>
      <c r="I52" s="750">
        <f>I37*'Calendar Assumptions'!I6</f>
        <v>632085.74769600003</v>
      </c>
      <c r="J52" s="750">
        <f>J37*'Calendar Assumptions'!J6</f>
        <v>651048.32012687996</v>
      </c>
      <c r="K52" s="750">
        <f>K37*'Calendar Assumptions'!K6</f>
        <v>670579.76973068656</v>
      </c>
      <c r="L52" s="750">
        <f>L37*'Calendar Assumptions'!L6</f>
        <v>690697.16282260697</v>
      </c>
      <c r="M52" s="750">
        <f>M37*'Calendar Assumptions'!M6</f>
        <v>711418.07770728529</v>
      </c>
      <c r="N52" s="750">
        <f>N37*'Calendar Assumptions'!N6</f>
        <v>732760.62003850378</v>
      </c>
      <c r="O52" s="750">
        <f>O37*'Calendar Assumptions'!O6</f>
        <v>754743.43863965897</v>
      </c>
      <c r="P52" s="750">
        <f>P37*'Calendar Assumptions'!P6</f>
        <v>777385.74179884896</v>
      </c>
    </row>
    <row r="53" spans="1:16" ht="15.75" customHeight="1">
      <c r="A53" s="292"/>
      <c r="B53" s="223">
        <v>3</v>
      </c>
      <c r="C53" s="24" t="s">
        <v>265</v>
      </c>
      <c r="D53" s="743">
        <v>1500</v>
      </c>
      <c r="E53" s="744"/>
      <c r="F53" s="750">
        <f>F38*'Calendar Assumptions'!F7</f>
        <v>207335.7</v>
      </c>
      <c r="G53" s="750">
        <f>G38*'Calendar Assumptions'!G7</f>
        <v>218089.3572</v>
      </c>
      <c r="H53" s="750">
        <f>H38*'Calendar Assumptions'!H7</f>
        <v>229301.63170200001</v>
      </c>
      <c r="I53" s="750">
        <f>I38*'Calendar Assumptions'!I7</f>
        <v>253141.13682000001</v>
      </c>
      <c r="J53" s="750">
        <f>J38*'Calendar Assumptions'!J7</f>
        <v>260735.37092459999</v>
      </c>
      <c r="K53" s="750">
        <f>K38*'Calendar Assumptions'!K7</f>
        <v>268557.43205233797</v>
      </c>
      <c r="L53" s="750">
        <f>L38*'Calendar Assumptions'!L7</f>
        <v>276614.15501390817</v>
      </c>
      <c r="M53" s="750">
        <f>M38*'Calendar Assumptions'!M7</f>
        <v>284912.5796643254</v>
      </c>
      <c r="N53" s="750">
        <f>N38*'Calendar Assumptions'!N7</f>
        <v>293459.95705425518</v>
      </c>
      <c r="O53" s="750">
        <f>O38*'Calendar Assumptions'!O7</f>
        <v>302263.75576588284</v>
      </c>
      <c r="P53" s="750">
        <f>P38*'Calendar Assumptions'!P7</f>
        <v>311331.66843885934</v>
      </c>
    </row>
    <row r="54" spans="1:16" ht="15.75" customHeight="1">
      <c r="A54" s="292"/>
      <c r="B54" s="223">
        <v>4</v>
      </c>
      <c r="C54" s="24" t="s">
        <v>1541</v>
      </c>
      <c r="D54" s="743">
        <v>3500</v>
      </c>
      <c r="E54" s="744"/>
      <c r="F54" s="750">
        <f>F39*'Calendar Assumptions'!F8</f>
        <v>818033.58</v>
      </c>
      <c r="G54" s="750">
        <f>G39*'Calendar Assumptions'!G8</f>
        <v>860461.64568000019</v>
      </c>
      <c r="H54" s="750">
        <f>H39*'Calendar Assumptions'!H8</f>
        <v>904699.16507880017</v>
      </c>
      <c r="I54" s="750">
        <f>I39*'Calendar Assumptions'!I8</f>
        <v>998756.84890800004</v>
      </c>
      <c r="J54" s="750">
        <f>J39*'Calendar Assumptions'!J8</f>
        <v>1028719.5543752401</v>
      </c>
      <c r="K54" s="750">
        <f>K39*'Calendar Assumptions'!K8</f>
        <v>1059581.1410064974</v>
      </c>
      <c r="L54" s="750">
        <f>L39*'Calendar Assumptions'!L8</f>
        <v>1091368.5752366923</v>
      </c>
      <c r="M54" s="750">
        <f>M39*'Calendar Assumptions'!M8</f>
        <v>1124109.6324937933</v>
      </c>
      <c r="N54" s="750">
        <f>N39*'Calendar Assumptions'!N8</f>
        <v>1157832.9214686072</v>
      </c>
      <c r="O54" s="750">
        <f>O39*'Calendar Assumptions'!O8</f>
        <v>1192567.9091126653</v>
      </c>
      <c r="P54" s="750">
        <f>P39*'Calendar Assumptions'!P8</f>
        <v>1228344.9463860453</v>
      </c>
    </row>
    <row r="55" spans="1:16" ht="15.75" customHeight="1">
      <c r="A55" s="292"/>
      <c r="B55" s="223">
        <v>5</v>
      </c>
      <c r="C55" s="24" t="s">
        <v>1076</v>
      </c>
      <c r="D55" s="743">
        <v>3500</v>
      </c>
      <c r="E55" s="744"/>
      <c r="F55" s="750">
        <f>F40*'Calendar Assumptions'!F9</f>
        <v>566246.36250000005</v>
      </c>
      <c r="G55" s="750">
        <f>G40*'Calendar Assumptions'!G9</f>
        <v>595615.25205000013</v>
      </c>
      <c r="H55" s="750">
        <f>H40*'Calendar Assumptions'!H9</f>
        <v>626236.65324675001</v>
      </c>
      <c r="I55" s="750">
        <f>I40*'Calendar Assumptions'!I9</f>
        <v>691343.78654250002</v>
      </c>
      <c r="J55" s="750">
        <f>J40*'Calendar Assumptions'!J9</f>
        <v>712084.10013877507</v>
      </c>
      <c r="K55" s="750">
        <f>K40*'Calendar Assumptions'!K9</f>
        <v>733446.62314293825</v>
      </c>
      <c r="L55" s="750">
        <f>L40*'Calendar Assumptions'!L9</f>
        <v>755450.02183722646</v>
      </c>
      <c r="M55" s="750">
        <f>M40*'Calendar Assumptions'!M9</f>
        <v>778113.52249234321</v>
      </c>
      <c r="N55" s="750">
        <f>N40*'Calendar Assumptions'!N9</f>
        <v>801456.92816711357</v>
      </c>
      <c r="O55" s="750">
        <f>O40*'Calendar Assumptions'!O9</f>
        <v>825500.63601212716</v>
      </c>
      <c r="P55" s="750">
        <f>P40*'Calendar Assumptions'!P9</f>
        <v>850265.65509249095</v>
      </c>
    </row>
    <row r="56" spans="1:16" ht="15.75" customHeight="1">
      <c r="A56" s="292"/>
      <c r="B56" s="223">
        <v>6</v>
      </c>
      <c r="C56" s="24" t="s">
        <v>1078</v>
      </c>
      <c r="D56" s="743">
        <v>3500</v>
      </c>
      <c r="E56" s="744"/>
      <c r="F56" s="750">
        <f>F41*'Calendar Assumptions'!F10</f>
        <v>566246.36250000005</v>
      </c>
      <c r="G56" s="750">
        <f>G41*'Calendar Assumptions'!G10</f>
        <v>595615.25205000013</v>
      </c>
      <c r="H56" s="750">
        <f>H41*'Calendar Assumptions'!H10</f>
        <v>626236.65324675001</v>
      </c>
      <c r="I56" s="750">
        <f>I41*'Calendar Assumptions'!I10</f>
        <v>691343.78654250002</v>
      </c>
      <c r="J56" s="750">
        <f>J41*'Calendar Assumptions'!J10</f>
        <v>712084.10013877507</v>
      </c>
      <c r="K56" s="750">
        <f>K41*'Calendar Assumptions'!K10</f>
        <v>733446.62314293825</v>
      </c>
      <c r="L56" s="750">
        <f>L41*'Calendar Assumptions'!L10</f>
        <v>755450.02183722646</v>
      </c>
      <c r="M56" s="750">
        <f>M41*'Calendar Assumptions'!M10</f>
        <v>778113.52249234321</v>
      </c>
      <c r="N56" s="750">
        <f>N41*'Calendar Assumptions'!N10</f>
        <v>801456.92816711357</v>
      </c>
      <c r="O56" s="750">
        <f>O41*'Calendar Assumptions'!O10</f>
        <v>825500.63601212716</v>
      </c>
      <c r="P56" s="750">
        <f>P41*'Calendar Assumptions'!P10</f>
        <v>850265.65509249095</v>
      </c>
    </row>
    <row r="57" spans="1:16" ht="15.75" customHeight="1">
      <c r="A57" s="292"/>
      <c r="B57" s="223">
        <v>7</v>
      </c>
      <c r="C57" s="24" t="s">
        <v>1080</v>
      </c>
      <c r="D57" s="743">
        <v>3500</v>
      </c>
      <c r="E57" s="744"/>
      <c r="F57" s="750">
        <f>F42*'Calendar Assumptions'!F11</f>
        <v>100666.02</v>
      </c>
      <c r="G57" s="750">
        <f>G42*'Calendar Assumptions'!G11</f>
        <v>105887.15592</v>
      </c>
      <c r="H57" s="750">
        <f>H42*'Calendar Assumptions'!H11</f>
        <v>111330.96057720002</v>
      </c>
      <c r="I57" s="750">
        <f>I42*'Calendar Assumptions'!I11</f>
        <v>122905.56205200001</v>
      </c>
      <c r="J57" s="750">
        <f>J42*'Calendar Assumptions'!J11</f>
        <v>126592.72891356</v>
      </c>
      <c r="K57" s="750">
        <f>K42*'Calendar Assumptions'!K11</f>
        <v>130390.51078096681</v>
      </c>
      <c r="L57" s="750">
        <f>L42*'Calendar Assumptions'!L11</f>
        <v>134302.22610439581</v>
      </c>
      <c r="M57" s="750">
        <f>M42*'Calendar Assumptions'!M11</f>
        <v>138331.29288752767</v>
      </c>
      <c r="N57" s="750">
        <f>N42*'Calendar Assumptions'!N11</f>
        <v>142481.2316741535</v>
      </c>
      <c r="O57" s="750">
        <f>O42*'Calendar Assumptions'!O11</f>
        <v>146755.66862437816</v>
      </c>
      <c r="P57" s="750">
        <f>P42*'Calendar Assumptions'!P11</f>
        <v>151158.3386831095</v>
      </c>
    </row>
    <row r="58" spans="1:16" ht="15.75" customHeight="1">
      <c r="A58" s="292"/>
      <c r="B58" s="223">
        <v>8</v>
      </c>
      <c r="C58" s="24" t="s">
        <v>311</v>
      </c>
      <c r="D58" s="743">
        <v>3500</v>
      </c>
      <c r="E58" s="744"/>
      <c r="F58" s="750">
        <f>F43*'Calendar Assumptions'!F12</f>
        <v>0</v>
      </c>
      <c r="G58" s="750">
        <f>G43*'Calendar Assumptions'!G12</f>
        <v>0</v>
      </c>
      <c r="H58" s="750">
        <f>H43*'Calendar Assumptions'!H12</f>
        <v>0</v>
      </c>
      <c r="I58" s="750">
        <f>I43*'Calendar Assumptions'!I12</f>
        <v>0</v>
      </c>
      <c r="J58" s="750">
        <f>J43*'Calendar Assumptions'!J12</f>
        <v>0</v>
      </c>
      <c r="K58" s="750">
        <f>K43*'Calendar Assumptions'!K12</f>
        <v>0</v>
      </c>
      <c r="L58" s="750">
        <f>L43*'Calendar Assumptions'!L12</f>
        <v>0</v>
      </c>
      <c r="M58" s="750">
        <f>M43*'Calendar Assumptions'!M12</f>
        <v>0</v>
      </c>
      <c r="N58" s="750">
        <f>N43*'Calendar Assumptions'!N12</f>
        <v>0</v>
      </c>
      <c r="O58" s="750">
        <f>O43*'Calendar Assumptions'!O12</f>
        <v>0</v>
      </c>
      <c r="P58" s="750">
        <f>P43*'Calendar Assumptions'!P12</f>
        <v>0</v>
      </c>
    </row>
    <row r="59" spans="1:16" ht="15.75" customHeight="1">
      <c r="A59" s="292"/>
      <c r="B59" s="223">
        <v>9</v>
      </c>
      <c r="C59" s="24" t="s">
        <v>272</v>
      </c>
      <c r="D59" s="743">
        <v>2000</v>
      </c>
      <c r="E59" s="744"/>
      <c r="F59" s="750">
        <f>F44*'Calendar Assumptions'!F13</f>
        <v>0</v>
      </c>
      <c r="G59" s="750">
        <f>G44*'Calendar Assumptions'!G13</f>
        <v>0</v>
      </c>
      <c r="H59" s="750">
        <f>H44*'Calendar Assumptions'!H13</f>
        <v>0</v>
      </c>
      <c r="I59" s="750">
        <f>I44*'Calendar Assumptions'!I13</f>
        <v>0</v>
      </c>
      <c r="J59" s="750">
        <f>J44*'Calendar Assumptions'!J13</f>
        <v>0</v>
      </c>
      <c r="K59" s="750">
        <f>K44*'Calendar Assumptions'!K13</f>
        <v>0</v>
      </c>
      <c r="L59" s="750">
        <f>L44*'Calendar Assumptions'!L13</f>
        <v>0</v>
      </c>
      <c r="M59" s="750">
        <f>M44*'Calendar Assumptions'!M13</f>
        <v>0</v>
      </c>
      <c r="N59" s="750">
        <f>N44*'Calendar Assumptions'!N13</f>
        <v>0</v>
      </c>
      <c r="O59" s="750">
        <f>O44*'Calendar Assumptions'!O13</f>
        <v>0</v>
      </c>
      <c r="P59" s="750">
        <f>P44*'Calendar Assumptions'!P13</f>
        <v>0</v>
      </c>
    </row>
    <row r="60" spans="1:16" ht="15.75" customHeight="1">
      <c r="A60" s="292"/>
      <c r="B60" s="223">
        <v>10</v>
      </c>
      <c r="C60" s="24" t="s">
        <v>1542</v>
      </c>
      <c r="D60" s="743">
        <v>2000</v>
      </c>
      <c r="E60" s="744"/>
      <c r="F60" s="750">
        <f>F45*'Calendar Assumptions'!F14</f>
        <v>0</v>
      </c>
      <c r="G60" s="750">
        <f>G45*'Calendar Assumptions'!G14</f>
        <v>0</v>
      </c>
      <c r="H60" s="750">
        <f>H45*'Calendar Assumptions'!H14</f>
        <v>0</v>
      </c>
      <c r="I60" s="750">
        <f>I45*'Calendar Assumptions'!I14</f>
        <v>0</v>
      </c>
      <c r="J60" s="750">
        <f>J45*'Calendar Assumptions'!J14</f>
        <v>0</v>
      </c>
      <c r="K60" s="750">
        <f>K45*'Calendar Assumptions'!K14</f>
        <v>0</v>
      </c>
      <c r="L60" s="750">
        <f>L45*'Calendar Assumptions'!L14</f>
        <v>0</v>
      </c>
      <c r="M60" s="750">
        <f>M45*'Calendar Assumptions'!M14</f>
        <v>0</v>
      </c>
      <c r="N60" s="750">
        <f>N45*'Calendar Assumptions'!N14</f>
        <v>0</v>
      </c>
      <c r="O60" s="750">
        <f>O45*'Calendar Assumptions'!O14</f>
        <v>0</v>
      </c>
      <c r="P60" s="750">
        <f>P45*'Calendar Assumptions'!P14</f>
        <v>0</v>
      </c>
    </row>
    <row r="61" spans="1:16" ht="15.75" customHeight="1">
      <c r="A61" s="292"/>
      <c r="B61" s="223">
        <v>11</v>
      </c>
      <c r="C61" s="24" t="s">
        <v>1543</v>
      </c>
      <c r="D61" s="743">
        <v>4000</v>
      </c>
      <c r="E61" s="744"/>
      <c r="F61" s="750">
        <f>F46*'Calendar Assumptions'!F15</f>
        <v>0</v>
      </c>
      <c r="G61" s="750">
        <f>G46*'Calendar Assumptions'!G15</f>
        <v>0</v>
      </c>
      <c r="H61" s="750">
        <f>H46*'Calendar Assumptions'!H15</f>
        <v>0</v>
      </c>
      <c r="I61" s="750">
        <f>I46*'Calendar Assumptions'!I15</f>
        <v>0</v>
      </c>
      <c r="J61" s="750">
        <f>J46*'Calendar Assumptions'!J15</f>
        <v>0</v>
      </c>
      <c r="K61" s="750">
        <f>K46*'Calendar Assumptions'!K15</f>
        <v>0</v>
      </c>
      <c r="L61" s="750">
        <f>L46*'Calendar Assumptions'!L15</f>
        <v>0</v>
      </c>
      <c r="M61" s="750">
        <f>M46*'Calendar Assumptions'!M15</f>
        <v>0</v>
      </c>
      <c r="N61" s="750">
        <f>N46*'Calendar Assumptions'!N15</f>
        <v>0</v>
      </c>
      <c r="O61" s="750">
        <f>O46*'Calendar Assumptions'!O15</f>
        <v>0</v>
      </c>
      <c r="P61" s="750">
        <f>P46*'Calendar Assumptions'!P15</f>
        <v>0</v>
      </c>
    </row>
    <row r="62" spans="1:16" ht="15.75" customHeight="1">
      <c r="A62" s="292"/>
      <c r="B62" s="734"/>
      <c r="C62" s="292"/>
      <c r="D62" s="292"/>
      <c r="E62" s="744"/>
      <c r="F62" s="741"/>
      <c r="G62" s="741"/>
      <c r="H62" s="741"/>
      <c r="I62" s="741"/>
      <c r="J62" s="741"/>
      <c r="K62" s="741"/>
      <c r="L62" s="741"/>
      <c r="M62" s="741"/>
      <c r="N62" s="741"/>
      <c r="O62" s="741"/>
      <c r="P62" s="741"/>
    </row>
    <row r="63" spans="1:16" ht="15.75" customHeight="1">
      <c r="A63" s="292"/>
      <c r="B63" s="292"/>
      <c r="C63" s="292"/>
      <c r="D63" s="292"/>
      <c r="E63" s="292"/>
      <c r="F63" s="741"/>
      <c r="G63" s="741"/>
      <c r="H63" s="741"/>
      <c r="I63" s="741"/>
      <c r="J63" s="741"/>
      <c r="K63" s="741"/>
      <c r="L63" s="741"/>
      <c r="M63" s="741"/>
      <c r="N63" s="741"/>
      <c r="O63" s="741"/>
      <c r="P63" s="741"/>
    </row>
    <row r="64" spans="1:16" ht="15.75" customHeight="1">
      <c r="A64" s="292"/>
      <c r="B64" s="292"/>
      <c r="C64" s="292"/>
      <c r="D64" s="292"/>
      <c r="E64" s="237" t="s">
        <v>192</v>
      </c>
      <c r="F64" s="227">
        <f t="shared" ref="F64:P64" si="15">F48</f>
        <v>0</v>
      </c>
      <c r="G64" s="227">
        <f t="shared" si="15"/>
        <v>0</v>
      </c>
      <c r="H64" s="227">
        <f t="shared" si="15"/>
        <v>0</v>
      </c>
      <c r="I64" s="227">
        <f t="shared" si="15"/>
        <v>0</v>
      </c>
      <c r="J64" s="227">
        <f t="shared" si="15"/>
        <v>0</v>
      </c>
      <c r="K64" s="227">
        <f t="shared" si="15"/>
        <v>0</v>
      </c>
      <c r="L64" s="227">
        <f t="shared" si="15"/>
        <v>0</v>
      </c>
      <c r="M64" s="227">
        <f t="shared" si="15"/>
        <v>0</v>
      </c>
      <c r="N64" s="227">
        <f t="shared" si="15"/>
        <v>0</v>
      </c>
      <c r="O64" s="227">
        <f t="shared" si="15"/>
        <v>0</v>
      </c>
      <c r="P64" s="227">
        <f t="shared" si="15"/>
        <v>0</v>
      </c>
    </row>
    <row r="65" spans="1:16" ht="15.75" customHeight="1">
      <c r="A65" s="292"/>
      <c r="B65" s="1426" t="s">
        <v>1548</v>
      </c>
      <c r="C65" s="1305"/>
      <c r="D65" s="237" t="s">
        <v>1545</v>
      </c>
      <c r="E65" s="292"/>
      <c r="F65" s="748" t="str">
        <f t="shared" ref="F65:P65" si="16">F49</f>
        <v>FY28</v>
      </c>
      <c r="G65" s="748" t="str">
        <f t="shared" si="16"/>
        <v>FY29</v>
      </c>
      <c r="H65" s="748" t="str">
        <f t="shared" si="16"/>
        <v>FY30</v>
      </c>
      <c r="I65" s="748" t="str">
        <f t="shared" si="16"/>
        <v>FY31</v>
      </c>
      <c r="J65" s="748" t="str">
        <f t="shared" si="16"/>
        <v>FY32</v>
      </c>
      <c r="K65" s="748" t="str">
        <f t="shared" si="16"/>
        <v>FY33</v>
      </c>
      <c r="L65" s="748" t="str">
        <f t="shared" si="16"/>
        <v>FY34</v>
      </c>
      <c r="M65" s="748" t="str">
        <f t="shared" si="16"/>
        <v>FY35</v>
      </c>
      <c r="N65" s="748" t="str">
        <f t="shared" si="16"/>
        <v>FY36</v>
      </c>
      <c r="O65" s="748" t="str">
        <f t="shared" si="16"/>
        <v>FY37</v>
      </c>
      <c r="P65" s="748" t="str">
        <f t="shared" si="16"/>
        <v>FY38</v>
      </c>
    </row>
    <row r="66" spans="1:16" ht="15.75" customHeight="1">
      <c r="A66" s="292"/>
      <c r="B66" s="24"/>
      <c r="C66" s="292"/>
      <c r="D66" s="237"/>
      <c r="E66" s="292"/>
      <c r="F66" s="227"/>
      <c r="G66" s="227"/>
      <c r="H66" s="227"/>
      <c r="I66" s="227"/>
      <c r="J66" s="227"/>
      <c r="K66" s="227"/>
      <c r="L66" s="227"/>
      <c r="M66" s="227"/>
      <c r="N66" s="227"/>
      <c r="O66" s="227"/>
      <c r="P66" s="227"/>
    </row>
    <row r="67" spans="1:16" ht="15.75" customHeight="1">
      <c r="A67" s="292"/>
      <c r="B67" s="223">
        <v>1</v>
      </c>
      <c r="C67" s="24" t="s">
        <v>261</v>
      </c>
      <c r="D67" s="749">
        <f t="shared" ref="D67:D77" si="17">D51</f>
        <v>4000</v>
      </c>
      <c r="E67" s="744"/>
      <c r="F67" s="750">
        <f>Inputs!$E$317</f>
        <v>40000</v>
      </c>
      <c r="G67" s="750">
        <f>F67*(1+Inputs!$E$315)</f>
        <v>41200</v>
      </c>
      <c r="H67" s="750">
        <f>G67*(1+Inputs!$E$315)</f>
        <v>42436</v>
      </c>
      <c r="I67" s="750">
        <f>H67*(1+Inputs!$E$315)</f>
        <v>43709.08</v>
      </c>
      <c r="J67" s="750">
        <f>I67*(1+Inputs!$E$315)</f>
        <v>45020.352400000003</v>
      </c>
      <c r="K67" s="750">
        <f>J67*(1+Inputs!$E$315)</f>
        <v>46370.962972000001</v>
      </c>
      <c r="L67" s="750">
        <f>K67*(1+Inputs!$E$315)</f>
        <v>47762.091861159999</v>
      </c>
      <c r="M67" s="750">
        <f>L67*(1+Inputs!$E$315)</f>
        <v>49194.954616994801</v>
      </c>
      <c r="N67" s="750">
        <f>M67*(1+Inputs!$E$315)</f>
        <v>50670.803255504645</v>
      </c>
      <c r="O67" s="750">
        <f>N67*(1+Inputs!$E$315)</f>
        <v>52190.927353169784</v>
      </c>
      <c r="P67" s="750">
        <f>O67*(1+Inputs!$E$315)</f>
        <v>53756.655173764877</v>
      </c>
    </row>
    <row r="68" spans="1:16" ht="15.75" customHeight="1">
      <c r="A68" s="292"/>
      <c r="B68" s="223">
        <v>2</v>
      </c>
      <c r="C68" s="24" t="s">
        <v>263</v>
      </c>
      <c r="D68" s="749">
        <f t="shared" si="17"/>
        <v>3000</v>
      </c>
      <c r="E68" s="744"/>
      <c r="F68" s="750">
        <f>Inputs!$E$318</f>
        <v>30000</v>
      </c>
      <c r="G68" s="750">
        <f>F68*(1+Inputs!$E$315)</f>
        <v>30900</v>
      </c>
      <c r="H68" s="750">
        <f>G68*(1+Inputs!$E$315)</f>
        <v>31827</v>
      </c>
      <c r="I68" s="750">
        <f>H68*(1+Inputs!$E$315)</f>
        <v>32781.81</v>
      </c>
      <c r="J68" s="750">
        <f>I68*(1+Inputs!$E$315)</f>
        <v>33765.264299999995</v>
      </c>
      <c r="K68" s="750">
        <f>J68*(1+Inputs!$E$315)</f>
        <v>34778.222228999999</v>
      </c>
      <c r="L68" s="750">
        <f>K68*(1+Inputs!$E$315)</f>
        <v>35821.568895869998</v>
      </c>
      <c r="M68" s="750">
        <f>L68*(1+Inputs!$E$315)</f>
        <v>36896.215962746101</v>
      </c>
      <c r="N68" s="750">
        <f>M68*(1+Inputs!$E$315)</f>
        <v>38003.102441628485</v>
      </c>
      <c r="O68" s="750">
        <f>N68*(1+Inputs!$E$315)</f>
        <v>39143.195514877341</v>
      </c>
      <c r="P68" s="750">
        <f>O68*(1+Inputs!$E$315)</f>
        <v>40317.491380323663</v>
      </c>
    </row>
    <row r="69" spans="1:16" ht="15.75" customHeight="1">
      <c r="A69" s="292"/>
      <c r="B69" s="223">
        <v>3</v>
      </c>
      <c r="C69" s="24" t="s">
        <v>265</v>
      </c>
      <c r="D69" s="749">
        <f t="shared" si="17"/>
        <v>1500</v>
      </c>
      <c r="E69" s="744"/>
      <c r="F69" s="750">
        <f>Inputs!$E$319</f>
        <v>15000</v>
      </c>
      <c r="G69" s="750">
        <f>F69*(1+Inputs!$E$315)</f>
        <v>15450</v>
      </c>
      <c r="H69" s="750">
        <f>G69*(1+Inputs!$E$315)</f>
        <v>15913.5</v>
      </c>
      <c r="I69" s="750">
        <f>H69*(1+Inputs!$E$315)</f>
        <v>16390.904999999999</v>
      </c>
      <c r="J69" s="750">
        <f>I69*(1+Inputs!$E$315)</f>
        <v>16882.632149999998</v>
      </c>
      <c r="K69" s="750">
        <f>J69*(1+Inputs!$E$315)</f>
        <v>17389.1111145</v>
      </c>
      <c r="L69" s="750">
        <f>K69*(1+Inputs!$E$315)</f>
        <v>17910.784447934999</v>
      </c>
      <c r="M69" s="750">
        <f>L69*(1+Inputs!$E$315)</f>
        <v>18448.10798137305</v>
      </c>
      <c r="N69" s="750">
        <f>M69*(1+Inputs!$E$315)</f>
        <v>19001.551220814243</v>
      </c>
      <c r="O69" s="750">
        <f>N69*(1+Inputs!$E$315)</f>
        <v>19571.597757438671</v>
      </c>
      <c r="P69" s="750">
        <f>O69*(1+Inputs!$E$315)</f>
        <v>20158.745690161832</v>
      </c>
    </row>
    <row r="70" spans="1:16" ht="15.75" customHeight="1">
      <c r="A70" s="292"/>
      <c r="B70" s="223">
        <v>4</v>
      </c>
      <c r="C70" s="24" t="s">
        <v>1541</v>
      </c>
      <c r="D70" s="749">
        <f t="shared" si="17"/>
        <v>3500</v>
      </c>
      <c r="E70" s="744"/>
      <c r="F70" s="750">
        <f>Inputs!$E$316</f>
        <v>40000</v>
      </c>
      <c r="G70" s="750">
        <f>F70*(1+Inputs!$E$315)</f>
        <v>41200</v>
      </c>
      <c r="H70" s="750">
        <f>G70*(1+Inputs!$E$315)</f>
        <v>42436</v>
      </c>
      <c r="I70" s="750">
        <f>H70*(1+Inputs!$E$315)</f>
        <v>43709.08</v>
      </c>
      <c r="J70" s="750">
        <f>I70*(1+Inputs!$E$315)</f>
        <v>45020.352400000003</v>
      </c>
      <c r="K70" s="750">
        <f>J70*(1+Inputs!$E$315)</f>
        <v>46370.962972000001</v>
      </c>
      <c r="L70" s="750">
        <f>K70*(1+Inputs!$E$315)</f>
        <v>47762.091861159999</v>
      </c>
      <c r="M70" s="750">
        <f>L70*(1+Inputs!$E$315)</f>
        <v>49194.954616994801</v>
      </c>
      <c r="N70" s="750">
        <f>M70*(1+Inputs!$E$315)</f>
        <v>50670.803255504645</v>
      </c>
      <c r="O70" s="750">
        <f>N70*(1+Inputs!$E$315)</f>
        <v>52190.927353169784</v>
      </c>
      <c r="P70" s="750">
        <f>O70*(1+Inputs!$E$315)</f>
        <v>53756.655173764877</v>
      </c>
    </row>
    <row r="71" spans="1:16" ht="15.75" customHeight="1">
      <c r="A71" s="292"/>
      <c r="B71" s="223">
        <v>5</v>
      </c>
      <c r="C71" s="24" t="s">
        <v>1076</v>
      </c>
      <c r="D71" s="749">
        <f t="shared" si="17"/>
        <v>3500</v>
      </c>
      <c r="E71" s="744"/>
      <c r="F71" s="750">
        <f>Inputs!$E$316</f>
        <v>40000</v>
      </c>
      <c r="G71" s="750">
        <f>F71*(1+Inputs!$E$315)</f>
        <v>41200</v>
      </c>
      <c r="H71" s="750">
        <f>G71*(1+Inputs!$E$315)</f>
        <v>42436</v>
      </c>
      <c r="I71" s="750">
        <f>H71*(1+Inputs!$E$315)</f>
        <v>43709.08</v>
      </c>
      <c r="J71" s="750">
        <f>I71*(1+Inputs!$E$315)</f>
        <v>45020.352400000003</v>
      </c>
      <c r="K71" s="750">
        <f>J71*(1+Inputs!$E$315)</f>
        <v>46370.962972000001</v>
      </c>
      <c r="L71" s="750">
        <f>K71*(1+Inputs!$E$315)</f>
        <v>47762.091861159999</v>
      </c>
      <c r="M71" s="750">
        <f>L71*(1+Inputs!$E$315)</f>
        <v>49194.954616994801</v>
      </c>
      <c r="N71" s="750">
        <f>M71*(1+Inputs!$E$315)</f>
        <v>50670.803255504645</v>
      </c>
      <c r="O71" s="750">
        <f>N71*(1+Inputs!$E$315)</f>
        <v>52190.927353169784</v>
      </c>
      <c r="P71" s="750">
        <f>O71*(1+Inputs!$E$315)</f>
        <v>53756.655173764877</v>
      </c>
    </row>
    <row r="72" spans="1:16" ht="15.75" customHeight="1">
      <c r="A72" s="292"/>
      <c r="B72" s="223">
        <v>6</v>
      </c>
      <c r="C72" s="24" t="s">
        <v>1078</v>
      </c>
      <c r="D72" s="749">
        <f t="shared" si="17"/>
        <v>3500</v>
      </c>
      <c r="E72" s="744"/>
      <c r="F72" s="750">
        <f>Inputs!$E$316</f>
        <v>40000</v>
      </c>
      <c r="G72" s="750">
        <f>F72*(1+Inputs!$E$315)</f>
        <v>41200</v>
      </c>
      <c r="H72" s="750">
        <f>G72*(1+Inputs!$E$315)</f>
        <v>42436</v>
      </c>
      <c r="I72" s="750">
        <f>H72*(1+Inputs!$E$315)</f>
        <v>43709.08</v>
      </c>
      <c r="J72" s="750">
        <f>I72*(1+Inputs!$E$315)</f>
        <v>45020.352400000003</v>
      </c>
      <c r="K72" s="750">
        <f>J72*(1+Inputs!$E$315)</f>
        <v>46370.962972000001</v>
      </c>
      <c r="L72" s="750">
        <f>K72*(1+Inputs!$E$315)</f>
        <v>47762.091861159999</v>
      </c>
      <c r="M72" s="750">
        <f>L72*(1+Inputs!$E$315)</f>
        <v>49194.954616994801</v>
      </c>
      <c r="N72" s="750">
        <f>M72*(1+Inputs!$E$315)</f>
        <v>50670.803255504645</v>
      </c>
      <c r="O72" s="750">
        <f>N72*(1+Inputs!$E$315)</f>
        <v>52190.927353169784</v>
      </c>
      <c r="P72" s="750">
        <f>O72*(1+Inputs!$E$315)</f>
        <v>53756.655173764877</v>
      </c>
    </row>
    <row r="73" spans="1:16" ht="15.75" customHeight="1">
      <c r="A73" s="292"/>
      <c r="B73" s="223">
        <v>7</v>
      </c>
      <c r="C73" s="24" t="s">
        <v>1080</v>
      </c>
      <c r="D73" s="749">
        <f t="shared" si="17"/>
        <v>3500</v>
      </c>
      <c r="E73" s="744"/>
      <c r="F73" s="750">
        <f>Inputs!$E$316</f>
        <v>40000</v>
      </c>
      <c r="G73" s="750">
        <f>F73*(1+Inputs!$E$315)</f>
        <v>41200</v>
      </c>
      <c r="H73" s="750">
        <f>G73*(1+Inputs!$E$315)</f>
        <v>42436</v>
      </c>
      <c r="I73" s="750">
        <f>H73*(1+Inputs!$E$315)</f>
        <v>43709.08</v>
      </c>
      <c r="J73" s="750">
        <f>I73*(1+Inputs!$E$315)</f>
        <v>45020.352400000003</v>
      </c>
      <c r="K73" s="750">
        <f>J73*(1+Inputs!$E$315)</f>
        <v>46370.962972000001</v>
      </c>
      <c r="L73" s="750">
        <f>K73*(1+Inputs!$E$315)</f>
        <v>47762.091861159999</v>
      </c>
      <c r="M73" s="750">
        <f>L73*(1+Inputs!$E$315)</f>
        <v>49194.954616994801</v>
      </c>
      <c r="N73" s="750">
        <f>M73*(1+Inputs!$E$315)</f>
        <v>50670.803255504645</v>
      </c>
      <c r="O73" s="750">
        <f>N73*(1+Inputs!$E$315)</f>
        <v>52190.927353169784</v>
      </c>
      <c r="P73" s="750">
        <f>O73*(1+Inputs!$E$315)</f>
        <v>53756.655173764877</v>
      </c>
    </row>
    <row r="74" spans="1:16" ht="15.75" customHeight="1">
      <c r="A74" s="292"/>
      <c r="B74" s="223">
        <v>8</v>
      </c>
      <c r="C74" s="24" t="s">
        <v>311</v>
      </c>
      <c r="D74" s="749">
        <f t="shared" si="17"/>
        <v>3500</v>
      </c>
      <c r="E74" s="744"/>
      <c r="F74" s="750">
        <f>Inputs!$E$316</f>
        <v>40000</v>
      </c>
      <c r="G74" s="750">
        <f>F74*(1+Inputs!$E$315)</f>
        <v>41200</v>
      </c>
      <c r="H74" s="750">
        <f>G74*(1+Inputs!$E$315)</f>
        <v>42436</v>
      </c>
      <c r="I74" s="750">
        <f>H74*(1+Inputs!$E$315)</f>
        <v>43709.08</v>
      </c>
      <c r="J74" s="750">
        <f>I74*(1+Inputs!$E$315)</f>
        <v>45020.352400000003</v>
      </c>
      <c r="K74" s="750">
        <f>J74*(1+Inputs!$E$315)</f>
        <v>46370.962972000001</v>
      </c>
      <c r="L74" s="750">
        <f>K74*(1+Inputs!$E$315)</f>
        <v>47762.091861159999</v>
      </c>
      <c r="M74" s="750">
        <f>L74*(1+Inputs!$E$315)</f>
        <v>49194.954616994801</v>
      </c>
      <c r="N74" s="750">
        <f>M74*(1+Inputs!$E$315)</f>
        <v>50670.803255504645</v>
      </c>
      <c r="O74" s="750">
        <f>N74*(1+Inputs!$E$315)</f>
        <v>52190.927353169784</v>
      </c>
      <c r="P74" s="750">
        <f>O74*(1+Inputs!$E$315)</f>
        <v>53756.655173764877</v>
      </c>
    </row>
    <row r="75" spans="1:16" ht="15.75" customHeight="1">
      <c r="A75" s="292"/>
      <c r="B75" s="223">
        <v>9</v>
      </c>
      <c r="C75" s="24" t="s">
        <v>272</v>
      </c>
      <c r="D75" s="749">
        <f t="shared" si="17"/>
        <v>2000</v>
      </c>
      <c r="E75" s="744"/>
      <c r="F75" s="750">
        <f>Inputs!$E$320</f>
        <v>10000</v>
      </c>
      <c r="G75" s="750">
        <f>F75*(1+Inputs!$E$315)</f>
        <v>10300</v>
      </c>
      <c r="H75" s="750">
        <f>G75*(1+Inputs!$E$315)</f>
        <v>10609</v>
      </c>
      <c r="I75" s="750">
        <f>H75*(1+Inputs!$E$315)</f>
        <v>10927.27</v>
      </c>
      <c r="J75" s="750">
        <f>I75*(1+Inputs!$E$315)</f>
        <v>11255.088100000001</v>
      </c>
      <c r="K75" s="750">
        <f>J75*(1+Inputs!$E$315)</f>
        <v>11592.740743</v>
      </c>
      <c r="L75" s="750">
        <f>K75*(1+Inputs!$E$315)</f>
        <v>11940.52296529</v>
      </c>
      <c r="M75" s="750">
        <f>L75*(1+Inputs!$E$315)</f>
        <v>12298.7386542487</v>
      </c>
      <c r="N75" s="750">
        <f>M75*(1+Inputs!$E$315)</f>
        <v>12667.700813876161</v>
      </c>
      <c r="O75" s="750">
        <f>N75*(1+Inputs!$E$315)</f>
        <v>13047.731838292446</v>
      </c>
      <c r="P75" s="750">
        <f>O75*(1+Inputs!$E$315)</f>
        <v>13439.163793441219</v>
      </c>
    </row>
    <row r="76" spans="1:16" ht="15.75" customHeight="1">
      <c r="A76" s="292"/>
      <c r="B76" s="223">
        <v>10</v>
      </c>
      <c r="C76" s="24" t="s">
        <v>1542</v>
      </c>
      <c r="D76" s="749">
        <f t="shared" si="17"/>
        <v>2000</v>
      </c>
      <c r="E76" s="744"/>
      <c r="F76" s="750">
        <f>Inputs!$E$321</f>
        <v>20000</v>
      </c>
      <c r="G76" s="750">
        <f>F76*(1+Inputs!$E$315)</f>
        <v>20600</v>
      </c>
      <c r="H76" s="750">
        <f>G76*(1+Inputs!$E$315)</f>
        <v>21218</v>
      </c>
      <c r="I76" s="750">
        <f>H76*(1+Inputs!$E$315)</f>
        <v>21854.54</v>
      </c>
      <c r="J76" s="750">
        <f>I76*(1+Inputs!$E$315)</f>
        <v>22510.176200000002</v>
      </c>
      <c r="K76" s="750">
        <f>J76*(1+Inputs!$E$315)</f>
        <v>23185.481486000001</v>
      </c>
      <c r="L76" s="750">
        <f>K76*(1+Inputs!$E$315)</f>
        <v>23881.04593058</v>
      </c>
      <c r="M76" s="750">
        <f>L76*(1+Inputs!$E$315)</f>
        <v>24597.4773084974</v>
      </c>
      <c r="N76" s="750">
        <f>M76*(1+Inputs!$E$315)</f>
        <v>25335.401627752322</v>
      </c>
      <c r="O76" s="750">
        <f>N76*(1+Inputs!$E$315)</f>
        <v>26095.463676584892</v>
      </c>
      <c r="P76" s="750">
        <f>O76*(1+Inputs!$E$315)</f>
        <v>26878.327586882438</v>
      </c>
    </row>
    <row r="77" spans="1:16" ht="15.75" customHeight="1">
      <c r="A77" s="292"/>
      <c r="B77" s="223">
        <v>11</v>
      </c>
      <c r="C77" s="24" t="s">
        <v>1543</v>
      </c>
      <c r="D77" s="749">
        <f t="shared" si="17"/>
        <v>4000</v>
      </c>
      <c r="E77" s="744"/>
      <c r="F77" s="750">
        <f>Inputs!$E$322</f>
        <v>10000</v>
      </c>
      <c r="G77" s="750">
        <f>F77*(1+Inputs!$E$315)</f>
        <v>10300</v>
      </c>
      <c r="H77" s="750">
        <f>G77*(1+Inputs!$E$315)</f>
        <v>10609</v>
      </c>
      <c r="I77" s="750">
        <f>H77*(1+Inputs!$E$315)</f>
        <v>10927.27</v>
      </c>
      <c r="J77" s="750">
        <f>I77*(1+Inputs!$E$315)</f>
        <v>11255.088100000001</v>
      </c>
      <c r="K77" s="750">
        <f>J77*(1+Inputs!$E$315)</f>
        <v>11592.740743</v>
      </c>
      <c r="L77" s="750">
        <f>K77*(1+Inputs!$E$315)</f>
        <v>11940.52296529</v>
      </c>
      <c r="M77" s="750">
        <f>L77*(1+Inputs!$E$315)</f>
        <v>12298.7386542487</v>
      </c>
      <c r="N77" s="750">
        <f>M77*(1+Inputs!$E$315)</f>
        <v>12667.700813876161</v>
      </c>
      <c r="O77" s="750">
        <f>N77*(1+Inputs!$E$315)</f>
        <v>13047.731838292446</v>
      </c>
      <c r="P77" s="750">
        <f>O77*(1+Inputs!$E$315)</f>
        <v>13439.163793441219</v>
      </c>
    </row>
    <row r="78" spans="1:16" ht="15.75" customHeight="1">
      <c r="A78" s="292"/>
      <c r="B78" s="292"/>
      <c r="C78" s="292"/>
      <c r="D78" s="292"/>
      <c r="E78" s="292"/>
      <c r="F78" s="741"/>
      <c r="G78" s="741"/>
      <c r="H78" s="741"/>
      <c r="I78" s="741"/>
      <c r="J78" s="741"/>
      <c r="K78" s="741"/>
      <c r="L78" s="741"/>
      <c r="M78" s="741"/>
      <c r="N78" s="741"/>
      <c r="O78" s="741"/>
      <c r="P78" s="741"/>
    </row>
    <row r="79" spans="1:16" ht="15.75" customHeight="1">
      <c r="A79" s="292"/>
      <c r="B79" s="292"/>
      <c r="C79" s="292"/>
      <c r="D79" s="292"/>
      <c r="E79" s="237"/>
      <c r="F79" s="227"/>
      <c r="G79" s="227"/>
      <c r="H79" s="227"/>
      <c r="I79" s="227"/>
      <c r="J79" s="227"/>
      <c r="K79" s="227"/>
      <c r="L79" s="227"/>
      <c r="M79" s="227"/>
      <c r="N79" s="227"/>
      <c r="O79" s="227"/>
      <c r="P79" s="227"/>
    </row>
    <row r="80" spans="1:16" ht="15.75" customHeight="1">
      <c r="A80" s="292"/>
      <c r="B80" s="1426" t="s">
        <v>1549</v>
      </c>
      <c r="C80" s="1305"/>
      <c r="D80" s="237" t="s">
        <v>1545</v>
      </c>
      <c r="E80" s="292"/>
      <c r="F80" s="748" t="str">
        <f t="shared" ref="F80:P80" si="18">F65</f>
        <v>FY28</v>
      </c>
      <c r="G80" s="748" t="str">
        <f t="shared" si="18"/>
        <v>FY29</v>
      </c>
      <c r="H80" s="748" t="str">
        <f t="shared" si="18"/>
        <v>FY30</v>
      </c>
      <c r="I80" s="748" t="str">
        <f t="shared" si="18"/>
        <v>FY31</v>
      </c>
      <c r="J80" s="748" t="str">
        <f t="shared" si="18"/>
        <v>FY32</v>
      </c>
      <c r="K80" s="748" t="str">
        <f t="shared" si="18"/>
        <v>FY33</v>
      </c>
      <c r="L80" s="748" t="str">
        <f t="shared" si="18"/>
        <v>FY34</v>
      </c>
      <c r="M80" s="748" t="str">
        <f t="shared" si="18"/>
        <v>FY35</v>
      </c>
      <c r="N80" s="748" t="str">
        <f t="shared" si="18"/>
        <v>FY36</v>
      </c>
      <c r="O80" s="748" t="str">
        <f t="shared" si="18"/>
        <v>FY37</v>
      </c>
      <c r="P80" s="748" t="str">
        <f t="shared" si="18"/>
        <v>FY38</v>
      </c>
    </row>
    <row r="81" spans="1:16" ht="15.75" customHeight="1">
      <c r="A81" s="292"/>
      <c r="B81" s="24"/>
      <c r="C81" s="292"/>
      <c r="D81" s="237"/>
      <c r="E81" s="292"/>
      <c r="F81" s="227"/>
      <c r="G81" s="227"/>
      <c r="H81" s="227"/>
      <c r="I81" s="227"/>
      <c r="J81" s="227"/>
      <c r="K81" s="227"/>
      <c r="L81" s="227"/>
      <c r="M81" s="227"/>
      <c r="N81" s="227"/>
      <c r="O81" s="227"/>
      <c r="P81" s="227"/>
    </row>
    <row r="82" spans="1:16" ht="15.75" customHeight="1">
      <c r="A82" s="292"/>
      <c r="B82" s="223">
        <v>1</v>
      </c>
      <c r="C82" s="24" t="s">
        <v>261</v>
      </c>
      <c r="D82" s="749">
        <f t="shared" ref="D82:D92" si="19">D67</f>
        <v>4000</v>
      </c>
      <c r="E82" s="744"/>
      <c r="F82" s="750">
        <f>F67*'Calendar Assumptions'!F5</f>
        <v>680200</v>
      </c>
      <c r="G82" s="750">
        <f>G67*'Calendar Assumptions'!G5</f>
        <v>715479.2</v>
      </c>
      <c r="H82" s="750">
        <f>H67*'Calendar Assumptions'!H5</f>
        <v>752262.97200000007</v>
      </c>
      <c r="I82" s="750">
        <f>I67*'Calendar Assumptions'!I5</f>
        <v>830472.52</v>
      </c>
      <c r="J82" s="750">
        <f>J67*'Calendar Assumptions'!J5</f>
        <v>855386.69560000009</v>
      </c>
      <c r="K82" s="750">
        <f>K67*'Calendar Assumptions'!K5</f>
        <v>881048.29646800004</v>
      </c>
      <c r="L82" s="750">
        <f>L67*'Calendar Assumptions'!L5</f>
        <v>907479.74536204</v>
      </c>
      <c r="M82" s="750">
        <f>M67*'Calendar Assumptions'!M5</f>
        <v>934704.13772290119</v>
      </c>
      <c r="N82" s="750">
        <f>N67*'Calendar Assumptions'!N5</f>
        <v>962745.26185458829</v>
      </c>
      <c r="O82" s="750">
        <f>O67*'Calendar Assumptions'!O5</f>
        <v>991627.61971022584</v>
      </c>
      <c r="P82" s="750">
        <f>P67*'Calendar Assumptions'!P5</f>
        <v>1021376.4483015327</v>
      </c>
    </row>
    <row r="83" spans="1:16" ht="15.75" customHeight="1">
      <c r="A83" s="292"/>
      <c r="B83" s="223">
        <v>2</v>
      </c>
      <c r="C83" s="24" t="s">
        <v>263</v>
      </c>
      <c r="D83" s="749">
        <f t="shared" si="19"/>
        <v>3000</v>
      </c>
      <c r="E83" s="744"/>
      <c r="F83" s="750">
        <f>F68*'Calendar Assumptions'!F6</f>
        <v>483300</v>
      </c>
      <c r="G83" s="750">
        <f>G68*'Calendar Assumptions'!G6</f>
        <v>508366.80000000005</v>
      </c>
      <c r="H83" s="750">
        <f>H68*'Calendar Assumptions'!H6</f>
        <v>534502.63800000004</v>
      </c>
      <c r="I83" s="750">
        <f>I68*'Calendar Assumptions'!I6</f>
        <v>590072.57999999996</v>
      </c>
      <c r="J83" s="750">
        <f>J68*'Calendar Assumptions'!J6</f>
        <v>607774.75739999989</v>
      </c>
      <c r="K83" s="750">
        <f>K68*'Calendar Assumptions'!K6</f>
        <v>626008.000122</v>
      </c>
      <c r="L83" s="750">
        <f>L68*'Calendar Assumptions'!L6</f>
        <v>644788.24012565997</v>
      </c>
      <c r="M83" s="750">
        <f>M68*'Calendar Assumptions'!M6</f>
        <v>664131.88732942985</v>
      </c>
      <c r="N83" s="750">
        <f>N68*'Calendar Assumptions'!N6</f>
        <v>684055.84394931269</v>
      </c>
      <c r="O83" s="750">
        <f>O68*'Calendar Assumptions'!O6</f>
        <v>704577.51926779211</v>
      </c>
      <c r="P83" s="750">
        <f>P68*'Calendar Assumptions'!P6</f>
        <v>725714.84484582592</v>
      </c>
    </row>
    <row r="84" spans="1:16" ht="15.75" customHeight="1">
      <c r="A84" s="292"/>
      <c r="B84" s="223">
        <v>3</v>
      </c>
      <c r="C84" s="24" t="s">
        <v>265</v>
      </c>
      <c r="D84" s="749">
        <f t="shared" si="19"/>
        <v>1500</v>
      </c>
      <c r="E84" s="744"/>
      <c r="F84" s="750">
        <f>F69*'Calendar Assumptions'!F7</f>
        <v>201375</v>
      </c>
      <c r="G84" s="750">
        <f>G69*'Calendar Assumptions'!G7</f>
        <v>211819.5</v>
      </c>
      <c r="H84" s="750">
        <f>H69*'Calendar Assumptions'!H7</f>
        <v>222709.43250000002</v>
      </c>
      <c r="I84" s="750">
        <f>I69*'Calendar Assumptions'!I7</f>
        <v>245863.57499999998</v>
      </c>
      <c r="J84" s="750">
        <f>J69*'Calendar Assumptions'!J7</f>
        <v>253239.48224999997</v>
      </c>
      <c r="K84" s="750">
        <f>K69*'Calendar Assumptions'!K7</f>
        <v>260836.66671749999</v>
      </c>
      <c r="L84" s="750">
        <f>L69*'Calendar Assumptions'!L7</f>
        <v>268661.76671902498</v>
      </c>
      <c r="M84" s="750">
        <f>M69*'Calendar Assumptions'!M7</f>
        <v>276721.61972059577</v>
      </c>
      <c r="N84" s="750">
        <f>N69*'Calendar Assumptions'!N7</f>
        <v>285023.26831221365</v>
      </c>
      <c r="O84" s="750">
        <f>O69*'Calendar Assumptions'!O7</f>
        <v>293573.96636158007</v>
      </c>
      <c r="P84" s="750">
        <f>P69*'Calendar Assumptions'!P7</f>
        <v>302381.18535242748</v>
      </c>
    </row>
    <row r="85" spans="1:16" ht="15.75" customHeight="1">
      <c r="A85" s="292"/>
      <c r="B85" s="223">
        <v>4</v>
      </c>
      <c r="C85" s="24" t="s">
        <v>1541</v>
      </c>
      <c r="D85" s="749">
        <f t="shared" si="19"/>
        <v>3500</v>
      </c>
      <c r="E85" s="744"/>
      <c r="F85" s="750">
        <f>F70*'Calendar Assumptions'!F8</f>
        <v>644400</v>
      </c>
      <c r="G85" s="750">
        <f>G70*'Calendar Assumptions'!G8</f>
        <v>677822.4</v>
      </c>
      <c r="H85" s="750">
        <f>H70*'Calendar Assumptions'!H8</f>
        <v>712670.18400000001</v>
      </c>
      <c r="I85" s="750">
        <f>I70*'Calendar Assumptions'!I8</f>
        <v>786763.44000000006</v>
      </c>
      <c r="J85" s="750">
        <f>J70*'Calendar Assumptions'!J8</f>
        <v>810366.3432</v>
      </c>
      <c r="K85" s="750">
        <f>K70*'Calendar Assumptions'!K8</f>
        <v>834677.33349600004</v>
      </c>
      <c r="L85" s="750">
        <f>L70*'Calendar Assumptions'!L8</f>
        <v>859717.65350088</v>
      </c>
      <c r="M85" s="750">
        <f>M70*'Calendar Assumptions'!M8</f>
        <v>885509.18310590647</v>
      </c>
      <c r="N85" s="750">
        <f>N70*'Calendar Assumptions'!N8</f>
        <v>912074.45859908359</v>
      </c>
      <c r="O85" s="750">
        <f>O70*'Calendar Assumptions'!O8</f>
        <v>939436.69235705608</v>
      </c>
      <c r="P85" s="750">
        <f>P70*'Calendar Assumptions'!P8</f>
        <v>967619.79312776774</v>
      </c>
    </row>
    <row r="86" spans="1:16" ht="15.75" customHeight="1">
      <c r="A86" s="292"/>
      <c r="B86" s="223">
        <v>5</v>
      </c>
      <c r="C86" s="24" t="s">
        <v>1076</v>
      </c>
      <c r="D86" s="749">
        <f t="shared" si="19"/>
        <v>3500</v>
      </c>
      <c r="E86" s="744"/>
      <c r="F86" s="750">
        <f>F71*'Calendar Assumptions'!F9</f>
        <v>537000</v>
      </c>
      <c r="G86" s="750">
        <f>G71*'Calendar Assumptions'!G9</f>
        <v>564852</v>
      </c>
      <c r="H86" s="750">
        <f>H71*'Calendar Assumptions'!H9</f>
        <v>593891.82000000007</v>
      </c>
      <c r="I86" s="750">
        <f>I71*'Calendar Assumptions'!I9</f>
        <v>655636.20000000007</v>
      </c>
      <c r="J86" s="750">
        <f>J71*'Calendar Assumptions'!J9</f>
        <v>675305.28600000008</v>
      </c>
      <c r="K86" s="750">
        <f>K71*'Calendar Assumptions'!K9</f>
        <v>695564.44458000001</v>
      </c>
      <c r="L86" s="750">
        <f>L71*'Calendar Assumptions'!L9</f>
        <v>716431.37791739998</v>
      </c>
      <c r="M86" s="750">
        <f>M71*'Calendar Assumptions'!M9</f>
        <v>737924.31925492198</v>
      </c>
      <c r="N86" s="750">
        <f>N71*'Calendar Assumptions'!N9</f>
        <v>760062.04883256962</v>
      </c>
      <c r="O86" s="750">
        <f>O71*'Calendar Assumptions'!O9</f>
        <v>782863.91029754677</v>
      </c>
      <c r="P86" s="750">
        <f>P71*'Calendar Assumptions'!P9</f>
        <v>806349.82760647312</v>
      </c>
    </row>
    <row r="87" spans="1:16" ht="15.75" customHeight="1">
      <c r="A87" s="292"/>
      <c r="B87" s="223">
        <v>6</v>
      </c>
      <c r="C87" s="24" t="s">
        <v>1078</v>
      </c>
      <c r="D87" s="749">
        <f t="shared" si="19"/>
        <v>3500</v>
      </c>
      <c r="E87" s="744"/>
      <c r="F87" s="750">
        <f>F72*'Calendar Assumptions'!F10</f>
        <v>537000</v>
      </c>
      <c r="G87" s="750">
        <f>G72*'Calendar Assumptions'!G10</f>
        <v>564852</v>
      </c>
      <c r="H87" s="750">
        <f>H72*'Calendar Assumptions'!H10</f>
        <v>593891.82000000007</v>
      </c>
      <c r="I87" s="750">
        <f>I72*'Calendar Assumptions'!I10</f>
        <v>655636.20000000007</v>
      </c>
      <c r="J87" s="750">
        <f>J72*'Calendar Assumptions'!J10</f>
        <v>675305.28600000008</v>
      </c>
      <c r="K87" s="750">
        <f>K72*'Calendar Assumptions'!K10</f>
        <v>695564.44458000001</v>
      </c>
      <c r="L87" s="750">
        <f>L72*'Calendar Assumptions'!L10</f>
        <v>716431.37791739998</v>
      </c>
      <c r="M87" s="750">
        <f>M72*'Calendar Assumptions'!M10</f>
        <v>737924.31925492198</v>
      </c>
      <c r="N87" s="750">
        <f>N72*'Calendar Assumptions'!N10</f>
        <v>760062.04883256962</v>
      </c>
      <c r="O87" s="750">
        <f>O72*'Calendar Assumptions'!O10</f>
        <v>782863.91029754677</v>
      </c>
      <c r="P87" s="750">
        <f>P72*'Calendar Assumptions'!P10</f>
        <v>806349.82760647312</v>
      </c>
    </row>
    <row r="88" spans="1:16" ht="15.75" customHeight="1">
      <c r="A88" s="292"/>
      <c r="B88" s="223">
        <v>7</v>
      </c>
      <c r="C88" s="24" t="s">
        <v>1080</v>
      </c>
      <c r="D88" s="749">
        <f t="shared" si="19"/>
        <v>3500</v>
      </c>
      <c r="E88" s="744"/>
      <c r="F88" s="750">
        <f>F73*'Calendar Assumptions'!F11</f>
        <v>107400</v>
      </c>
      <c r="G88" s="750">
        <f>G73*'Calendar Assumptions'!G11</f>
        <v>112970.4</v>
      </c>
      <c r="H88" s="750">
        <f>H73*'Calendar Assumptions'!H11</f>
        <v>118778.36400000002</v>
      </c>
      <c r="I88" s="750">
        <f>I73*'Calendar Assumptions'!I11</f>
        <v>131127.24</v>
      </c>
      <c r="J88" s="750">
        <f>J73*'Calendar Assumptions'!J11</f>
        <v>135061.05720000001</v>
      </c>
      <c r="K88" s="750">
        <f>K73*'Calendar Assumptions'!K11</f>
        <v>139112.888916</v>
      </c>
      <c r="L88" s="750">
        <f>L73*'Calendar Assumptions'!L11</f>
        <v>143286.27558347999</v>
      </c>
      <c r="M88" s="750">
        <f>M73*'Calendar Assumptions'!M11</f>
        <v>147584.8638509844</v>
      </c>
      <c r="N88" s="750">
        <f>N73*'Calendar Assumptions'!N11</f>
        <v>152012.40976651394</v>
      </c>
      <c r="O88" s="750">
        <f>O73*'Calendar Assumptions'!O11</f>
        <v>156572.78205950937</v>
      </c>
      <c r="P88" s="750">
        <f>P73*'Calendar Assumptions'!P11</f>
        <v>161269.96552129462</v>
      </c>
    </row>
    <row r="89" spans="1:16" ht="15.75" customHeight="1">
      <c r="A89" s="292"/>
      <c r="B89" s="223">
        <v>8</v>
      </c>
      <c r="C89" s="24" t="s">
        <v>311</v>
      </c>
      <c r="D89" s="749">
        <f t="shared" si="19"/>
        <v>3500</v>
      </c>
      <c r="E89" s="744"/>
      <c r="F89" s="750">
        <f>F74*'Calendar Assumptions'!F12</f>
        <v>1038200.0000000001</v>
      </c>
      <c r="G89" s="750">
        <f>G74*'Calendar Assumptions'!G12</f>
        <v>1092047.2</v>
      </c>
      <c r="H89" s="750">
        <f>H74*'Calendar Assumptions'!H12</f>
        <v>1148190.8520000002</v>
      </c>
      <c r="I89" s="750">
        <f>I74*'Calendar Assumptions'!I12</f>
        <v>1267563.32</v>
      </c>
      <c r="J89" s="750">
        <f>J74*'Calendar Assumptions'!J12</f>
        <v>1305590.2196000002</v>
      </c>
      <c r="K89" s="750">
        <f>K74*'Calendar Assumptions'!K12</f>
        <v>1344757.926188</v>
      </c>
      <c r="L89" s="750">
        <f>L74*'Calendar Assumptions'!L12</f>
        <v>1385100.66397364</v>
      </c>
      <c r="M89" s="750">
        <f>M74*'Calendar Assumptions'!M12</f>
        <v>1426653.6838928491</v>
      </c>
      <c r="N89" s="750">
        <f>N74*'Calendar Assumptions'!N12</f>
        <v>1469453.2944096348</v>
      </c>
      <c r="O89" s="750">
        <f>O74*'Calendar Assumptions'!O12</f>
        <v>1513536.8932419238</v>
      </c>
      <c r="P89" s="750">
        <f>P74*'Calendar Assumptions'!P12</f>
        <v>1558943.0000391814</v>
      </c>
    </row>
    <row r="90" spans="1:16" ht="15.75" customHeight="1">
      <c r="A90" s="292"/>
      <c r="B90" s="223">
        <v>9</v>
      </c>
      <c r="C90" s="24" t="s">
        <v>272</v>
      </c>
      <c r="D90" s="749">
        <f t="shared" si="19"/>
        <v>2000</v>
      </c>
      <c r="E90" s="744"/>
      <c r="F90" s="750">
        <f>F75*'Calendar Assumptions'!F13</f>
        <v>107400</v>
      </c>
      <c r="G90" s="750">
        <f>G75*'Calendar Assumptions'!G13</f>
        <v>112970.4</v>
      </c>
      <c r="H90" s="750">
        <f>H75*'Calendar Assumptions'!H13</f>
        <v>118778.36400000002</v>
      </c>
      <c r="I90" s="750">
        <f>I75*'Calendar Assumptions'!I13</f>
        <v>131127.24</v>
      </c>
      <c r="J90" s="750">
        <f>J75*'Calendar Assumptions'!J13</f>
        <v>135061.05720000001</v>
      </c>
      <c r="K90" s="750">
        <f>K75*'Calendar Assumptions'!K13</f>
        <v>139112.888916</v>
      </c>
      <c r="L90" s="750">
        <f>L75*'Calendar Assumptions'!L13</f>
        <v>143286.27558347999</v>
      </c>
      <c r="M90" s="750">
        <f>M75*'Calendar Assumptions'!M13</f>
        <v>147584.8638509844</v>
      </c>
      <c r="N90" s="750">
        <f>N75*'Calendar Assumptions'!N13</f>
        <v>152012.40976651394</v>
      </c>
      <c r="O90" s="750">
        <f>O75*'Calendar Assumptions'!O13</f>
        <v>156572.78205950937</v>
      </c>
      <c r="P90" s="750">
        <f>P75*'Calendar Assumptions'!P13</f>
        <v>161269.96552129462</v>
      </c>
    </row>
    <row r="91" spans="1:16" ht="15.75" customHeight="1">
      <c r="A91" s="292"/>
      <c r="B91" s="223">
        <v>10</v>
      </c>
      <c r="C91" s="24" t="s">
        <v>1542</v>
      </c>
      <c r="D91" s="749">
        <f t="shared" si="19"/>
        <v>2000</v>
      </c>
      <c r="E91" s="744"/>
      <c r="F91" s="750">
        <f>F76*'Calendar Assumptions'!F14</f>
        <v>71600</v>
      </c>
      <c r="G91" s="750">
        <f>G76*'Calendar Assumptions'!G14</f>
        <v>75313.600000000006</v>
      </c>
      <c r="H91" s="750">
        <f>H76*'Calendar Assumptions'!H14</f>
        <v>79185.576000000001</v>
      </c>
      <c r="I91" s="750">
        <f>I76*'Calendar Assumptions'!I14</f>
        <v>87418.16</v>
      </c>
      <c r="J91" s="750">
        <f>J76*'Calendar Assumptions'!J14</f>
        <v>90040.704800000007</v>
      </c>
      <c r="K91" s="750">
        <f>K76*'Calendar Assumptions'!K14</f>
        <v>92741.925944000002</v>
      </c>
      <c r="L91" s="750">
        <f>L76*'Calendar Assumptions'!L14</f>
        <v>95524.183722319998</v>
      </c>
      <c r="M91" s="750">
        <f>M76*'Calendar Assumptions'!M14</f>
        <v>98389.909233989601</v>
      </c>
      <c r="N91" s="750">
        <f>N76*'Calendar Assumptions'!N14</f>
        <v>101341.60651100929</v>
      </c>
      <c r="O91" s="750">
        <f>O76*'Calendar Assumptions'!O14</f>
        <v>104381.85470633957</v>
      </c>
      <c r="P91" s="750">
        <f>P76*'Calendar Assumptions'!P14</f>
        <v>107513.31034752975</v>
      </c>
    </row>
    <row r="92" spans="1:16" ht="15.75" customHeight="1">
      <c r="A92" s="292"/>
      <c r="B92" s="223">
        <v>11</v>
      </c>
      <c r="C92" s="24" t="s">
        <v>1543</v>
      </c>
      <c r="D92" s="749">
        <f t="shared" si="19"/>
        <v>4000</v>
      </c>
      <c r="E92" s="744"/>
      <c r="F92" s="750">
        <f>F77*'Calendar Assumptions'!F15</f>
        <v>232700</v>
      </c>
      <c r="G92" s="750">
        <f>G77*'Calendar Assumptions'!G15</f>
        <v>244769.19999999998</v>
      </c>
      <c r="H92" s="750">
        <f>H77*'Calendar Assumptions'!H15</f>
        <v>257353.12200000003</v>
      </c>
      <c r="I92" s="750">
        <f>I77*'Calendar Assumptions'!I15</f>
        <v>284109.02</v>
      </c>
      <c r="J92" s="750">
        <f>J77*'Calendar Assumptions'!J15</f>
        <v>292632.29060000001</v>
      </c>
      <c r="K92" s="750">
        <f>K77*'Calendar Assumptions'!K15</f>
        <v>301411.259318</v>
      </c>
      <c r="L92" s="750">
        <f>L77*'Calendar Assumptions'!L15</f>
        <v>310453.59709753998</v>
      </c>
      <c r="M92" s="750">
        <f>M77*'Calendar Assumptions'!M15</f>
        <v>319767.20501046622</v>
      </c>
      <c r="N92" s="750">
        <f>N77*'Calendar Assumptions'!N15</f>
        <v>329360.22116078017</v>
      </c>
      <c r="O92" s="750">
        <f>O77*'Calendar Assumptions'!O15</f>
        <v>339241.02779560362</v>
      </c>
      <c r="P92" s="750">
        <f>P77*'Calendar Assumptions'!P15</f>
        <v>349418.2586294717</v>
      </c>
    </row>
    <row r="93" spans="1:16" ht="15.75" customHeight="1">
      <c r="A93" s="292"/>
      <c r="B93" s="292"/>
      <c r="C93" s="292"/>
      <c r="D93" s="292"/>
      <c r="E93" s="292"/>
      <c r="F93" s="741">
        <f t="shared" ref="F93:P93" si="20">SUM(F82:F92)</f>
        <v>4640575</v>
      </c>
      <c r="G93" s="741">
        <f t="shared" si="20"/>
        <v>4881262.7</v>
      </c>
      <c r="H93" s="741">
        <f t="shared" si="20"/>
        <v>5132215.1445000013</v>
      </c>
      <c r="I93" s="741">
        <f t="shared" si="20"/>
        <v>5665789.495000001</v>
      </c>
      <c r="J93" s="741">
        <f t="shared" si="20"/>
        <v>5835763.1798500009</v>
      </c>
      <c r="K93" s="741">
        <f t="shared" si="20"/>
        <v>6010836.0752454987</v>
      </c>
      <c r="L93" s="741">
        <f t="shared" si="20"/>
        <v>6191161.1575028645</v>
      </c>
      <c r="M93" s="741">
        <f t="shared" si="20"/>
        <v>6376895.9922279511</v>
      </c>
      <c r="N93" s="741">
        <f t="shared" si="20"/>
        <v>6568202.8719947897</v>
      </c>
      <c r="O93" s="741">
        <f t="shared" si="20"/>
        <v>6765248.9581546318</v>
      </c>
      <c r="P93" s="741">
        <f t="shared" si="20"/>
        <v>6968206.4268992729</v>
      </c>
    </row>
    <row r="94" spans="1:16" ht="15.75" customHeight="1">
      <c r="A94" s="292"/>
      <c r="B94" s="292"/>
      <c r="C94" s="292"/>
      <c r="D94" s="292"/>
      <c r="E94" s="292"/>
      <c r="F94" s="741"/>
      <c r="G94" s="741"/>
      <c r="H94" s="741"/>
      <c r="I94" s="741"/>
      <c r="J94" s="741"/>
      <c r="K94" s="741"/>
      <c r="L94" s="741"/>
      <c r="M94" s="741"/>
      <c r="N94" s="741"/>
      <c r="O94" s="741"/>
      <c r="P94" s="741"/>
    </row>
    <row r="95" spans="1:16" ht="15.75" customHeight="1">
      <c r="A95" s="292"/>
      <c r="B95" s="292"/>
      <c r="C95" s="292"/>
      <c r="D95" s="292"/>
      <c r="E95" s="292"/>
      <c r="F95" s="741"/>
      <c r="G95" s="741"/>
      <c r="H95" s="741"/>
      <c r="I95" s="741"/>
      <c r="J95" s="741"/>
      <c r="K95" s="741"/>
      <c r="L95" s="741"/>
      <c r="M95" s="741"/>
      <c r="N95" s="741"/>
      <c r="O95" s="741"/>
      <c r="P95" s="741"/>
    </row>
    <row r="96" spans="1:16" ht="15.75" customHeight="1">
      <c r="A96" s="292"/>
      <c r="B96" s="1426" t="s">
        <v>1550</v>
      </c>
      <c r="C96" s="1305"/>
      <c r="D96" s="751" t="s">
        <v>1540</v>
      </c>
      <c r="E96" s="752"/>
      <c r="F96" s="735" t="str">
        <f t="shared" ref="F96:P96" si="21">F80</f>
        <v>FY28</v>
      </c>
      <c r="G96" s="735" t="str">
        <f t="shared" si="21"/>
        <v>FY29</v>
      </c>
      <c r="H96" s="735" t="str">
        <f t="shared" si="21"/>
        <v>FY30</v>
      </c>
      <c r="I96" s="735" t="str">
        <f t="shared" si="21"/>
        <v>FY31</v>
      </c>
      <c r="J96" s="735" t="str">
        <f t="shared" si="21"/>
        <v>FY32</v>
      </c>
      <c r="K96" s="735" t="str">
        <f t="shared" si="21"/>
        <v>FY33</v>
      </c>
      <c r="L96" s="735" t="str">
        <f t="shared" si="21"/>
        <v>FY34</v>
      </c>
      <c r="M96" s="735" t="str">
        <f t="shared" si="21"/>
        <v>FY35</v>
      </c>
      <c r="N96" s="735" t="str">
        <f t="shared" si="21"/>
        <v>FY36</v>
      </c>
      <c r="O96" s="735" t="str">
        <f t="shared" si="21"/>
        <v>FY37</v>
      </c>
      <c r="P96" s="735" t="str">
        <f t="shared" si="21"/>
        <v>FY38</v>
      </c>
    </row>
    <row r="97" spans="1:16" ht="15.75" customHeight="1">
      <c r="A97" s="292"/>
      <c r="B97" s="753"/>
      <c r="C97" s="24" t="s">
        <v>261</v>
      </c>
      <c r="D97" s="739">
        <f>'Calendar Assumptions'!D41*'Calendar Assumptions'!E41</f>
        <v>4000</v>
      </c>
      <c r="E97" s="754"/>
      <c r="F97" s="755">
        <f t="shared" ref="F97:P97" si="22">MAX(F51,F82)</f>
        <v>910787.79999999993</v>
      </c>
      <c r="G97" s="755">
        <f t="shared" si="22"/>
        <v>958026.64880000008</v>
      </c>
      <c r="H97" s="755">
        <f t="shared" si="22"/>
        <v>1007280.1195080001</v>
      </c>
      <c r="I97" s="755">
        <f t="shared" si="22"/>
        <v>1112002.7042799999</v>
      </c>
      <c r="J97" s="755">
        <f t="shared" si="22"/>
        <v>1145362.7854084</v>
      </c>
      <c r="K97" s="755">
        <f t="shared" si="22"/>
        <v>1179723.6689706519</v>
      </c>
      <c r="L97" s="755">
        <f t="shared" si="22"/>
        <v>1215115.3790397716</v>
      </c>
      <c r="M97" s="755">
        <f t="shared" si="22"/>
        <v>1251568.8404109648</v>
      </c>
      <c r="N97" s="755">
        <f t="shared" si="22"/>
        <v>1289115.9056232939</v>
      </c>
      <c r="O97" s="755">
        <f t="shared" si="22"/>
        <v>1327789.382791993</v>
      </c>
      <c r="P97" s="755">
        <f t="shared" si="22"/>
        <v>1367623.0642757528</v>
      </c>
    </row>
    <row r="98" spans="1:16" ht="15.75" customHeight="1">
      <c r="A98" s="292"/>
      <c r="B98" s="753"/>
      <c r="C98" s="24" t="s">
        <v>263</v>
      </c>
      <c r="D98" s="739">
        <f>'Calendar Assumptions'!D42*'Calendar Assumptions'!E42</f>
        <v>2400</v>
      </c>
      <c r="E98" s="754"/>
      <c r="F98" s="755">
        <f t="shared" ref="F98:P98" si="23">MAX(F52,F83)</f>
        <v>517710.95999999996</v>
      </c>
      <c r="G98" s="755">
        <f t="shared" si="23"/>
        <v>544562.51616000012</v>
      </c>
      <c r="H98" s="755">
        <f t="shared" si="23"/>
        <v>572559.22582559998</v>
      </c>
      <c r="I98" s="755">
        <f t="shared" si="23"/>
        <v>632085.74769600003</v>
      </c>
      <c r="J98" s="755">
        <f t="shared" si="23"/>
        <v>651048.32012687996</v>
      </c>
      <c r="K98" s="755">
        <f t="shared" si="23"/>
        <v>670579.76973068656</v>
      </c>
      <c r="L98" s="755">
        <f t="shared" si="23"/>
        <v>690697.16282260697</v>
      </c>
      <c r="M98" s="755">
        <f t="shared" si="23"/>
        <v>711418.07770728529</v>
      </c>
      <c r="N98" s="755">
        <f t="shared" si="23"/>
        <v>732760.62003850378</v>
      </c>
      <c r="O98" s="755">
        <f t="shared" si="23"/>
        <v>754743.43863965897</v>
      </c>
      <c r="P98" s="755">
        <f t="shared" si="23"/>
        <v>777385.74179884896</v>
      </c>
    </row>
    <row r="99" spans="1:16" ht="15.75" customHeight="1">
      <c r="A99" s="292"/>
      <c r="B99" s="753"/>
      <c r="C99" s="24" t="s">
        <v>265</v>
      </c>
      <c r="D99" s="739">
        <f>'Calendar Assumptions'!D43*'Calendar Assumptions'!E43</f>
        <v>1350</v>
      </c>
      <c r="E99" s="754"/>
      <c r="F99" s="755">
        <f t="shared" ref="F99:P99" si="24">MAX(F53,F84)</f>
        <v>207335.7</v>
      </c>
      <c r="G99" s="755">
        <f t="shared" si="24"/>
        <v>218089.3572</v>
      </c>
      <c r="H99" s="755">
        <f t="shared" si="24"/>
        <v>229301.63170200001</v>
      </c>
      <c r="I99" s="755">
        <f t="shared" si="24"/>
        <v>253141.13682000001</v>
      </c>
      <c r="J99" s="755">
        <f t="shared" si="24"/>
        <v>260735.37092459999</v>
      </c>
      <c r="K99" s="755">
        <f t="shared" si="24"/>
        <v>268557.43205233797</v>
      </c>
      <c r="L99" s="755">
        <f t="shared" si="24"/>
        <v>276614.15501390817</v>
      </c>
      <c r="M99" s="755">
        <f t="shared" si="24"/>
        <v>284912.5796643254</v>
      </c>
      <c r="N99" s="755">
        <f t="shared" si="24"/>
        <v>293459.95705425518</v>
      </c>
      <c r="O99" s="755">
        <f t="shared" si="24"/>
        <v>302263.75576588284</v>
      </c>
      <c r="P99" s="755">
        <f t="shared" si="24"/>
        <v>311331.66843885934</v>
      </c>
    </row>
    <row r="100" spans="1:16" ht="15.75" customHeight="1">
      <c r="A100" s="292"/>
      <c r="B100" s="753"/>
      <c r="C100" s="756" t="s">
        <v>1541</v>
      </c>
      <c r="D100" s="739">
        <f>'Calendar Assumptions'!D44*'Calendar Assumptions'!E44</f>
        <v>3150</v>
      </c>
      <c r="E100" s="754"/>
      <c r="F100" s="755">
        <f t="shared" ref="F100:P100" si="25">MAX(F54,F85)</f>
        <v>818033.58</v>
      </c>
      <c r="G100" s="755">
        <f t="shared" si="25"/>
        <v>860461.64568000019</v>
      </c>
      <c r="H100" s="755">
        <f t="shared" si="25"/>
        <v>904699.16507880017</v>
      </c>
      <c r="I100" s="755">
        <f t="shared" si="25"/>
        <v>998756.84890800004</v>
      </c>
      <c r="J100" s="755">
        <f t="shared" si="25"/>
        <v>1028719.5543752401</v>
      </c>
      <c r="K100" s="755">
        <f t="shared" si="25"/>
        <v>1059581.1410064974</v>
      </c>
      <c r="L100" s="755">
        <f t="shared" si="25"/>
        <v>1091368.5752366923</v>
      </c>
      <c r="M100" s="755">
        <f t="shared" si="25"/>
        <v>1124109.6324937933</v>
      </c>
      <c r="N100" s="755">
        <f t="shared" si="25"/>
        <v>1157832.9214686072</v>
      </c>
      <c r="O100" s="755">
        <f t="shared" si="25"/>
        <v>1192567.9091126653</v>
      </c>
      <c r="P100" s="755">
        <f t="shared" si="25"/>
        <v>1228344.9463860453</v>
      </c>
    </row>
    <row r="101" spans="1:16" ht="15.75" customHeight="1">
      <c r="A101" s="292"/>
      <c r="B101" s="753"/>
      <c r="C101" s="756" t="s">
        <v>1076</v>
      </c>
      <c r="D101" s="739">
        <f>'Calendar Assumptions'!D45*'Calendar Assumptions'!E45</f>
        <v>3150</v>
      </c>
      <c r="E101" s="754"/>
      <c r="F101" s="755">
        <f t="shared" ref="F101:P101" si="26">MAX(F55,F86)</f>
        <v>566246.36250000005</v>
      </c>
      <c r="G101" s="755">
        <f t="shared" si="26"/>
        <v>595615.25205000013</v>
      </c>
      <c r="H101" s="755">
        <f t="shared" si="26"/>
        <v>626236.65324675001</v>
      </c>
      <c r="I101" s="755">
        <f t="shared" si="26"/>
        <v>691343.78654250002</v>
      </c>
      <c r="J101" s="755">
        <f t="shared" si="26"/>
        <v>712084.10013877507</v>
      </c>
      <c r="K101" s="755">
        <f t="shared" si="26"/>
        <v>733446.62314293825</v>
      </c>
      <c r="L101" s="755">
        <f t="shared" si="26"/>
        <v>755450.02183722646</v>
      </c>
      <c r="M101" s="755">
        <f t="shared" si="26"/>
        <v>778113.52249234321</v>
      </c>
      <c r="N101" s="755">
        <f t="shared" si="26"/>
        <v>801456.92816711357</v>
      </c>
      <c r="O101" s="755">
        <f t="shared" si="26"/>
        <v>825500.63601212716</v>
      </c>
      <c r="P101" s="755">
        <f t="shared" si="26"/>
        <v>850265.65509249095</v>
      </c>
    </row>
    <row r="102" spans="1:16" ht="15.75" customHeight="1">
      <c r="A102" s="292"/>
      <c r="B102" s="753"/>
      <c r="C102" s="756" t="s">
        <v>1078</v>
      </c>
      <c r="D102" s="739">
        <f>'Calendar Assumptions'!D46*'Calendar Assumptions'!E46</f>
        <v>3150</v>
      </c>
      <c r="E102" s="754"/>
      <c r="F102" s="755">
        <f t="shared" ref="F102:P102" si="27">MAX(F56,F87)</f>
        <v>566246.36250000005</v>
      </c>
      <c r="G102" s="755">
        <f t="shared" si="27"/>
        <v>595615.25205000013</v>
      </c>
      <c r="H102" s="755">
        <f t="shared" si="27"/>
        <v>626236.65324675001</v>
      </c>
      <c r="I102" s="755">
        <f t="shared" si="27"/>
        <v>691343.78654250002</v>
      </c>
      <c r="J102" s="755">
        <f t="shared" si="27"/>
        <v>712084.10013877507</v>
      </c>
      <c r="K102" s="755">
        <f t="shared" si="27"/>
        <v>733446.62314293825</v>
      </c>
      <c r="L102" s="755">
        <f t="shared" si="27"/>
        <v>755450.02183722646</v>
      </c>
      <c r="M102" s="755">
        <f t="shared" si="27"/>
        <v>778113.52249234321</v>
      </c>
      <c r="N102" s="755">
        <f t="shared" si="27"/>
        <v>801456.92816711357</v>
      </c>
      <c r="O102" s="755">
        <f t="shared" si="27"/>
        <v>825500.63601212716</v>
      </c>
      <c r="P102" s="755">
        <f t="shared" si="27"/>
        <v>850265.65509249095</v>
      </c>
    </row>
    <row r="103" spans="1:16" ht="15.75" customHeight="1">
      <c r="A103" s="292"/>
      <c r="B103" s="753"/>
      <c r="C103" s="756" t="s">
        <v>1080</v>
      </c>
      <c r="D103" s="739">
        <f>'Calendar Assumptions'!D47*'Calendar Assumptions'!E47</f>
        <v>2800</v>
      </c>
      <c r="E103" s="754"/>
      <c r="F103" s="755">
        <f t="shared" ref="F103:P103" si="28">MAX(F57,F88)</f>
        <v>107400</v>
      </c>
      <c r="G103" s="755">
        <f t="shared" si="28"/>
        <v>112970.4</v>
      </c>
      <c r="H103" s="755">
        <f t="shared" si="28"/>
        <v>118778.36400000002</v>
      </c>
      <c r="I103" s="755">
        <f t="shared" si="28"/>
        <v>131127.24</v>
      </c>
      <c r="J103" s="755">
        <f t="shared" si="28"/>
        <v>135061.05720000001</v>
      </c>
      <c r="K103" s="755">
        <f t="shared" si="28"/>
        <v>139112.888916</v>
      </c>
      <c r="L103" s="755">
        <f t="shared" si="28"/>
        <v>143286.27558347999</v>
      </c>
      <c r="M103" s="755">
        <f t="shared" si="28"/>
        <v>147584.8638509844</v>
      </c>
      <c r="N103" s="755">
        <f t="shared" si="28"/>
        <v>152012.40976651394</v>
      </c>
      <c r="O103" s="755">
        <f t="shared" si="28"/>
        <v>156572.78205950937</v>
      </c>
      <c r="P103" s="755">
        <f t="shared" si="28"/>
        <v>161269.96552129462</v>
      </c>
    </row>
    <row r="104" spans="1:16" ht="15.75" customHeight="1">
      <c r="A104" s="292"/>
      <c r="B104" s="753"/>
      <c r="C104" s="756" t="s">
        <v>311</v>
      </c>
      <c r="D104" s="739">
        <f>'Calendar Assumptions'!D48*'Calendar Assumptions'!E48</f>
        <v>2450</v>
      </c>
      <c r="E104" s="754"/>
      <c r="F104" s="755">
        <f t="shared" ref="F104:P104" si="29">MAX(F58,F89)</f>
        <v>1038200.0000000001</v>
      </c>
      <c r="G104" s="755">
        <f t="shared" si="29"/>
        <v>1092047.2</v>
      </c>
      <c r="H104" s="755">
        <f t="shared" si="29"/>
        <v>1148190.8520000002</v>
      </c>
      <c r="I104" s="755">
        <f t="shared" si="29"/>
        <v>1267563.32</v>
      </c>
      <c r="J104" s="755">
        <f t="shared" si="29"/>
        <v>1305590.2196000002</v>
      </c>
      <c r="K104" s="755">
        <f t="shared" si="29"/>
        <v>1344757.926188</v>
      </c>
      <c r="L104" s="755">
        <f t="shared" si="29"/>
        <v>1385100.66397364</v>
      </c>
      <c r="M104" s="755">
        <f t="shared" si="29"/>
        <v>1426653.6838928491</v>
      </c>
      <c r="N104" s="755">
        <f t="shared" si="29"/>
        <v>1469453.2944096348</v>
      </c>
      <c r="O104" s="755">
        <f t="shared" si="29"/>
        <v>1513536.8932419238</v>
      </c>
      <c r="P104" s="755">
        <f t="shared" si="29"/>
        <v>1558943.0000391814</v>
      </c>
    </row>
    <row r="105" spans="1:16" ht="15.75" customHeight="1">
      <c r="A105" s="292"/>
      <c r="B105" s="753"/>
      <c r="C105" s="756" t="s">
        <v>272</v>
      </c>
      <c r="D105" s="739">
        <f>'Calendar Assumptions'!D49*'Calendar Assumptions'!E49</f>
        <v>2000</v>
      </c>
      <c r="E105" s="754"/>
      <c r="F105" s="755">
        <f t="shared" ref="F105:P105" si="30">MAX(F59,F90)</f>
        <v>107400</v>
      </c>
      <c r="G105" s="755">
        <f t="shared" si="30"/>
        <v>112970.4</v>
      </c>
      <c r="H105" s="755">
        <f t="shared" si="30"/>
        <v>118778.36400000002</v>
      </c>
      <c r="I105" s="755">
        <f t="shared" si="30"/>
        <v>131127.24</v>
      </c>
      <c r="J105" s="755">
        <f t="shared" si="30"/>
        <v>135061.05720000001</v>
      </c>
      <c r="K105" s="755">
        <f t="shared" si="30"/>
        <v>139112.888916</v>
      </c>
      <c r="L105" s="755">
        <f t="shared" si="30"/>
        <v>143286.27558347999</v>
      </c>
      <c r="M105" s="755">
        <f t="shared" si="30"/>
        <v>147584.8638509844</v>
      </c>
      <c r="N105" s="755">
        <f t="shared" si="30"/>
        <v>152012.40976651394</v>
      </c>
      <c r="O105" s="755">
        <f t="shared" si="30"/>
        <v>156572.78205950937</v>
      </c>
      <c r="P105" s="755">
        <f t="shared" si="30"/>
        <v>161269.96552129462</v>
      </c>
    </row>
    <row r="106" spans="1:16" ht="15.75" customHeight="1">
      <c r="A106" s="292"/>
      <c r="B106" s="753"/>
      <c r="C106" s="756" t="s">
        <v>1542</v>
      </c>
      <c r="D106" s="739">
        <f>'Calendar Assumptions'!D50*'Calendar Assumptions'!E50</f>
        <v>2000</v>
      </c>
      <c r="E106" s="754"/>
      <c r="F106" s="755">
        <f t="shared" ref="F106:P106" si="31">MAX(F60,F91)</f>
        <v>71600</v>
      </c>
      <c r="G106" s="755">
        <f t="shared" si="31"/>
        <v>75313.600000000006</v>
      </c>
      <c r="H106" s="755">
        <f t="shared" si="31"/>
        <v>79185.576000000001</v>
      </c>
      <c r="I106" s="755">
        <f t="shared" si="31"/>
        <v>87418.16</v>
      </c>
      <c r="J106" s="755">
        <f t="shared" si="31"/>
        <v>90040.704800000007</v>
      </c>
      <c r="K106" s="755">
        <f t="shared" si="31"/>
        <v>92741.925944000002</v>
      </c>
      <c r="L106" s="755">
        <f t="shared" si="31"/>
        <v>95524.183722319998</v>
      </c>
      <c r="M106" s="755">
        <f t="shared" si="31"/>
        <v>98389.909233989601</v>
      </c>
      <c r="N106" s="755">
        <f t="shared" si="31"/>
        <v>101341.60651100929</v>
      </c>
      <c r="O106" s="755">
        <f t="shared" si="31"/>
        <v>104381.85470633957</v>
      </c>
      <c r="P106" s="755">
        <f t="shared" si="31"/>
        <v>107513.31034752975</v>
      </c>
    </row>
    <row r="107" spans="1:16" ht="15.75" customHeight="1">
      <c r="A107" s="292"/>
      <c r="B107" s="753"/>
      <c r="C107" s="756" t="s">
        <v>1543</v>
      </c>
      <c r="D107" s="739">
        <f>'Calendar Assumptions'!D51*'Calendar Assumptions'!E51</f>
        <v>4000</v>
      </c>
      <c r="E107" s="754"/>
      <c r="F107" s="755">
        <f t="shared" ref="F107:P107" si="32">MAX(F61,F92)</f>
        <v>232700</v>
      </c>
      <c r="G107" s="755">
        <f t="shared" si="32"/>
        <v>244769.19999999998</v>
      </c>
      <c r="H107" s="755">
        <f t="shared" si="32"/>
        <v>257353.12200000003</v>
      </c>
      <c r="I107" s="755">
        <f t="shared" si="32"/>
        <v>284109.02</v>
      </c>
      <c r="J107" s="755">
        <f t="shared" si="32"/>
        <v>292632.29060000001</v>
      </c>
      <c r="K107" s="755">
        <f t="shared" si="32"/>
        <v>301411.259318</v>
      </c>
      <c r="L107" s="755">
        <f t="shared" si="32"/>
        <v>310453.59709753998</v>
      </c>
      <c r="M107" s="755">
        <f t="shared" si="32"/>
        <v>319767.20501046622</v>
      </c>
      <c r="N107" s="755">
        <f t="shared" si="32"/>
        <v>329360.22116078017</v>
      </c>
      <c r="O107" s="755">
        <f t="shared" si="32"/>
        <v>339241.02779560362</v>
      </c>
      <c r="P107" s="755">
        <f t="shared" si="32"/>
        <v>349418.2586294717</v>
      </c>
    </row>
    <row r="108" spans="1:16" ht="15.75" customHeight="1">
      <c r="A108" s="292"/>
      <c r="B108" s="752"/>
      <c r="C108" s="752"/>
      <c r="D108" s="752"/>
      <c r="E108" s="752"/>
      <c r="F108" s="757">
        <f t="shared" ref="F108:P108" si="33">SUM(F97:F107)</f>
        <v>5143660.7649999997</v>
      </c>
      <c r="G108" s="757">
        <f t="shared" si="33"/>
        <v>5410441.4719400005</v>
      </c>
      <c r="H108" s="757">
        <f t="shared" si="33"/>
        <v>5688599.726607901</v>
      </c>
      <c r="I108" s="757">
        <f t="shared" si="33"/>
        <v>6280018.9907890018</v>
      </c>
      <c r="J108" s="757">
        <f t="shared" si="33"/>
        <v>6468419.5605126703</v>
      </c>
      <c r="K108" s="757">
        <f t="shared" si="33"/>
        <v>6662472.1473280489</v>
      </c>
      <c r="L108" s="757">
        <f t="shared" si="33"/>
        <v>6862346.3117478909</v>
      </c>
      <c r="M108" s="757">
        <f t="shared" si="33"/>
        <v>7068216.7011003289</v>
      </c>
      <c r="N108" s="757">
        <f t="shared" si="33"/>
        <v>7280263.2021333389</v>
      </c>
      <c r="O108" s="757">
        <f t="shared" si="33"/>
        <v>7498671.0981973391</v>
      </c>
      <c r="P108" s="757">
        <f t="shared" si="33"/>
        <v>7723631.2311432613</v>
      </c>
    </row>
    <row r="109" spans="1:16" ht="15.75" customHeight="1">
      <c r="A109" s="292"/>
      <c r="B109" s="292"/>
      <c r="C109" s="292"/>
      <c r="D109" s="292"/>
      <c r="E109" s="292"/>
      <c r="F109" s="741"/>
      <c r="G109" s="741"/>
      <c r="H109" s="741"/>
      <c r="I109" s="741"/>
      <c r="J109" s="741"/>
      <c r="K109" s="741"/>
      <c r="L109" s="741"/>
      <c r="M109" s="741"/>
      <c r="N109" s="741"/>
      <c r="O109" s="741"/>
      <c r="P109" s="741"/>
    </row>
    <row r="110" spans="1:16" ht="15.75" customHeight="1">
      <c r="A110" s="292"/>
      <c r="B110" s="292"/>
      <c r="C110" s="292"/>
      <c r="D110" s="292"/>
      <c r="E110" s="237" t="s">
        <v>192</v>
      </c>
      <c r="F110" s="227"/>
      <c r="G110" s="227"/>
      <c r="H110" s="227"/>
      <c r="I110" s="227"/>
      <c r="J110" s="227"/>
      <c r="K110" s="227"/>
      <c r="L110" s="227"/>
      <c r="M110" s="227"/>
      <c r="N110" s="227"/>
      <c r="O110" s="227"/>
      <c r="P110" s="227"/>
    </row>
    <row r="111" spans="1:16" ht="15.75" customHeight="1">
      <c r="A111" s="292"/>
      <c r="B111" s="24" t="s">
        <v>1551</v>
      </c>
      <c r="C111" s="292"/>
      <c r="D111" s="237" t="s">
        <v>1545</v>
      </c>
      <c r="E111" s="292"/>
      <c r="F111" s="748" t="str">
        <f t="shared" ref="F111:P111" si="34">F80</f>
        <v>FY28</v>
      </c>
      <c r="G111" s="748" t="str">
        <f t="shared" si="34"/>
        <v>FY29</v>
      </c>
      <c r="H111" s="748" t="str">
        <f t="shared" si="34"/>
        <v>FY30</v>
      </c>
      <c r="I111" s="748" t="str">
        <f t="shared" si="34"/>
        <v>FY31</v>
      </c>
      <c r="J111" s="748" t="str">
        <f t="shared" si="34"/>
        <v>FY32</v>
      </c>
      <c r="K111" s="748" t="str">
        <f t="shared" si="34"/>
        <v>FY33</v>
      </c>
      <c r="L111" s="748" t="str">
        <f t="shared" si="34"/>
        <v>FY34</v>
      </c>
      <c r="M111" s="748" t="str">
        <f t="shared" si="34"/>
        <v>FY35</v>
      </c>
      <c r="N111" s="748" t="str">
        <f t="shared" si="34"/>
        <v>FY36</v>
      </c>
      <c r="O111" s="748" t="str">
        <f t="shared" si="34"/>
        <v>FY37</v>
      </c>
      <c r="P111" s="748" t="str">
        <f t="shared" si="34"/>
        <v>FY38</v>
      </c>
    </row>
    <row r="112" spans="1:16" ht="15.75" customHeight="1">
      <c r="A112" s="292"/>
      <c r="B112" s="24"/>
      <c r="C112" s="292"/>
      <c r="D112" s="237"/>
      <c r="E112" s="292"/>
      <c r="F112" s="227"/>
      <c r="G112" s="227"/>
      <c r="H112" s="227"/>
      <c r="I112" s="227"/>
      <c r="J112" s="227"/>
      <c r="K112" s="227"/>
      <c r="L112" s="227"/>
      <c r="M112" s="227"/>
      <c r="N112" s="227"/>
      <c r="O112" s="227"/>
      <c r="P112" s="227"/>
    </row>
    <row r="113" spans="1:16" ht="15.75" customHeight="1">
      <c r="A113" s="292"/>
      <c r="B113" s="223">
        <v>1</v>
      </c>
      <c r="C113" s="24" t="s">
        <v>261</v>
      </c>
      <c r="D113" s="743">
        <f>Inputs!$E$334</f>
        <v>50</v>
      </c>
      <c r="E113" s="292"/>
      <c r="F113" s="750">
        <f>F21*'Calendar Assumptions'!F5*$D$113*Inputs!$E$335</f>
        <v>131363.625</v>
      </c>
      <c r="G113" s="750">
        <f>G21*'Calendar Assumptions'!G5*$D$113*Inputs!$E$335</f>
        <v>138176.92050000001</v>
      </c>
      <c r="H113" s="750">
        <f>H21*'Calendar Assumptions'!H5*$D$113*Inputs!$E$335</f>
        <v>145280.78646750003</v>
      </c>
      <c r="I113" s="750">
        <f>I21*'Calendar Assumptions'!I5*$D$113*Inputs!$E$335</f>
        <v>160385.00542499998</v>
      </c>
      <c r="J113" s="750">
        <f>J21*'Calendar Assumptions'!J5*$D$113*Inputs!$E$335</f>
        <v>165196.55558775002</v>
      </c>
      <c r="K113" s="750">
        <f>K21*'Calendar Assumptions'!K5*$D$113*Inputs!$E$335</f>
        <v>170152.45225538249</v>
      </c>
      <c r="L113" s="750">
        <f>L21*'Calendar Assumptions'!L5*$D$113*Inputs!$E$335</f>
        <v>175257.02582304398</v>
      </c>
      <c r="M113" s="750">
        <f>M21*'Calendar Assumptions'!M5*$D$113*Inputs!$E$335</f>
        <v>180514.73659773532</v>
      </c>
      <c r="N113" s="750">
        <f>N21*'Calendar Assumptions'!N5*$D$113*Inputs!$E$335</f>
        <v>185930.17869566736</v>
      </c>
      <c r="O113" s="750">
        <f>O21*'Calendar Assumptions'!O5*$D$113*Inputs!$E$335</f>
        <v>191508.08405653739</v>
      </c>
      <c r="P113" s="750">
        <f>P21*'Calendar Assumptions'!P5*$D$113*Inputs!$E$335</f>
        <v>197253.32657823354</v>
      </c>
    </row>
    <row r="114" spans="1:16" ht="15.75" customHeight="1">
      <c r="A114" s="292"/>
      <c r="B114" s="223">
        <v>2</v>
      </c>
      <c r="C114" s="24" t="s">
        <v>263</v>
      </c>
      <c r="D114" s="743">
        <f>Inputs!$E$334</f>
        <v>50</v>
      </c>
      <c r="E114" s="292"/>
      <c r="F114" s="750">
        <f>F22*'Calendar Assumptions'!F6*$D$113*Inputs!$E$335</f>
        <v>124449.75</v>
      </c>
      <c r="G114" s="750">
        <f>G22*'Calendar Assumptions'!G6*$D$113*Inputs!$E$335</f>
        <v>130904.451</v>
      </c>
      <c r="H114" s="750">
        <f>H22*'Calendar Assumptions'!H6*$D$113*Inputs!$E$335</f>
        <v>137634.42928499999</v>
      </c>
      <c r="I114" s="750">
        <f>I22*'Calendar Assumptions'!I6*$D$113*Inputs!$E$335</f>
        <v>151943.68935</v>
      </c>
      <c r="J114" s="750">
        <f>J22*'Calendar Assumptions'!J6*$D$113*Inputs!$E$335</f>
        <v>156502.0000305</v>
      </c>
      <c r="K114" s="750">
        <f>K22*'Calendar Assumptions'!K6*$D$113*Inputs!$E$335</f>
        <v>161197.06003141502</v>
      </c>
      <c r="L114" s="750">
        <f>L22*'Calendar Assumptions'!L6*$D$113*Inputs!$E$335</f>
        <v>166032.97183235746</v>
      </c>
      <c r="M114" s="750">
        <f>M22*'Calendar Assumptions'!M6*$D$113*Inputs!$E$335</f>
        <v>171013.9609873282</v>
      </c>
      <c r="N114" s="750">
        <f>N22*'Calendar Assumptions'!N6*$D$113*Inputs!$E$335</f>
        <v>176144.37981694803</v>
      </c>
      <c r="O114" s="750">
        <f>O22*'Calendar Assumptions'!O6*$D$113*Inputs!$E$335</f>
        <v>181428.71121145651</v>
      </c>
      <c r="P114" s="750">
        <f>P22*'Calendar Assumptions'!P6*$D$113*Inputs!$E$335</f>
        <v>186871.5725478002</v>
      </c>
    </row>
    <row r="115" spans="1:16" ht="15.75" customHeight="1">
      <c r="A115" s="292"/>
      <c r="B115" s="223">
        <v>3</v>
      </c>
      <c r="C115" s="24" t="s">
        <v>265</v>
      </c>
      <c r="D115" s="743">
        <f>Inputs!$E$334</f>
        <v>50</v>
      </c>
      <c r="E115" s="292"/>
      <c r="F115" s="750">
        <f>F23*'Calendar Assumptions'!F7*$D$113*Inputs!$E$335</f>
        <v>88605.000000000015</v>
      </c>
      <c r="G115" s="750">
        <f>G23*'Calendar Assumptions'!G7*$D$113*Inputs!$E$335</f>
        <v>93200.580000000016</v>
      </c>
      <c r="H115" s="750">
        <f>H23*'Calendar Assumptions'!H7*$D$113*Inputs!$E$335</f>
        <v>97992.150300000008</v>
      </c>
      <c r="I115" s="750">
        <f>I23*'Calendar Assumptions'!I7*$D$113*Inputs!$E$335</f>
        <v>108179.973</v>
      </c>
      <c r="J115" s="750">
        <f>J23*'Calendar Assumptions'!J7*$D$113*Inputs!$E$335</f>
        <v>111425.37218999998</v>
      </c>
      <c r="K115" s="750">
        <f>K23*'Calendar Assumptions'!K7*$D$113*Inputs!$E$335</f>
        <v>114768.1333557</v>
      </c>
      <c r="L115" s="750">
        <f>L23*'Calendar Assumptions'!L7*$D$113*Inputs!$E$335</f>
        <v>118211.17735637099</v>
      </c>
      <c r="M115" s="750">
        <f>M23*'Calendar Assumptions'!M7*$D$113*Inputs!$E$335</f>
        <v>121757.51267706214</v>
      </c>
      <c r="N115" s="750">
        <f>N23*'Calendar Assumptions'!N7*$D$113*Inputs!$E$335</f>
        <v>125410.23805737401</v>
      </c>
      <c r="O115" s="750">
        <f>O23*'Calendar Assumptions'!O7*$D$113*Inputs!$E$335</f>
        <v>129172.54519909521</v>
      </c>
      <c r="P115" s="750">
        <f>P23*'Calendar Assumptions'!P7*$D$113*Inputs!$E$335</f>
        <v>133047.7215550681</v>
      </c>
    </row>
    <row r="116" spans="1:16" ht="15.75" customHeight="1">
      <c r="A116" s="292"/>
      <c r="B116" s="223">
        <v>4</v>
      </c>
      <c r="C116" s="24" t="s">
        <v>1541</v>
      </c>
      <c r="D116" s="743">
        <f>Inputs!$E$334</f>
        <v>50</v>
      </c>
      <c r="E116" s="292"/>
      <c r="F116" s="750">
        <f>F24*'Calendar Assumptions'!F8*$D$113*Inputs!$E$335</f>
        <v>149823</v>
      </c>
      <c r="G116" s="750">
        <f>G24*'Calendar Assumptions'!G8*$D$113*Inputs!$E$335</f>
        <v>157593.70800000001</v>
      </c>
      <c r="H116" s="750">
        <f>H24*'Calendar Assumptions'!H8*$D$113*Inputs!$E$335</f>
        <v>165695.81777999998</v>
      </c>
      <c r="I116" s="750">
        <f>I24*'Calendar Assumptions'!I8*$D$113*Inputs!$E$335</f>
        <v>182922.49980000005</v>
      </c>
      <c r="J116" s="750">
        <f>J24*'Calendar Assumptions'!J8*$D$113*Inputs!$E$335</f>
        <v>188410.17479400002</v>
      </c>
      <c r="K116" s="750">
        <f>K24*'Calendar Assumptions'!K8*$D$113*Inputs!$E$335</f>
        <v>194062.48003782003</v>
      </c>
      <c r="L116" s="750">
        <f>L24*'Calendar Assumptions'!L8*$D$113*Inputs!$E$335</f>
        <v>199884.35443895464</v>
      </c>
      <c r="M116" s="750">
        <f>M24*'Calendar Assumptions'!M8*$D$113*Inputs!$E$335</f>
        <v>205880.88507212326</v>
      </c>
      <c r="N116" s="750">
        <f>N24*'Calendar Assumptions'!N8*$D$113*Inputs!$E$335</f>
        <v>212057.31162428699</v>
      </c>
      <c r="O116" s="750">
        <f>O24*'Calendar Assumptions'!O8*$D$113*Inputs!$E$335</f>
        <v>218419.03097301559</v>
      </c>
      <c r="P116" s="750">
        <f>P24*'Calendar Assumptions'!P8*$D$113*Inputs!$E$335</f>
        <v>224971.60190220611</v>
      </c>
    </row>
    <row r="117" spans="1:16" ht="15.75" customHeight="1">
      <c r="A117" s="292"/>
      <c r="B117" s="223">
        <v>5</v>
      </c>
      <c r="C117" s="24" t="s">
        <v>1076</v>
      </c>
      <c r="D117" s="743">
        <f>Inputs!$E$334</f>
        <v>50</v>
      </c>
      <c r="E117" s="292"/>
      <c r="F117" s="750">
        <f>F25*'Calendar Assumptions'!F9*$D$113*Inputs!$E$335</f>
        <v>103708.125</v>
      </c>
      <c r="G117" s="750">
        <f>G25*'Calendar Assumptions'!G9*$D$113*Inputs!$E$335</f>
        <v>109087.04250000001</v>
      </c>
      <c r="H117" s="750">
        <f>H25*'Calendar Assumptions'!H9*$D$113*Inputs!$E$335</f>
        <v>114695.35773750002</v>
      </c>
      <c r="I117" s="750">
        <f>I25*'Calendar Assumptions'!I9*$D$113*Inputs!$E$335</f>
        <v>126619.741125</v>
      </c>
      <c r="J117" s="750">
        <f>J25*'Calendar Assumptions'!J9*$D$113*Inputs!$E$335</f>
        <v>130418.33335875001</v>
      </c>
      <c r="K117" s="750">
        <f>K25*'Calendar Assumptions'!K9*$D$113*Inputs!$E$335</f>
        <v>134330.88335951249</v>
      </c>
      <c r="L117" s="750">
        <f>L25*'Calendar Assumptions'!L9*$D$113*Inputs!$E$335</f>
        <v>138360.80986029789</v>
      </c>
      <c r="M117" s="750">
        <f>M25*'Calendar Assumptions'!M9*$D$113*Inputs!$E$335</f>
        <v>142511.63415610683</v>
      </c>
      <c r="N117" s="750">
        <f>N25*'Calendar Assumptions'!N9*$D$113*Inputs!$E$335</f>
        <v>146786.98318079003</v>
      </c>
      <c r="O117" s="750">
        <f>O25*'Calendar Assumptions'!O9*$D$113*Inputs!$E$335</f>
        <v>151190.59267621374</v>
      </c>
      <c r="P117" s="750">
        <f>P25*'Calendar Assumptions'!P9*$D$113*Inputs!$E$335</f>
        <v>155726.31045650016</v>
      </c>
    </row>
    <row r="118" spans="1:16" ht="15.75" customHeight="1">
      <c r="A118" s="292"/>
      <c r="B118" s="223">
        <v>6</v>
      </c>
      <c r="C118" s="24" t="s">
        <v>1078</v>
      </c>
      <c r="D118" s="743">
        <f>Inputs!$E$334</f>
        <v>50</v>
      </c>
      <c r="E118" s="292"/>
      <c r="F118" s="750">
        <f>F26*'Calendar Assumptions'!F10*$D$113*Inputs!$E$335</f>
        <v>103708.125</v>
      </c>
      <c r="G118" s="750">
        <f>G26*'Calendar Assumptions'!G10*$D$113*Inputs!$E$335</f>
        <v>109087.04250000001</v>
      </c>
      <c r="H118" s="750">
        <f>H26*'Calendar Assumptions'!H10*$D$113*Inputs!$E$335</f>
        <v>114695.35773750002</v>
      </c>
      <c r="I118" s="750">
        <f>I26*'Calendar Assumptions'!I10*$D$113*Inputs!$E$335</f>
        <v>126619.741125</v>
      </c>
      <c r="J118" s="750">
        <f>J26*'Calendar Assumptions'!J10*$D$113*Inputs!$E$335</f>
        <v>130418.33335875001</v>
      </c>
      <c r="K118" s="750">
        <f>K26*'Calendar Assumptions'!K10*$D$113*Inputs!$E$335</f>
        <v>134330.88335951249</v>
      </c>
      <c r="L118" s="750">
        <f>L26*'Calendar Assumptions'!L10*$D$113*Inputs!$E$335</f>
        <v>138360.80986029789</v>
      </c>
      <c r="M118" s="750">
        <f>M26*'Calendar Assumptions'!M10*$D$113*Inputs!$E$335</f>
        <v>142511.63415610683</v>
      </c>
      <c r="N118" s="750">
        <f>N26*'Calendar Assumptions'!N10*$D$113*Inputs!$E$335</f>
        <v>146786.98318079003</v>
      </c>
      <c r="O118" s="750">
        <f>O26*'Calendar Assumptions'!O10*$D$113*Inputs!$E$335</f>
        <v>151190.59267621374</v>
      </c>
      <c r="P118" s="750">
        <f>P26*'Calendar Assumptions'!P10*$D$113*Inputs!$E$335</f>
        <v>155726.31045650016</v>
      </c>
    </row>
    <row r="119" spans="1:16" ht="15.75" customHeight="1">
      <c r="A119" s="292"/>
      <c r="B119" s="223">
        <v>7</v>
      </c>
      <c r="C119" s="24" t="s">
        <v>1080</v>
      </c>
      <c r="D119" s="743">
        <f>Inputs!$E$334</f>
        <v>50</v>
      </c>
      <c r="E119" s="292"/>
      <c r="F119" s="750">
        <f>F27*'Calendar Assumptions'!F11*$D$113*Inputs!$E$335</f>
        <v>20741.625</v>
      </c>
      <c r="G119" s="750">
        <f>G27*'Calendar Assumptions'!G11*$D$113*Inputs!$E$335</f>
        <v>21817.408499999998</v>
      </c>
      <c r="H119" s="750">
        <f>H27*'Calendar Assumptions'!H11*$D$113*Inputs!$E$335</f>
        <v>22939.071547500003</v>
      </c>
      <c r="I119" s="750">
        <f>I27*'Calendar Assumptions'!I11*$D$113*Inputs!$E$335</f>
        <v>25323.948225</v>
      </c>
      <c r="J119" s="750">
        <f>J27*'Calendar Assumptions'!J11*$D$113*Inputs!$E$335</f>
        <v>26083.666671749997</v>
      </c>
      <c r="K119" s="750">
        <f>K27*'Calendar Assumptions'!K11*$D$113*Inputs!$E$335</f>
        <v>26866.176671902504</v>
      </c>
      <c r="L119" s="750">
        <f>L27*'Calendar Assumptions'!L11*$D$113*Inputs!$E$335</f>
        <v>27672.161972059577</v>
      </c>
      <c r="M119" s="750">
        <f>M27*'Calendar Assumptions'!M11*$D$113*Inputs!$E$335</f>
        <v>28502.326831221362</v>
      </c>
      <c r="N119" s="750">
        <f>N27*'Calendar Assumptions'!N11*$D$113*Inputs!$E$335</f>
        <v>29357.396636158006</v>
      </c>
      <c r="O119" s="750">
        <f>O27*'Calendar Assumptions'!O11*$D$113*Inputs!$E$335</f>
        <v>30238.118535242753</v>
      </c>
      <c r="P119" s="750">
        <f>P27*'Calendar Assumptions'!P11*$D$113*Inputs!$E$335</f>
        <v>31145.262091300036</v>
      </c>
    </row>
    <row r="120" spans="1:16" ht="15.75" customHeight="1">
      <c r="A120" s="292"/>
      <c r="B120" s="223">
        <v>8</v>
      </c>
      <c r="C120" s="24" t="s">
        <v>311</v>
      </c>
      <c r="D120" s="743">
        <f>Inputs!$E$334</f>
        <v>50</v>
      </c>
      <c r="E120" s="292"/>
      <c r="F120" s="750">
        <f>F28*'Calendar Assumptions'!F12*$D$113*Inputs!$E$335</f>
        <v>0</v>
      </c>
      <c r="G120" s="750">
        <f>G28*'Calendar Assumptions'!G12*$D$113*Inputs!$E$335</f>
        <v>0</v>
      </c>
      <c r="H120" s="750">
        <f>H28*'Calendar Assumptions'!H12*$D$113*Inputs!$E$335</f>
        <v>0</v>
      </c>
      <c r="I120" s="750">
        <f>I28*'Calendar Assumptions'!I12*$D$113*Inputs!$E$335</f>
        <v>0</v>
      </c>
      <c r="J120" s="750">
        <f>J28*'Calendar Assumptions'!J12*$D$113*Inputs!$E$335</f>
        <v>0</v>
      </c>
      <c r="K120" s="750">
        <f>K28*'Calendar Assumptions'!K12*$D$113*Inputs!$E$335</f>
        <v>0</v>
      </c>
      <c r="L120" s="750">
        <f>L28*'Calendar Assumptions'!L12*$D$113*Inputs!$E$335</f>
        <v>0</v>
      </c>
      <c r="M120" s="750">
        <f>M28*'Calendar Assumptions'!M12*$D$113*Inputs!$E$335</f>
        <v>0</v>
      </c>
      <c r="N120" s="750">
        <f>N28*'Calendar Assumptions'!N12*$D$113*Inputs!$E$335</f>
        <v>0</v>
      </c>
      <c r="O120" s="750">
        <f>O28*'Calendar Assumptions'!O12*$D$113*Inputs!$E$335</f>
        <v>0</v>
      </c>
      <c r="P120" s="750">
        <f>P28*'Calendar Assumptions'!P12*$D$113*Inputs!$E$335</f>
        <v>0</v>
      </c>
    </row>
    <row r="121" spans="1:16" ht="15.75" customHeight="1">
      <c r="A121" s="292"/>
      <c r="B121" s="223">
        <v>9</v>
      </c>
      <c r="C121" s="24" t="s">
        <v>272</v>
      </c>
      <c r="D121" s="743">
        <f>Inputs!$E$334</f>
        <v>50</v>
      </c>
      <c r="E121" s="292"/>
      <c r="F121" s="750">
        <f>F29*'Calendar Assumptions'!F13*$D$113*Inputs!$E$335</f>
        <v>0</v>
      </c>
      <c r="G121" s="750">
        <f>G29*'Calendar Assumptions'!G13*$D$113*Inputs!$E$335</f>
        <v>0</v>
      </c>
      <c r="H121" s="750">
        <f>H29*'Calendar Assumptions'!H13*$D$113*Inputs!$E$335</f>
        <v>0</v>
      </c>
      <c r="I121" s="750">
        <f>I29*'Calendar Assumptions'!I13*$D$113*Inputs!$E$335</f>
        <v>0</v>
      </c>
      <c r="J121" s="750">
        <f>J29*'Calendar Assumptions'!J13*$D$113*Inputs!$E$335</f>
        <v>0</v>
      </c>
      <c r="K121" s="750">
        <f>K29*'Calendar Assumptions'!K13*$D$113*Inputs!$E$335</f>
        <v>0</v>
      </c>
      <c r="L121" s="750">
        <f>L29*'Calendar Assumptions'!L13*$D$113*Inputs!$E$335</f>
        <v>0</v>
      </c>
      <c r="M121" s="750">
        <f>M29*'Calendar Assumptions'!M13*$D$113*Inputs!$E$335</f>
        <v>0</v>
      </c>
      <c r="N121" s="750">
        <f>N29*'Calendar Assumptions'!N13*$D$113*Inputs!$E$335</f>
        <v>0</v>
      </c>
      <c r="O121" s="750">
        <f>O29*'Calendar Assumptions'!O13*$D$113*Inputs!$E$335</f>
        <v>0</v>
      </c>
      <c r="P121" s="750">
        <f>P29*'Calendar Assumptions'!P13*$D$113*Inputs!$E$335</f>
        <v>0</v>
      </c>
    </row>
    <row r="122" spans="1:16" ht="15.75" customHeight="1">
      <c r="A122" s="292"/>
      <c r="B122" s="223">
        <v>10</v>
      </c>
      <c r="C122" s="24" t="s">
        <v>1542</v>
      </c>
      <c r="D122" s="743">
        <f>Inputs!$E$334</f>
        <v>50</v>
      </c>
      <c r="E122" s="292"/>
      <c r="F122" s="750">
        <f>F30*'Calendar Assumptions'!F14*$D$113*Inputs!$E$335</f>
        <v>0</v>
      </c>
      <c r="G122" s="750">
        <f>G30*'Calendar Assumptions'!G14*$D$113*Inputs!$E$335</f>
        <v>0</v>
      </c>
      <c r="H122" s="750">
        <f>H30*'Calendar Assumptions'!H14*$D$113*Inputs!$E$335</f>
        <v>0</v>
      </c>
      <c r="I122" s="750">
        <f>I30*'Calendar Assumptions'!I14*$D$113*Inputs!$E$335</f>
        <v>0</v>
      </c>
      <c r="J122" s="750">
        <f>J30*'Calendar Assumptions'!J14*$D$113*Inputs!$E$335</f>
        <v>0</v>
      </c>
      <c r="K122" s="750">
        <f>K30*'Calendar Assumptions'!K14*$D$113*Inputs!$E$335</f>
        <v>0</v>
      </c>
      <c r="L122" s="750">
        <f>L30*'Calendar Assumptions'!L14*$D$113*Inputs!$E$335</f>
        <v>0</v>
      </c>
      <c r="M122" s="750">
        <f>M30*'Calendar Assumptions'!M14*$D$113*Inputs!$E$335</f>
        <v>0</v>
      </c>
      <c r="N122" s="750">
        <f>N30*'Calendar Assumptions'!N14*$D$113*Inputs!$E$335</f>
        <v>0</v>
      </c>
      <c r="O122" s="750">
        <f>O30*'Calendar Assumptions'!O14*$D$113*Inputs!$E$335</f>
        <v>0</v>
      </c>
      <c r="P122" s="750">
        <f>P30*'Calendar Assumptions'!P14*$D$113*Inputs!$E$335</f>
        <v>0</v>
      </c>
    </row>
    <row r="123" spans="1:16" ht="15.75" customHeight="1">
      <c r="A123" s="292"/>
      <c r="B123" s="223">
        <v>11</v>
      </c>
      <c r="C123" s="24" t="s">
        <v>1543</v>
      </c>
      <c r="D123" s="743">
        <f>Inputs!$E$334</f>
        <v>50</v>
      </c>
      <c r="E123" s="292"/>
      <c r="F123" s="750">
        <f>F31*'Calendar Assumptions'!F15*$D$113*Inputs!$E$335</f>
        <v>0</v>
      </c>
      <c r="G123" s="750">
        <f>G31*'Calendar Assumptions'!G15*$D$113*Inputs!$E$335</f>
        <v>0</v>
      </c>
      <c r="H123" s="750">
        <f>H31*'Calendar Assumptions'!H15*$D$113*Inputs!$E$335</f>
        <v>0</v>
      </c>
      <c r="I123" s="750">
        <f>I31*'Calendar Assumptions'!I15*$D$113*Inputs!$E$335</f>
        <v>0</v>
      </c>
      <c r="J123" s="750">
        <f>J31*'Calendar Assumptions'!J15*$D$113*Inputs!$E$335</f>
        <v>0</v>
      </c>
      <c r="K123" s="750">
        <f>K31*'Calendar Assumptions'!K15*$D$113*Inputs!$E$335</f>
        <v>0</v>
      </c>
      <c r="L123" s="750">
        <f>L31*'Calendar Assumptions'!L15*$D$113*Inputs!$E$335</f>
        <v>0</v>
      </c>
      <c r="M123" s="750">
        <f>M31*'Calendar Assumptions'!M15*$D$113*Inputs!$E$335</f>
        <v>0</v>
      </c>
      <c r="N123" s="750">
        <f>N31*'Calendar Assumptions'!N15*$D$113*Inputs!$E$335</f>
        <v>0</v>
      </c>
      <c r="O123" s="750">
        <f>O31*'Calendar Assumptions'!O15*$D$113*Inputs!$E$335</f>
        <v>0</v>
      </c>
      <c r="P123" s="750">
        <f>P31*'Calendar Assumptions'!P15*$D$113*Inputs!$E$335</f>
        <v>0</v>
      </c>
    </row>
    <row r="124" spans="1:16" ht="15.75" customHeight="1">
      <c r="A124" s="292"/>
      <c r="B124" s="734"/>
      <c r="C124" s="292"/>
      <c r="D124" s="292"/>
      <c r="E124" s="292"/>
      <c r="F124" s="741">
        <f t="shared" ref="F124:P124" si="35">SUM(F113:F123)</f>
        <v>722399.25</v>
      </c>
      <c r="G124" s="741">
        <f t="shared" si="35"/>
        <v>759867.15300000005</v>
      </c>
      <c r="H124" s="741">
        <f t="shared" si="35"/>
        <v>798932.97085499985</v>
      </c>
      <c r="I124" s="741">
        <f t="shared" si="35"/>
        <v>881994.59804999991</v>
      </c>
      <c r="J124" s="741">
        <f t="shared" si="35"/>
        <v>908454.43599150004</v>
      </c>
      <c r="K124" s="741">
        <f t="shared" si="35"/>
        <v>935708.06907124503</v>
      </c>
      <c r="L124" s="741">
        <f t="shared" si="35"/>
        <v>963779.31114338245</v>
      </c>
      <c r="M124" s="741">
        <f t="shared" si="35"/>
        <v>992692.69047768391</v>
      </c>
      <c r="N124" s="741">
        <f t="shared" si="35"/>
        <v>1022473.4711920144</v>
      </c>
      <c r="O124" s="741">
        <f t="shared" si="35"/>
        <v>1053147.6753277748</v>
      </c>
      <c r="P124" s="741">
        <f t="shared" si="35"/>
        <v>1084742.1055876082</v>
      </c>
    </row>
    <row r="125" spans="1:16" ht="15.75" customHeight="1">
      <c r="A125" s="292"/>
      <c r="B125" s="734"/>
      <c r="C125" s="292"/>
      <c r="D125" s="292"/>
      <c r="E125" s="292"/>
      <c r="F125" s="741"/>
      <c r="G125" s="741"/>
      <c r="H125" s="741"/>
      <c r="I125" s="741"/>
      <c r="J125" s="741"/>
      <c r="K125" s="741"/>
      <c r="L125" s="741"/>
      <c r="M125" s="741"/>
      <c r="N125" s="741"/>
      <c r="O125" s="741"/>
      <c r="P125" s="741"/>
    </row>
    <row r="126" spans="1:16" ht="15.75" customHeight="1">
      <c r="A126" s="292"/>
      <c r="B126" s="734"/>
      <c r="C126" s="292"/>
      <c r="D126" s="292"/>
      <c r="E126" s="292"/>
      <c r="F126" s="741"/>
      <c r="G126" s="741"/>
      <c r="H126" s="741"/>
      <c r="I126" s="741"/>
      <c r="J126" s="741"/>
      <c r="K126" s="741"/>
      <c r="L126" s="741"/>
      <c r="M126" s="741"/>
      <c r="N126" s="741"/>
      <c r="O126" s="741"/>
      <c r="P126" s="741"/>
    </row>
    <row r="127" spans="1:16" ht="15.75" customHeight="1">
      <c r="A127" s="292"/>
      <c r="B127" s="734"/>
      <c r="C127" s="292"/>
      <c r="D127" s="292"/>
      <c r="E127" s="237" t="s">
        <v>192</v>
      </c>
      <c r="F127" s="227">
        <f t="shared" ref="F127:P127" si="36">F110</f>
        <v>0</v>
      </c>
      <c r="G127" s="227">
        <f t="shared" si="36"/>
        <v>0</v>
      </c>
      <c r="H127" s="227">
        <f t="shared" si="36"/>
        <v>0</v>
      </c>
      <c r="I127" s="227">
        <f t="shared" si="36"/>
        <v>0</v>
      </c>
      <c r="J127" s="227">
        <f t="shared" si="36"/>
        <v>0</v>
      </c>
      <c r="K127" s="227">
        <f t="shared" si="36"/>
        <v>0</v>
      </c>
      <c r="L127" s="227">
        <f t="shared" si="36"/>
        <v>0</v>
      </c>
      <c r="M127" s="227">
        <f t="shared" si="36"/>
        <v>0</v>
      </c>
      <c r="N127" s="227">
        <f t="shared" si="36"/>
        <v>0</v>
      </c>
      <c r="O127" s="227">
        <f t="shared" si="36"/>
        <v>0</v>
      </c>
      <c r="P127" s="227">
        <f t="shared" si="36"/>
        <v>0</v>
      </c>
    </row>
    <row r="128" spans="1:16" ht="15.75" customHeight="1">
      <c r="A128" s="292"/>
      <c r="B128" s="746" t="s">
        <v>1552</v>
      </c>
      <c r="C128" s="292"/>
      <c r="D128" s="237" t="s">
        <v>1553</v>
      </c>
      <c r="E128" s="292"/>
      <c r="F128" s="748" t="str">
        <f t="shared" ref="F128:P128" si="37">F111</f>
        <v>FY28</v>
      </c>
      <c r="G128" s="748" t="str">
        <f t="shared" si="37"/>
        <v>FY29</v>
      </c>
      <c r="H128" s="748" t="str">
        <f t="shared" si="37"/>
        <v>FY30</v>
      </c>
      <c r="I128" s="748" t="str">
        <f t="shared" si="37"/>
        <v>FY31</v>
      </c>
      <c r="J128" s="748" t="str">
        <f t="shared" si="37"/>
        <v>FY32</v>
      </c>
      <c r="K128" s="748" t="str">
        <f t="shared" si="37"/>
        <v>FY33</v>
      </c>
      <c r="L128" s="748" t="str">
        <f t="shared" si="37"/>
        <v>FY34</v>
      </c>
      <c r="M128" s="748" t="str">
        <f t="shared" si="37"/>
        <v>FY35</v>
      </c>
      <c r="N128" s="748" t="str">
        <f t="shared" si="37"/>
        <v>FY36</v>
      </c>
      <c r="O128" s="748" t="str">
        <f t="shared" si="37"/>
        <v>FY37</v>
      </c>
      <c r="P128" s="748" t="str">
        <f t="shared" si="37"/>
        <v>FY38</v>
      </c>
    </row>
    <row r="129" spans="1:16" ht="15.75" customHeight="1">
      <c r="A129" s="292"/>
      <c r="B129" s="24"/>
      <c r="C129" s="292"/>
      <c r="D129" s="237"/>
      <c r="E129" s="292"/>
      <c r="F129" s="227"/>
      <c r="G129" s="227"/>
      <c r="H129" s="227"/>
      <c r="I129" s="227"/>
      <c r="J129" s="227"/>
      <c r="K129" s="227"/>
      <c r="L129" s="227"/>
      <c r="M129" s="227"/>
      <c r="N129" s="227"/>
      <c r="O129" s="227"/>
      <c r="P129" s="227"/>
    </row>
    <row r="130" spans="1:16" ht="15.75" customHeight="1">
      <c r="A130" s="292"/>
      <c r="B130" s="223">
        <v>1</v>
      </c>
      <c r="C130" s="24" t="s">
        <v>261</v>
      </c>
      <c r="D130" s="743">
        <f>Inputs!E326</f>
        <v>18</v>
      </c>
      <c r="E130" s="292"/>
      <c r="F130" s="750">
        <f>D130*'Calendar Assumptions'!F41</f>
        <v>1224360</v>
      </c>
      <c r="G130" s="750">
        <f>$D130*'Calendar Assumptions'!H41*(1+Inputs!$E$333)</f>
        <v>1314634.32</v>
      </c>
      <c r="H130" s="750">
        <f>$D130*'Calendar Assumptions'!I41*(1+Inputs!$E$333)</f>
        <v>1409040</v>
      </c>
      <c r="I130" s="750">
        <f>$D130*'Calendar Assumptions'!J41*(1+Inputs!$E$333)</f>
        <v>1409040</v>
      </c>
      <c r="J130" s="750">
        <f>I130*(1+Inputs!$E$333)</f>
        <v>1451311.2</v>
      </c>
      <c r="K130" s="750">
        <f>J130*(1+Inputs!$E$333)</f>
        <v>1494850.5360000001</v>
      </c>
      <c r="L130" s="750">
        <f>K130*(1+Inputs!$E$333)</f>
        <v>1539696.0520800001</v>
      </c>
      <c r="M130" s="750">
        <f>L130*(1+Inputs!$E$333)</f>
        <v>1585886.9336424002</v>
      </c>
      <c r="N130" s="750">
        <f>M130*(1+Inputs!$E$333)</f>
        <v>1633463.5416516722</v>
      </c>
      <c r="O130" s="750">
        <f>N130*(1+Inputs!$E$333)</f>
        <v>1682467.4479012224</v>
      </c>
      <c r="P130" s="750">
        <f>O130*(1+Inputs!$E$333)</f>
        <v>1732941.4713382591</v>
      </c>
    </row>
    <row r="131" spans="1:16" ht="15.75" customHeight="1">
      <c r="A131" s="292"/>
      <c r="B131" s="223">
        <v>2</v>
      </c>
      <c r="C131" s="24" t="s">
        <v>263</v>
      </c>
      <c r="D131" s="743">
        <f>Inputs!E326</f>
        <v>18</v>
      </c>
      <c r="E131" s="292"/>
      <c r="F131" s="750">
        <f>D131*'Calendar Assumptions'!F42</f>
        <v>695952</v>
      </c>
      <c r="G131" s="750">
        <f>$D131*'Calendar Assumptions'!H42*(1+Inputs!$E$333)</f>
        <v>747265.82399999991</v>
      </c>
      <c r="H131" s="750">
        <f>$D131*'Calendar Assumptions'!I42*(1+Inputs!$E$333)</f>
        <v>800928</v>
      </c>
      <c r="I131" s="750">
        <f>$D131*'Calendar Assumptions'!J42*(1+Inputs!$E$333)</f>
        <v>800928</v>
      </c>
      <c r="J131" s="750">
        <f>I131*(1+Inputs!$E$333)</f>
        <v>824955.84</v>
      </c>
      <c r="K131" s="750">
        <f>J131*(1+Inputs!$E$333)</f>
        <v>849704.51520000002</v>
      </c>
      <c r="L131" s="750">
        <f>K131*(1+Inputs!$E$333)</f>
        <v>875195.65065600001</v>
      </c>
      <c r="M131" s="750">
        <f>L131*(1+Inputs!$E$333)</f>
        <v>901451.52017568005</v>
      </c>
      <c r="N131" s="750">
        <f>M131*(1+Inputs!$E$333)</f>
        <v>928495.06578095048</v>
      </c>
      <c r="O131" s="750">
        <f>N131*(1+Inputs!$E$333)</f>
        <v>956349.91775437898</v>
      </c>
      <c r="P131" s="750">
        <f>O131*(1+Inputs!$E$333)</f>
        <v>985040.41528701037</v>
      </c>
    </row>
    <row r="132" spans="1:16" ht="15.75" customHeight="1">
      <c r="A132" s="292"/>
      <c r="B132" s="223">
        <v>3</v>
      </c>
      <c r="C132" s="24" t="s">
        <v>265</v>
      </c>
      <c r="D132" s="743">
        <f>Inputs!E326</f>
        <v>18</v>
      </c>
      <c r="E132" s="292"/>
      <c r="F132" s="750">
        <f>D132*'Calendar Assumptions'!F43</f>
        <v>579960</v>
      </c>
      <c r="G132" s="750">
        <f>$D132*'Calendar Assumptions'!H43*(1+Inputs!$E$333)</f>
        <v>622721.52</v>
      </c>
      <c r="H132" s="750">
        <f>$D132*'Calendar Assumptions'!I43*(1+Inputs!$E$333)</f>
        <v>667440</v>
      </c>
      <c r="I132" s="750">
        <f>$D132*'Calendar Assumptions'!J43*(1+Inputs!$E$333)</f>
        <v>667440</v>
      </c>
      <c r="J132" s="750">
        <f>I132*(1+Inputs!$E$333)</f>
        <v>687463.20000000007</v>
      </c>
      <c r="K132" s="750">
        <f>J132*(1+Inputs!$E$333)</f>
        <v>708087.09600000014</v>
      </c>
      <c r="L132" s="750">
        <f>K132*(1+Inputs!$E$333)</f>
        <v>729329.70888000017</v>
      </c>
      <c r="M132" s="750">
        <f>L132*(1+Inputs!$E$333)</f>
        <v>751209.60014640016</v>
      </c>
      <c r="N132" s="750">
        <f>M132*(1+Inputs!$E$333)</f>
        <v>773745.88815079222</v>
      </c>
      <c r="O132" s="750">
        <f>N132*(1+Inputs!$E$333)</f>
        <v>796958.26479531603</v>
      </c>
      <c r="P132" s="750">
        <f>O132*(1+Inputs!$E$333)</f>
        <v>820867.01273917558</v>
      </c>
    </row>
    <row r="133" spans="1:16" ht="15.75" customHeight="1">
      <c r="A133" s="292"/>
      <c r="B133" s="223">
        <v>4</v>
      </c>
      <c r="C133" s="24" t="s">
        <v>1541</v>
      </c>
      <c r="D133" s="743">
        <f>Inputs!E327</f>
        <v>24</v>
      </c>
      <c r="E133" s="292"/>
      <c r="F133" s="750">
        <f>D133*'Calendar Assumptions'!F44</f>
        <v>927936</v>
      </c>
      <c r="G133" s="750">
        <f>$D133*'Calendar Assumptions'!H44*(1+Inputs!$E$333)</f>
        <v>996354.43199999991</v>
      </c>
      <c r="H133" s="750">
        <f>$D133*'Calendar Assumptions'!I44*(1+Inputs!$E$333)</f>
        <v>1067904</v>
      </c>
      <c r="I133" s="750">
        <f>H133*(1+Inputs!$E$333)</f>
        <v>1099941.1200000001</v>
      </c>
      <c r="J133" s="750">
        <f>I133*(1+Inputs!$E$333)</f>
        <v>1132939.3536</v>
      </c>
      <c r="K133" s="750">
        <f>J133*(1+Inputs!$E$333)</f>
        <v>1166927.5342080002</v>
      </c>
      <c r="L133" s="750">
        <f>K133*(1+Inputs!$E$333)</f>
        <v>1201935.3602342403</v>
      </c>
      <c r="M133" s="750">
        <f>L133*(1+Inputs!$E$333)</f>
        <v>1237993.4210412675</v>
      </c>
      <c r="N133" s="750">
        <f>M133*(1+Inputs!$E$333)</f>
        <v>1275133.2236725055</v>
      </c>
      <c r="O133" s="750">
        <f>N133*(1+Inputs!$E$333)</f>
        <v>1313387.2203826807</v>
      </c>
      <c r="P133" s="750">
        <f>O133*(1+Inputs!$E$333)</f>
        <v>1352788.8369941611</v>
      </c>
    </row>
    <row r="134" spans="1:16" ht="15.75" customHeight="1">
      <c r="A134" s="292"/>
      <c r="B134" s="223">
        <v>5</v>
      </c>
      <c r="C134" s="24" t="s">
        <v>1076</v>
      </c>
      <c r="D134" s="743">
        <f>Inputs!E331</f>
        <v>20</v>
      </c>
      <c r="E134" s="292"/>
      <c r="F134" s="750">
        <f>D134*'Calendar Assumptions'!F45</f>
        <v>644400</v>
      </c>
      <c r="G134" s="750">
        <f>$D134*'Calendar Assumptions'!H45*(1+Inputs!$E$333)</f>
        <v>691912.8</v>
      </c>
      <c r="H134" s="750">
        <f>$D134*'Calendar Assumptions'!I45*(1+Inputs!$E$333)</f>
        <v>741600</v>
      </c>
      <c r="I134" s="750">
        <f>H134*(1+Inputs!$E$333)</f>
        <v>763848</v>
      </c>
      <c r="J134" s="750">
        <f>I134*(1+Inputs!$E$333)</f>
        <v>786763.44000000006</v>
      </c>
      <c r="K134" s="750">
        <f>J134*(1+Inputs!$E$333)</f>
        <v>810366.34320000012</v>
      </c>
      <c r="L134" s="750">
        <f>K134*(1+Inputs!$E$333)</f>
        <v>834677.33349600015</v>
      </c>
      <c r="M134" s="750">
        <f>L134*(1+Inputs!$E$333)</f>
        <v>859717.65350088023</v>
      </c>
      <c r="N134" s="750">
        <f>M134*(1+Inputs!$E$333)</f>
        <v>885509.1831059067</v>
      </c>
      <c r="O134" s="750">
        <f>N134*(1+Inputs!$E$333)</f>
        <v>912074.45859908394</v>
      </c>
      <c r="P134" s="750">
        <f>O134*(1+Inputs!$E$333)</f>
        <v>939436.69235705642</v>
      </c>
    </row>
    <row r="135" spans="1:16" ht="15.75" customHeight="1">
      <c r="A135" s="292"/>
      <c r="B135" s="223">
        <v>6</v>
      </c>
      <c r="C135" s="24" t="s">
        <v>1078</v>
      </c>
      <c r="D135" s="743">
        <f>Inputs!E331</f>
        <v>20</v>
      </c>
      <c r="E135" s="292"/>
      <c r="F135" s="750">
        <f>D135*'Calendar Assumptions'!F46</f>
        <v>644400</v>
      </c>
      <c r="G135" s="750">
        <f>$D135*'Calendar Assumptions'!H46*(1+Inputs!$E$333)</f>
        <v>691912.8</v>
      </c>
      <c r="H135" s="750">
        <f>$D135*'Calendar Assumptions'!I46*(1+Inputs!$E$333)</f>
        <v>741600</v>
      </c>
      <c r="I135" s="750">
        <f>H135*(1+Inputs!$E$333)</f>
        <v>763848</v>
      </c>
      <c r="J135" s="750">
        <f>I135*(1+Inputs!$E$333)</f>
        <v>786763.44000000006</v>
      </c>
      <c r="K135" s="750">
        <f>J135*(1+Inputs!$E$333)</f>
        <v>810366.34320000012</v>
      </c>
      <c r="L135" s="750">
        <f>K135*(1+Inputs!$E$333)</f>
        <v>834677.33349600015</v>
      </c>
      <c r="M135" s="750">
        <f>L135*(1+Inputs!$E$333)</f>
        <v>859717.65350088023</v>
      </c>
      <c r="N135" s="750">
        <f>M135*(1+Inputs!$E$333)</f>
        <v>885509.1831059067</v>
      </c>
      <c r="O135" s="750">
        <f>N135*(1+Inputs!$E$333)</f>
        <v>912074.45859908394</v>
      </c>
      <c r="P135" s="750">
        <f>O135*(1+Inputs!$E$333)</f>
        <v>939436.69235705642</v>
      </c>
    </row>
    <row r="136" spans="1:16" ht="15.75" customHeight="1">
      <c r="A136" s="292"/>
      <c r="B136" s="223">
        <v>7</v>
      </c>
      <c r="C136" s="24" t="s">
        <v>1080</v>
      </c>
      <c r="D136" s="743">
        <f>Inputs!E331</f>
        <v>20</v>
      </c>
      <c r="E136" s="292"/>
      <c r="F136" s="750">
        <f>D136*'Calendar Assumptions'!F47</f>
        <v>128880</v>
      </c>
      <c r="G136" s="750">
        <f>$D136*'Calendar Assumptions'!H47*(1+Inputs!$E$333)</f>
        <v>138382.56000000003</v>
      </c>
      <c r="H136" s="750">
        <f>$D136*'Calendar Assumptions'!I47*(1+Inputs!$E$333)</f>
        <v>148320</v>
      </c>
      <c r="I136" s="750">
        <f>H136*(1+Inputs!$E$333)</f>
        <v>152769.60000000001</v>
      </c>
      <c r="J136" s="750">
        <f>I136*(1+Inputs!$E$333)</f>
        <v>157352.68800000002</v>
      </c>
      <c r="K136" s="750">
        <f>J136*(1+Inputs!$E$333)</f>
        <v>162073.26864000002</v>
      </c>
      <c r="L136" s="750">
        <f>K136*(1+Inputs!$E$333)</f>
        <v>166935.46669920004</v>
      </c>
      <c r="M136" s="750">
        <f>L136*(1+Inputs!$E$333)</f>
        <v>171943.53070017605</v>
      </c>
      <c r="N136" s="750">
        <f>M136*(1+Inputs!$E$333)</f>
        <v>177101.83662118134</v>
      </c>
      <c r="O136" s="750">
        <f>N136*(1+Inputs!$E$333)</f>
        <v>182414.89171981678</v>
      </c>
      <c r="P136" s="750">
        <f>O136*(1+Inputs!$E$333)</f>
        <v>187887.33847141129</v>
      </c>
    </row>
    <row r="137" spans="1:16" ht="15.75" customHeight="1">
      <c r="A137" s="292"/>
      <c r="B137" s="223">
        <v>8</v>
      </c>
      <c r="C137" s="24" t="s">
        <v>311</v>
      </c>
      <c r="D137" s="743">
        <f>Inputs!E328</f>
        <v>7</v>
      </c>
      <c r="E137" s="292"/>
      <c r="F137" s="750">
        <f>D137*'Calendar Assumptions'!F48</f>
        <v>436044.00000000006</v>
      </c>
      <c r="G137" s="750">
        <f>$D137*'Calendar Assumptions'!H48*(1+Inputs!$E$333)</f>
        <v>468194.32800000004</v>
      </c>
      <c r="H137" s="750">
        <f>$D137*'Calendar Assumptions'!I48*(1+Inputs!$E$333)</f>
        <v>501816</v>
      </c>
      <c r="I137" s="750">
        <f>H137*(1+Inputs!$E$333)</f>
        <v>516870.48000000004</v>
      </c>
      <c r="J137" s="750">
        <f>I137*(1+Inputs!$E$333)</f>
        <v>532376.59440000006</v>
      </c>
      <c r="K137" s="750">
        <f>J137*(1+Inputs!$E$333)</f>
        <v>548347.89223200013</v>
      </c>
      <c r="L137" s="750">
        <f>K137*(1+Inputs!$E$333)</f>
        <v>564798.32899896021</v>
      </c>
      <c r="M137" s="750">
        <f>L137*(1+Inputs!$E$333)</f>
        <v>581742.27886892902</v>
      </c>
      <c r="N137" s="750">
        <f>M137*(1+Inputs!$E$333)</f>
        <v>599194.54723499692</v>
      </c>
      <c r="O137" s="750">
        <f>N137*(1+Inputs!$E$333)</f>
        <v>617170.38365204679</v>
      </c>
      <c r="P137" s="750">
        <f>O137*(1+Inputs!$E$333)</f>
        <v>635685.49516160821</v>
      </c>
    </row>
    <row r="138" spans="1:16" ht="15.75" customHeight="1">
      <c r="A138" s="292"/>
      <c r="B138" s="223">
        <v>9</v>
      </c>
      <c r="C138" s="24" t="s">
        <v>272</v>
      </c>
      <c r="D138" s="743">
        <f>Inputs!E332</f>
        <v>5</v>
      </c>
      <c r="E138" s="292"/>
      <c r="F138" s="750">
        <f>D138*'Calendar Assumptions'!F49</f>
        <v>128880</v>
      </c>
      <c r="G138" s="750">
        <f>$D138*'Calendar Assumptions'!H49*(1+Inputs!$E$333)</f>
        <v>138382.56000000003</v>
      </c>
      <c r="H138" s="750">
        <f>$D138*'Calendar Assumptions'!I49*(1+Inputs!$E$333)</f>
        <v>148320</v>
      </c>
      <c r="I138" s="750">
        <f>H138*(1+Inputs!$E$333)</f>
        <v>152769.60000000001</v>
      </c>
      <c r="J138" s="750">
        <f>I138*(1+Inputs!$E$333)</f>
        <v>157352.68800000002</v>
      </c>
      <c r="K138" s="750">
        <f>J138*(1+Inputs!$E$333)</f>
        <v>162073.26864000002</v>
      </c>
      <c r="L138" s="750">
        <f>K138*(1+Inputs!$E$333)</f>
        <v>166935.46669920004</v>
      </c>
      <c r="M138" s="750">
        <f>L138*(1+Inputs!$E$333)</f>
        <v>171943.53070017605</v>
      </c>
      <c r="N138" s="750">
        <f>M138*(1+Inputs!$E$333)</f>
        <v>177101.83662118134</v>
      </c>
      <c r="O138" s="750">
        <f>N138*(1+Inputs!$E$333)</f>
        <v>182414.89171981678</v>
      </c>
      <c r="P138" s="750">
        <f>O138*(1+Inputs!$E$333)</f>
        <v>187887.33847141129</v>
      </c>
    </row>
    <row r="139" spans="1:16" ht="15.75" customHeight="1">
      <c r="A139" s="292"/>
      <c r="B139" s="223">
        <v>10</v>
      </c>
      <c r="C139" s="24" t="s">
        <v>1542</v>
      </c>
      <c r="D139" s="743">
        <f>Inputs!E329</f>
        <v>40</v>
      </c>
      <c r="E139" s="292"/>
      <c r="F139" s="750">
        <f>D139*'Calendar Assumptions'!F50</f>
        <v>343680</v>
      </c>
      <c r="G139" s="750">
        <f>$D139*'Calendar Assumptions'!H50*(1+Inputs!$E$333)</f>
        <v>369020.16000000009</v>
      </c>
      <c r="H139" s="750">
        <f>$D139*'Calendar Assumptions'!I50*(1+Inputs!$E$333)</f>
        <v>395520</v>
      </c>
      <c r="I139" s="750">
        <f>H139*(1+Inputs!$E$333)</f>
        <v>407385.60000000003</v>
      </c>
      <c r="J139" s="750">
        <f>I139*(1+Inputs!$E$333)</f>
        <v>419607.16800000006</v>
      </c>
      <c r="K139" s="750">
        <f>J139*(1+Inputs!$E$333)</f>
        <v>432195.3830400001</v>
      </c>
      <c r="L139" s="750">
        <f>K139*(1+Inputs!$E$333)</f>
        <v>445161.24453120009</v>
      </c>
      <c r="M139" s="750">
        <f>L139*(1+Inputs!$E$333)</f>
        <v>458516.08186713612</v>
      </c>
      <c r="N139" s="750">
        <f>M139*(1+Inputs!$E$333)</f>
        <v>472271.5643231502</v>
      </c>
      <c r="O139" s="750">
        <f>N139*(1+Inputs!$E$333)</f>
        <v>486439.71125284472</v>
      </c>
      <c r="P139" s="750">
        <f>O139*(1+Inputs!$E$333)</f>
        <v>501032.90259043005</v>
      </c>
    </row>
    <row r="140" spans="1:16" ht="15.75" customHeight="1">
      <c r="A140" s="292"/>
      <c r="B140" s="223">
        <v>11</v>
      </c>
      <c r="C140" s="24" t="s">
        <v>1543</v>
      </c>
      <c r="D140" s="743">
        <f>Inputs!E332</f>
        <v>5</v>
      </c>
      <c r="E140" s="292"/>
      <c r="F140" s="750">
        <f>D140*'Calendar Assumptions'!F51</f>
        <v>279240</v>
      </c>
      <c r="G140" s="750">
        <f>$D140*'Calendar Assumptions'!H51*(1+Inputs!$E$333)</f>
        <v>299828.88</v>
      </c>
      <c r="H140" s="750">
        <f>$D140*'Calendar Assumptions'!I51*(1+Inputs!$E$333)</f>
        <v>321360</v>
      </c>
      <c r="I140" s="750">
        <f>H140*(1+Inputs!$E$333)</f>
        <v>331000.8</v>
      </c>
      <c r="J140" s="750">
        <f>I140*(1+Inputs!$E$333)</f>
        <v>340930.82400000002</v>
      </c>
      <c r="K140" s="750">
        <f>J140*(1+Inputs!$E$333)</f>
        <v>351158.74872000003</v>
      </c>
      <c r="L140" s="750">
        <f>K140*(1+Inputs!$E$333)</f>
        <v>361693.51118160004</v>
      </c>
      <c r="M140" s="750">
        <f>L140*(1+Inputs!$E$333)</f>
        <v>372544.31651704805</v>
      </c>
      <c r="N140" s="750">
        <f>M140*(1+Inputs!$E$333)</f>
        <v>383720.64601255947</v>
      </c>
      <c r="O140" s="750">
        <f>N140*(1+Inputs!$E$333)</f>
        <v>395232.26539293624</v>
      </c>
      <c r="P140" s="750">
        <f>O140*(1+Inputs!$E$333)</f>
        <v>407089.23335472436</v>
      </c>
    </row>
    <row r="141" spans="1:16" ht="15.75" customHeight="1">
      <c r="A141" s="292"/>
      <c r="B141" s="734"/>
      <c r="C141" s="292"/>
      <c r="D141" s="292"/>
      <c r="E141" s="292"/>
      <c r="F141" s="758">
        <f t="shared" ref="F141:P141" si="38">SUM(F130:F140)</f>
        <v>6033732</v>
      </c>
      <c r="G141" s="758">
        <f t="shared" si="38"/>
        <v>6478610.1839999985</v>
      </c>
      <c r="H141" s="758">
        <f t="shared" si="38"/>
        <v>6943848</v>
      </c>
      <c r="I141" s="758">
        <f t="shared" si="38"/>
        <v>7065841.1999999993</v>
      </c>
      <c r="J141" s="758">
        <f t="shared" si="38"/>
        <v>7277816.4360000016</v>
      </c>
      <c r="K141" s="758">
        <f t="shared" si="38"/>
        <v>7496150.929080002</v>
      </c>
      <c r="L141" s="758">
        <f t="shared" si="38"/>
        <v>7721035.4569524014</v>
      </c>
      <c r="M141" s="758">
        <f t="shared" si="38"/>
        <v>7952666.5206609741</v>
      </c>
      <c r="N141" s="758">
        <f t="shared" si="38"/>
        <v>8191246.5162808029</v>
      </c>
      <c r="O141" s="758">
        <f t="shared" si="38"/>
        <v>8436983.9117692299</v>
      </c>
      <c r="P141" s="758">
        <f t="shared" si="38"/>
        <v>8690093.4291223064</v>
      </c>
    </row>
    <row r="142" spans="1:16" ht="15.75" customHeight="1">
      <c r="A142" s="292"/>
      <c r="B142" s="734"/>
      <c r="C142" s="292"/>
      <c r="D142" s="292"/>
      <c r="E142" s="292"/>
      <c r="F142" s="741"/>
      <c r="G142" s="741"/>
      <c r="H142" s="741"/>
      <c r="I142" s="741"/>
      <c r="J142" s="741"/>
      <c r="K142" s="741"/>
      <c r="L142" s="741"/>
      <c r="M142" s="741"/>
      <c r="N142" s="741"/>
      <c r="O142" s="741"/>
      <c r="P142" s="741"/>
    </row>
    <row r="143" spans="1:16" ht="15.75" customHeight="1">
      <c r="A143" s="292"/>
      <c r="B143" s="734"/>
      <c r="C143" s="292"/>
      <c r="D143" s="292"/>
      <c r="E143" s="292"/>
      <c r="F143" s="741"/>
      <c r="G143" s="741"/>
      <c r="H143" s="759"/>
      <c r="I143" s="741"/>
      <c r="J143" s="741"/>
      <c r="K143" s="741"/>
      <c r="L143" s="741"/>
      <c r="M143" s="741"/>
      <c r="N143" s="741"/>
      <c r="O143" s="741"/>
      <c r="P143" s="741"/>
    </row>
    <row r="144" spans="1:16" ht="15.75" customHeight="1">
      <c r="A144" s="292"/>
      <c r="B144" s="734"/>
      <c r="C144" s="292"/>
      <c r="D144" s="292"/>
      <c r="E144" s="292"/>
      <c r="F144" s="741"/>
      <c r="G144" s="741"/>
      <c r="H144" s="741"/>
      <c r="I144" s="741"/>
      <c r="J144" s="741"/>
      <c r="K144" s="741"/>
      <c r="L144" s="741"/>
      <c r="M144" s="741"/>
      <c r="N144" s="741"/>
      <c r="O144" s="741"/>
      <c r="P144" s="741"/>
    </row>
    <row r="145" spans="1:16" ht="15.75" customHeight="1">
      <c r="A145" s="292"/>
      <c r="B145" s="734"/>
      <c r="C145" s="292"/>
      <c r="D145" s="292"/>
      <c r="E145" s="237" t="s">
        <v>192</v>
      </c>
      <c r="F145" s="227">
        <f t="shared" ref="F145:P145" si="39">F127</f>
        <v>0</v>
      </c>
      <c r="G145" s="227">
        <f t="shared" si="39"/>
        <v>0</v>
      </c>
      <c r="H145" s="227">
        <f t="shared" si="39"/>
        <v>0</v>
      </c>
      <c r="I145" s="227">
        <f t="shared" si="39"/>
        <v>0</v>
      </c>
      <c r="J145" s="227">
        <f t="shared" si="39"/>
        <v>0</v>
      </c>
      <c r="K145" s="227">
        <f t="shared" si="39"/>
        <v>0</v>
      </c>
      <c r="L145" s="227">
        <f t="shared" si="39"/>
        <v>0</v>
      </c>
      <c r="M145" s="227">
        <f t="shared" si="39"/>
        <v>0</v>
      </c>
      <c r="N145" s="227">
        <f t="shared" si="39"/>
        <v>0</v>
      </c>
      <c r="O145" s="227">
        <f t="shared" si="39"/>
        <v>0</v>
      </c>
      <c r="P145" s="227">
        <f t="shared" si="39"/>
        <v>0</v>
      </c>
    </row>
    <row r="146" spans="1:16" ht="15.75" customHeight="1">
      <c r="A146" s="292"/>
      <c r="B146" s="1426" t="s">
        <v>1554</v>
      </c>
      <c r="C146" s="1305"/>
      <c r="D146" s="237" t="s">
        <v>1553</v>
      </c>
      <c r="E146" s="292"/>
      <c r="F146" s="748" t="str">
        <f t="shared" ref="F146:P146" si="40">F128</f>
        <v>FY28</v>
      </c>
      <c r="G146" s="748" t="str">
        <f t="shared" si="40"/>
        <v>FY29</v>
      </c>
      <c r="H146" s="748" t="str">
        <f t="shared" si="40"/>
        <v>FY30</v>
      </c>
      <c r="I146" s="748" t="str">
        <f t="shared" si="40"/>
        <v>FY31</v>
      </c>
      <c r="J146" s="748" t="str">
        <f t="shared" si="40"/>
        <v>FY32</v>
      </c>
      <c r="K146" s="748" t="str">
        <f t="shared" si="40"/>
        <v>FY33</v>
      </c>
      <c r="L146" s="748" t="str">
        <f t="shared" si="40"/>
        <v>FY34</v>
      </c>
      <c r="M146" s="748" t="str">
        <f t="shared" si="40"/>
        <v>FY35</v>
      </c>
      <c r="N146" s="748" t="str">
        <f t="shared" si="40"/>
        <v>FY36</v>
      </c>
      <c r="O146" s="748" t="str">
        <f t="shared" si="40"/>
        <v>FY37</v>
      </c>
      <c r="P146" s="748" t="str">
        <f t="shared" si="40"/>
        <v>FY38</v>
      </c>
    </row>
    <row r="147" spans="1:16" ht="15.75" customHeight="1">
      <c r="A147" s="292"/>
      <c r="B147" s="24"/>
      <c r="C147" s="292"/>
      <c r="D147" s="237"/>
      <c r="E147" s="292"/>
      <c r="F147" s="227"/>
      <c r="G147" s="227"/>
      <c r="H147" s="227"/>
      <c r="I147" s="227"/>
      <c r="J147" s="227"/>
      <c r="K147" s="227"/>
      <c r="L147" s="227"/>
      <c r="M147" s="227"/>
      <c r="N147" s="227"/>
      <c r="O147" s="227"/>
      <c r="P147" s="227"/>
    </row>
    <row r="148" spans="1:16" ht="15.75" customHeight="1">
      <c r="A148" s="292"/>
      <c r="B148" s="223">
        <v>1</v>
      </c>
      <c r="C148" s="24" t="s">
        <v>261</v>
      </c>
      <c r="D148" s="743">
        <f>D130*Inputs!$E$335</f>
        <v>27</v>
      </c>
      <c r="E148" s="292"/>
      <c r="F148" s="750">
        <f>$D148*'Calendar Assumptions'!F58</f>
        <v>27548.1</v>
      </c>
      <c r="G148" s="750">
        <f>$D148*'Calendar Assumptions'!G58</f>
        <v>28132.920000000002</v>
      </c>
      <c r="H148" s="750">
        <f>$D148*'Calendar Assumptions'!H58</f>
        <v>28717.74</v>
      </c>
      <c r="I148" s="750">
        <f>$D148*'Calendar Assumptions'!I58</f>
        <v>30780</v>
      </c>
      <c r="J148" s="750">
        <f>$D148*'Calendar Assumptions'!J58</f>
        <v>30780</v>
      </c>
      <c r="K148" s="750">
        <f>$D148*'Calendar Assumptions'!K58</f>
        <v>30780</v>
      </c>
      <c r="L148" s="750">
        <f>$D148*'Calendar Assumptions'!L58</f>
        <v>30780</v>
      </c>
      <c r="M148" s="750">
        <f>$D148*'Calendar Assumptions'!M58</f>
        <v>30780</v>
      </c>
      <c r="N148" s="750">
        <f>$D148*'Calendar Assumptions'!N58</f>
        <v>30780</v>
      </c>
      <c r="O148" s="750">
        <f>$D148*'Calendar Assumptions'!O58</f>
        <v>30780</v>
      </c>
      <c r="P148" s="750">
        <f>$D148*'Calendar Assumptions'!P58</f>
        <v>30780</v>
      </c>
    </row>
    <row r="149" spans="1:16" ht="15.75" customHeight="1">
      <c r="A149" s="292"/>
      <c r="B149" s="223">
        <v>2</v>
      </c>
      <c r="C149" s="24" t="s">
        <v>263</v>
      </c>
      <c r="D149" s="743">
        <f>D131*Inputs!$E$335</f>
        <v>27</v>
      </c>
      <c r="E149" s="292"/>
      <c r="F149" s="750">
        <f>$D149*'Calendar Assumptions'!F59</f>
        <v>26098.199999999997</v>
      </c>
      <c r="G149" s="750">
        <f>$D149*'Calendar Assumptions'!G59</f>
        <v>26652.240000000002</v>
      </c>
      <c r="H149" s="750">
        <f>$D149*'Calendar Assumptions'!H59</f>
        <v>27206.28</v>
      </c>
      <c r="I149" s="750">
        <f>$D149*'Calendar Assumptions'!I59</f>
        <v>29160</v>
      </c>
      <c r="J149" s="750">
        <f>$D149*'Calendar Assumptions'!J59</f>
        <v>29160</v>
      </c>
      <c r="K149" s="750">
        <f>$D149*'Calendar Assumptions'!K59</f>
        <v>29160</v>
      </c>
      <c r="L149" s="750">
        <f>$D149*'Calendar Assumptions'!L59</f>
        <v>29160</v>
      </c>
      <c r="M149" s="750">
        <f>$D149*'Calendar Assumptions'!M59</f>
        <v>29160</v>
      </c>
      <c r="N149" s="750">
        <f>$D149*'Calendar Assumptions'!N59</f>
        <v>29160</v>
      </c>
      <c r="O149" s="750">
        <f>$D149*'Calendar Assumptions'!O59</f>
        <v>29160</v>
      </c>
      <c r="P149" s="750">
        <f>$D149*'Calendar Assumptions'!P59</f>
        <v>29160</v>
      </c>
    </row>
    <row r="150" spans="1:16" ht="15.75" customHeight="1">
      <c r="A150" s="292"/>
      <c r="B150" s="223">
        <v>3</v>
      </c>
      <c r="C150" s="24" t="s">
        <v>265</v>
      </c>
      <c r="D150" s="743">
        <f>D132*Inputs!$E$335</f>
        <v>27</v>
      </c>
      <c r="E150" s="292"/>
      <c r="F150" s="750">
        <f>$D150*'Calendar Assumptions'!F60</f>
        <v>21748.5</v>
      </c>
      <c r="G150" s="750">
        <f>$D150*'Calendar Assumptions'!G60</f>
        <v>22210.2</v>
      </c>
      <c r="H150" s="750">
        <f>$D150*'Calendar Assumptions'!H60</f>
        <v>22671.9</v>
      </c>
      <c r="I150" s="750">
        <f>$D150*'Calendar Assumptions'!I60</f>
        <v>24300</v>
      </c>
      <c r="J150" s="750">
        <f>$D150*'Calendar Assumptions'!J60</f>
        <v>24300</v>
      </c>
      <c r="K150" s="750">
        <f>$D150*'Calendar Assumptions'!K60</f>
        <v>24300</v>
      </c>
      <c r="L150" s="750">
        <f>$D150*'Calendar Assumptions'!L60</f>
        <v>24300</v>
      </c>
      <c r="M150" s="750">
        <f>$D150*'Calendar Assumptions'!M60</f>
        <v>24300</v>
      </c>
      <c r="N150" s="750">
        <f>$D150*'Calendar Assumptions'!N60</f>
        <v>24300</v>
      </c>
      <c r="O150" s="750">
        <f>$D150*'Calendar Assumptions'!O60</f>
        <v>24300</v>
      </c>
      <c r="P150" s="750">
        <f>$D150*'Calendar Assumptions'!P60</f>
        <v>24300</v>
      </c>
    </row>
    <row r="151" spans="1:16" ht="15.75" customHeight="1">
      <c r="A151" s="292"/>
      <c r="B151" s="223">
        <v>4</v>
      </c>
      <c r="C151" s="24" t="s">
        <v>1541</v>
      </c>
      <c r="D151" s="743">
        <f>D133*Inputs!$E$335</f>
        <v>36</v>
      </c>
      <c r="E151" s="292"/>
      <c r="F151" s="750">
        <f>$D151*'Calendar Assumptions'!F61</f>
        <v>34797.599999999999</v>
      </c>
      <c r="G151" s="750">
        <f>$D151*'Calendar Assumptions'!G61</f>
        <v>35536.320000000007</v>
      </c>
      <c r="H151" s="750">
        <f>$D151*'Calendar Assumptions'!H61</f>
        <v>36275.040000000001</v>
      </c>
      <c r="I151" s="750">
        <f>$D151*'Calendar Assumptions'!I61</f>
        <v>38880</v>
      </c>
      <c r="J151" s="750">
        <f>$D151*'Calendar Assumptions'!J61</f>
        <v>38880</v>
      </c>
      <c r="K151" s="750">
        <f>$D151*'Calendar Assumptions'!K61</f>
        <v>38880</v>
      </c>
      <c r="L151" s="750">
        <f>$D151*'Calendar Assumptions'!L61</f>
        <v>38880</v>
      </c>
      <c r="M151" s="750">
        <f>$D151*'Calendar Assumptions'!M61</f>
        <v>38880</v>
      </c>
      <c r="N151" s="750">
        <f>$D151*'Calendar Assumptions'!N61</f>
        <v>38880</v>
      </c>
      <c r="O151" s="750">
        <f>$D151*'Calendar Assumptions'!O61</f>
        <v>38880</v>
      </c>
      <c r="P151" s="750">
        <f>$D151*'Calendar Assumptions'!P61</f>
        <v>38880</v>
      </c>
    </row>
    <row r="152" spans="1:16" ht="15.75" customHeight="1">
      <c r="A152" s="292"/>
      <c r="B152" s="223">
        <v>5</v>
      </c>
      <c r="C152" s="24" t="s">
        <v>1076</v>
      </c>
      <c r="D152" s="743">
        <f>D134*Inputs!$E$335</f>
        <v>30</v>
      </c>
      <c r="E152" s="292"/>
      <c r="F152" s="750">
        <f>$D152*'Calendar Assumptions'!F62</f>
        <v>24165</v>
      </c>
      <c r="G152" s="750">
        <f>$D152*'Calendar Assumptions'!G62</f>
        <v>24678</v>
      </c>
      <c r="H152" s="750">
        <f>$D152*'Calendar Assumptions'!H62</f>
        <v>25191</v>
      </c>
      <c r="I152" s="750">
        <f>$D152*'Calendar Assumptions'!I62</f>
        <v>27000</v>
      </c>
      <c r="J152" s="750">
        <f>$D152*'Calendar Assumptions'!J62</f>
        <v>27000</v>
      </c>
      <c r="K152" s="750">
        <f>$D152*'Calendar Assumptions'!K62</f>
        <v>27000</v>
      </c>
      <c r="L152" s="750">
        <f>$D152*'Calendar Assumptions'!L62</f>
        <v>27000</v>
      </c>
      <c r="M152" s="750">
        <f>$D152*'Calendar Assumptions'!M62</f>
        <v>27000</v>
      </c>
      <c r="N152" s="750">
        <f>$D152*'Calendar Assumptions'!N62</f>
        <v>27000</v>
      </c>
      <c r="O152" s="750">
        <f>$D152*'Calendar Assumptions'!O62</f>
        <v>27000</v>
      </c>
      <c r="P152" s="750">
        <f>$D152*'Calendar Assumptions'!P62</f>
        <v>27000</v>
      </c>
    </row>
    <row r="153" spans="1:16" ht="15.75" customHeight="1">
      <c r="A153" s="292"/>
      <c r="B153" s="223">
        <v>6</v>
      </c>
      <c r="C153" s="24" t="s">
        <v>1078</v>
      </c>
      <c r="D153" s="743">
        <f>D135*Inputs!$E$335</f>
        <v>30</v>
      </c>
      <c r="E153" s="292"/>
      <c r="F153" s="750">
        <f>$D153*'Calendar Assumptions'!F63</f>
        <v>24165</v>
      </c>
      <c r="G153" s="750">
        <f>$D153*'Calendar Assumptions'!G63</f>
        <v>24678</v>
      </c>
      <c r="H153" s="750">
        <f>$D153*'Calendar Assumptions'!H63</f>
        <v>25191</v>
      </c>
      <c r="I153" s="750">
        <f>$D153*'Calendar Assumptions'!I63</f>
        <v>27000</v>
      </c>
      <c r="J153" s="750">
        <f>$D153*'Calendar Assumptions'!J63</f>
        <v>27000</v>
      </c>
      <c r="K153" s="750">
        <f>$D153*'Calendar Assumptions'!K63</f>
        <v>27000</v>
      </c>
      <c r="L153" s="750">
        <f>$D153*'Calendar Assumptions'!L63</f>
        <v>27000</v>
      </c>
      <c r="M153" s="750">
        <f>$D153*'Calendar Assumptions'!M63</f>
        <v>27000</v>
      </c>
      <c r="N153" s="750">
        <f>$D153*'Calendar Assumptions'!N63</f>
        <v>27000</v>
      </c>
      <c r="O153" s="750">
        <f>$D153*'Calendar Assumptions'!O63</f>
        <v>27000</v>
      </c>
      <c r="P153" s="750">
        <f>$D153*'Calendar Assumptions'!P63</f>
        <v>27000</v>
      </c>
    </row>
    <row r="154" spans="1:16" ht="15.75" customHeight="1">
      <c r="A154" s="292"/>
      <c r="B154" s="223">
        <v>7</v>
      </c>
      <c r="C154" s="24" t="s">
        <v>1080</v>
      </c>
      <c r="D154" s="743">
        <f>D136*Inputs!$E$335</f>
        <v>30</v>
      </c>
      <c r="E154" s="292"/>
      <c r="F154" s="750">
        <f>$D154*'Calendar Assumptions'!F64</f>
        <v>4833</v>
      </c>
      <c r="G154" s="750">
        <f>$D154*'Calendar Assumptions'!G64</f>
        <v>4935.6000000000004</v>
      </c>
      <c r="H154" s="750">
        <f>$D154*'Calendar Assumptions'!H64</f>
        <v>5038.2000000000007</v>
      </c>
      <c r="I154" s="750">
        <f>$D154*'Calendar Assumptions'!I64</f>
        <v>5400</v>
      </c>
      <c r="J154" s="750">
        <f>$D154*'Calendar Assumptions'!J64</f>
        <v>5400</v>
      </c>
      <c r="K154" s="750">
        <f>$D154*'Calendar Assumptions'!K64</f>
        <v>5400</v>
      </c>
      <c r="L154" s="750">
        <f>$D154*'Calendar Assumptions'!L64</f>
        <v>5400</v>
      </c>
      <c r="M154" s="750">
        <f>$D154*'Calendar Assumptions'!M64</f>
        <v>5400</v>
      </c>
      <c r="N154" s="750">
        <f>$D154*'Calendar Assumptions'!N64</f>
        <v>5400</v>
      </c>
      <c r="O154" s="750">
        <f>$D154*'Calendar Assumptions'!O64</f>
        <v>5400</v>
      </c>
      <c r="P154" s="750">
        <f>$D154*'Calendar Assumptions'!P64</f>
        <v>5400</v>
      </c>
    </row>
    <row r="155" spans="1:16" ht="15.75" customHeight="1">
      <c r="A155" s="292"/>
      <c r="B155" s="223">
        <v>8</v>
      </c>
      <c r="C155" s="24" t="s">
        <v>311</v>
      </c>
      <c r="D155" s="743">
        <v>0</v>
      </c>
      <c r="E155" s="292"/>
      <c r="F155" s="750">
        <f>$D155*'Calendar Assumptions'!F65</f>
        <v>0</v>
      </c>
      <c r="G155" s="750">
        <f>$D155*'Calendar Assumptions'!G65</f>
        <v>0</v>
      </c>
      <c r="H155" s="750">
        <f>$D155*'Calendar Assumptions'!H65</f>
        <v>0</v>
      </c>
      <c r="I155" s="750">
        <f>$D155*'Calendar Assumptions'!I65</f>
        <v>0</v>
      </c>
      <c r="J155" s="750">
        <f>$D155*'Calendar Assumptions'!J65</f>
        <v>0</v>
      </c>
      <c r="K155" s="750">
        <f>$D155*'Calendar Assumptions'!K65</f>
        <v>0</v>
      </c>
      <c r="L155" s="750">
        <f>$D155*'Calendar Assumptions'!L65</f>
        <v>0</v>
      </c>
      <c r="M155" s="750">
        <f>$D155*'Calendar Assumptions'!M65</f>
        <v>0</v>
      </c>
      <c r="N155" s="750">
        <f>$D155*'Calendar Assumptions'!N65</f>
        <v>0</v>
      </c>
      <c r="O155" s="750">
        <f>$D155*'Calendar Assumptions'!O65</f>
        <v>0</v>
      </c>
      <c r="P155" s="750">
        <f>$D155*'Calendar Assumptions'!P65</f>
        <v>0</v>
      </c>
    </row>
    <row r="156" spans="1:16" ht="15.75" customHeight="1">
      <c r="A156" s="292"/>
      <c r="B156" s="223">
        <v>9</v>
      </c>
      <c r="C156" s="24" t="s">
        <v>272</v>
      </c>
      <c r="D156" s="743">
        <v>0</v>
      </c>
      <c r="E156" s="292"/>
      <c r="F156" s="750">
        <f>$D156*'Calendar Assumptions'!F66</f>
        <v>0</v>
      </c>
      <c r="G156" s="750">
        <f>$D156*'Calendar Assumptions'!G66</f>
        <v>0</v>
      </c>
      <c r="H156" s="750">
        <f>$D156*'Calendar Assumptions'!H66</f>
        <v>0</v>
      </c>
      <c r="I156" s="750">
        <f>$D156*'Calendar Assumptions'!I66</f>
        <v>0</v>
      </c>
      <c r="J156" s="750">
        <f>$D156*'Calendar Assumptions'!J66</f>
        <v>0</v>
      </c>
      <c r="K156" s="750">
        <f>$D156*'Calendar Assumptions'!K66</f>
        <v>0</v>
      </c>
      <c r="L156" s="750">
        <f>$D156*'Calendar Assumptions'!L66</f>
        <v>0</v>
      </c>
      <c r="M156" s="750">
        <f>$D156*'Calendar Assumptions'!M66</f>
        <v>0</v>
      </c>
      <c r="N156" s="750">
        <f>$D156*'Calendar Assumptions'!N66</f>
        <v>0</v>
      </c>
      <c r="O156" s="750">
        <f>$D156*'Calendar Assumptions'!O66</f>
        <v>0</v>
      </c>
      <c r="P156" s="750">
        <f>$D156*'Calendar Assumptions'!P66</f>
        <v>0</v>
      </c>
    </row>
    <row r="157" spans="1:16" ht="15.75" customHeight="1">
      <c r="A157" s="292"/>
      <c r="B157" s="223">
        <v>10</v>
      </c>
      <c r="C157" s="24" t="s">
        <v>1542</v>
      </c>
      <c r="D157" s="743">
        <v>0</v>
      </c>
      <c r="E157" s="292"/>
      <c r="F157" s="750">
        <f>$D157*'Calendar Assumptions'!F67</f>
        <v>0</v>
      </c>
      <c r="G157" s="750">
        <f>$D157*'Calendar Assumptions'!G67</f>
        <v>0</v>
      </c>
      <c r="H157" s="750">
        <f>$D157*'Calendar Assumptions'!H67</f>
        <v>0</v>
      </c>
      <c r="I157" s="750">
        <f>$D157*'Calendar Assumptions'!I67</f>
        <v>0</v>
      </c>
      <c r="J157" s="750">
        <f>$D157*'Calendar Assumptions'!J67</f>
        <v>0</v>
      </c>
      <c r="K157" s="750">
        <f>$D157*'Calendar Assumptions'!K67</f>
        <v>0</v>
      </c>
      <c r="L157" s="750">
        <f>$D157*'Calendar Assumptions'!L67</f>
        <v>0</v>
      </c>
      <c r="M157" s="750">
        <f>$D157*'Calendar Assumptions'!M67</f>
        <v>0</v>
      </c>
      <c r="N157" s="750">
        <f>$D157*'Calendar Assumptions'!N67</f>
        <v>0</v>
      </c>
      <c r="O157" s="750">
        <f>$D157*'Calendar Assumptions'!O67</f>
        <v>0</v>
      </c>
      <c r="P157" s="750">
        <f>$D157*'Calendar Assumptions'!P67</f>
        <v>0</v>
      </c>
    </row>
    <row r="158" spans="1:16" ht="15.75" customHeight="1">
      <c r="A158" s="292"/>
      <c r="B158" s="223">
        <v>11</v>
      </c>
      <c r="C158" s="24" t="s">
        <v>1543</v>
      </c>
      <c r="D158" s="743">
        <v>0</v>
      </c>
      <c r="E158" s="292"/>
      <c r="F158" s="750">
        <f>$D158*'Calendar Assumptions'!F68</f>
        <v>0</v>
      </c>
      <c r="G158" s="750">
        <f>$D158*'Calendar Assumptions'!G68</f>
        <v>0</v>
      </c>
      <c r="H158" s="750">
        <f>$D158*'Calendar Assumptions'!H68</f>
        <v>0</v>
      </c>
      <c r="I158" s="750">
        <f>$D158*'Calendar Assumptions'!I68</f>
        <v>0</v>
      </c>
      <c r="J158" s="750">
        <f>$D158*'Calendar Assumptions'!J68</f>
        <v>0</v>
      </c>
      <c r="K158" s="750">
        <f>$D158*'Calendar Assumptions'!K68</f>
        <v>0</v>
      </c>
      <c r="L158" s="750">
        <f>$D158*'Calendar Assumptions'!L68</f>
        <v>0</v>
      </c>
      <c r="M158" s="750">
        <f>$D158*'Calendar Assumptions'!M68</f>
        <v>0</v>
      </c>
      <c r="N158" s="750">
        <f>$D158*'Calendar Assumptions'!N68</f>
        <v>0</v>
      </c>
      <c r="O158" s="750">
        <f>$D158*'Calendar Assumptions'!O68</f>
        <v>0</v>
      </c>
      <c r="P158" s="750">
        <f>$D158*'Calendar Assumptions'!P68</f>
        <v>0</v>
      </c>
    </row>
    <row r="159" spans="1:16" ht="12.75" customHeight="1">
      <c r="A159" s="292"/>
      <c r="B159" s="734"/>
      <c r="C159" s="292" t="s">
        <v>770</v>
      </c>
      <c r="D159" s="292"/>
      <c r="E159" s="292"/>
      <c r="F159" s="760">
        <f t="shared" ref="F159:P159" si="41">SUM(F148:F158)</f>
        <v>163355.4</v>
      </c>
      <c r="G159" s="760">
        <f t="shared" si="41"/>
        <v>166823.28</v>
      </c>
      <c r="H159" s="760">
        <f t="shared" si="41"/>
        <v>170291.16000000003</v>
      </c>
      <c r="I159" s="760">
        <f t="shared" si="41"/>
        <v>182520</v>
      </c>
      <c r="J159" s="760">
        <f t="shared" si="41"/>
        <v>182520</v>
      </c>
      <c r="K159" s="760">
        <f t="shared" si="41"/>
        <v>182520</v>
      </c>
      <c r="L159" s="760">
        <f t="shared" si="41"/>
        <v>182520</v>
      </c>
      <c r="M159" s="760">
        <f t="shared" si="41"/>
        <v>182520</v>
      </c>
      <c r="N159" s="760">
        <f t="shared" si="41"/>
        <v>182520</v>
      </c>
      <c r="O159" s="760">
        <f t="shared" si="41"/>
        <v>182520</v>
      </c>
      <c r="P159" s="760">
        <f t="shared" si="41"/>
        <v>182520</v>
      </c>
    </row>
    <row r="160" spans="1:16" ht="15.75" customHeight="1">
      <c r="A160" s="292"/>
      <c r="B160" s="734"/>
      <c r="C160" s="292"/>
      <c r="D160" s="292"/>
      <c r="E160" s="292"/>
      <c r="F160" s="741"/>
      <c r="G160" s="741"/>
      <c r="H160" s="741"/>
      <c r="I160" s="741"/>
      <c r="J160" s="741"/>
      <c r="K160" s="741"/>
      <c r="L160" s="741"/>
      <c r="M160" s="741"/>
      <c r="N160" s="741"/>
      <c r="O160" s="741"/>
      <c r="P160" s="741"/>
    </row>
    <row r="161" spans="1:16" ht="15.75" customHeight="1">
      <c r="A161" s="292"/>
      <c r="B161" s="734"/>
      <c r="C161" s="292"/>
      <c r="D161" s="292"/>
      <c r="E161" s="292"/>
      <c r="F161" s="741"/>
      <c r="G161" s="741"/>
      <c r="H161" s="741"/>
      <c r="I161" s="741"/>
      <c r="J161" s="741"/>
      <c r="K161" s="741"/>
      <c r="L161" s="741"/>
      <c r="M161" s="741"/>
      <c r="N161" s="741"/>
      <c r="O161" s="741"/>
      <c r="P161" s="741"/>
    </row>
    <row r="162" spans="1:16" ht="15.75" customHeight="1">
      <c r="A162" s="292"/>
      <c r="B162" s="734"/>
      <c r="C162" s="292"/>
      <c r="D162" s="292"/>
      <c r="E162" s="292"/>
      <c r="F162" s="741"/>
      <c r="G162" s="741"/>
      <c r="H162" s="741"/>
      <c r="I162" s="741"/>
      <c r="J162" s="741"/>
      <c r="K162" s="741"/>
      <c r="L162" s="741"/>
      <c r="M162" s="741"/>
      <c r="N162" s="741"/>
      <c r="O162" s="741"/>
      <c r="P162" s="741"/>
    </row>
    <row r="163" spans="1:16" ht="15.75" customHeight="1">
      <c r="A163" s="292"/>
      <c r="B163" s="734"/>
      <c r="C163" s="292"/>
      <c r="D163" s="292"/>
      <c r="E163" s="292"/>
      <c r="F163" s="741"/>
      <c r="G163" s="741"/>
      <c r="H163" s="741"/>
      <c r="I163" s="741"/>
      <c r="J163" s="741"/>
      <c r="K163" s="741"/>
      <c r="L163" s="741"/>
      <c r="M163" s="741"/>
      <c r="N163" s="741"/>
      <c r="O163" s="741"/>
      <c r="P163" s="741"/>
    </row>
    <row r="164" spans="1:16" ht="15.75" customHeight="1">
      <c r="A164" s="292"/>
      <c r="B164" s="292"/>
      <c r="C164" s="292"/>
      <c r="D164" s="237"/>
      <c r="E164" s="292"/>
      <c r="F164" s="227">
        <f t="shared" ref="F164:P164" si="42">F145</f>
        <v>0</v>
      </c>
      <c r="G164" s="227">
        <f t="shared" si="42"/>
        <v>0</v>
      </c>
      <c r="H164" s="227">
        <f t="shared" si="42"/>
        <v>0</v>
      </c>
      <c r="I164" s="227">
        <f t="shared" si="42"/>
        <v>0</v>
      </c>
      <c r="J164" s="227">
        <f t="shared" si="42"/>
        <v>0</v>
      </c>
      <c r="K164" s="227">
        <f t="shared" si="42"/>
        <v>0</v>
      </c>
      <c r="L164" s="227">
        <f t="shared" si="42"/>
        <v>0</v>
      </c>
      <c r="M164" s="227">
        <f t="shared" si="42"/>
        <v>0</v>
      </c>
      <c r="N164" s="227">
        <f t="shared" si="42"/>
        <v>0</v>
      </c>
      <c r="O164" s="227">
        <f t="shared" si="42"/>
        <v>0</v>
      </c>
      <c r="P164" s="227">
        <f t="shared" si="42"/>
        <v>0</v>
      </c>
    </row>
    <row r="165" spans="1:16" ht="15.75" customHeight="1">
      <c r="A165" s="292"/>
      <c r="B165" s="24" t="s">
        <v>1555</v>
      </c>
      <c r="C165" s="292"/>
      <c r="D165" s="237"/>
      <c r="E165" s="292"/>
      <c r="F165" s="748" t="str">
        <f t="shared" ref="F165:P165" si="43">F146</f>
        <v>FY28</v>
      </c>
      <c r="G165" s="748" t="str">
        <f t="shared" si="43"/>
        <v>FY29</v>
      </c>
      <c r="H165" s="748" t="str">
        <f t="shared" si="43"/>
        <v>FY30</v>
      </c>
      <c r="I165" s="748" t="str">
        <f t="shared" si="43"/>
        <v>FY31</v>
      </c>
      <c r="J165" s="748" t="str">
        <f t="shared" si="43"/>
        <v>FY32</v>
      </c>
      <c r="K165" s="748" t="str">
        <f t="shared" si="43"/>
        <v>FY33</v>
      </c>
      <c r="L165" s="748" t="str">
        <f t="shared" si="43"/>
        <v>FY34</v>
      </c>
      <c r="M165" s="748" t="str">
        <f t="shared" si="43"/>
        <v>FY35</v>
      </c>
      <c r="N165" s="748" t="str">
        <f t="shared" si="43"/>
        <v>FY36</v>
      </c>
      <c r="O165" s="748" t="str">
        <f t="shared" si="43"/>
        <v>FY37</v>
      </c>
      <c r="P165" s="748" t="str">
        <f t="shared" si="43"/>
        <v>FY38</v>
      </c>
    </row>
    <row r="166" spans="1:16" ht="15.75" customHeight="1">
      <c r="A166" s="292"/>
      <c r="B166" s="292"/>
      <c r="C166" s="292"/>
      <c r="D166" s="292"/>
      <c r="E166" s="292"/>
      <c r="F166" s="741"/>
      <c r="G166" s="741"/>
      <c r="H166" s="741"/>
      <c r="I166" s="741"/>
      <c r="J166" s="741"/>
      <c r="K166" s="741"/>
      <c r="L166" s="741"/>
      <c r="M166" s="741"/>
      <c r="N166" s="741"/>
      <c r="O166" s="741"/>
      <c r="P166" s="741"/>
    </row>
    <row r="167" spans="1:16" ht="15.75" customHeight="1">
      <c r="A167" s="292"/>
      <c r="B167" s="292"/>
      <c r="C167" s="24" t="s">
        <v>1556</v>
      </c>
      <c r="D167" s="761">
        <f>Inputs!E338</f>
        <v>600000</v>
      </c>
      <c r="E167" s="292"/>
      <c r="F167" s="750">
        <f t="shared" ref="F167:F174" si="44">D167</f>
        <v>600000</v>
      </c>
      <c r="G167" s="750">
        <f>D167*(1+Inputs!$E$349)</f>
        <v>615000</v>
      </c>
      <c r="H167" s="750">
        <f>G167*(1+Inputs!$E$349)</f>
        <v>630375</v>
      </c>
      <c r="I167" s="750">
        <f>H167*(1+Inputs!$E$349)</f>
        <v>646134.375</v>
      </c>
      <c r="J167" s="750">
        <f>I167*(1+Inputs!$E$349)</f>
        <v>662287.734375</v>
      </c>
      <c r="K167" s="750">
        <f>J167*(1+Inputs!$E$349)</f>
        <v>678844.92773437488</v>
      </c>
      <c r="L167" s="750">
        <f>K167*(1+Inputs!$E$349)</f>
        <v>695816.05092773424</v>
      </c>
      <c r="M167" s="750">
        <f>L167*(1+Inputs!$E$349)</f>
        <v>713211.45220092754</v>
      </c>
      <c r="N167" s="750">
        <f>M167*(1+Inputs!$E$349)</f>
        <v>731041.73850595066</v>
      </c>
      <c r="O167" s="750">
        <f>N167*(1+Inputs!$E$349)</f>
        <v>749317.78196859942</v>
      </c>
      <c r="P167" s="750">
        <f>O167*(1+Inputs!$E$349)</f>
        <v>768050.72651781433</v>
      </c>
    </row>
    <row r="168" spans="1:16" ht="15.75" customHeight="1">
      <c r="A168" s="292"/>
      <c r="B168" s="292"/>
      <c r="C168" s="24" t="s">
        <v>1139</v>
      </c>
      <c r="D168" s="761">
        <f>Inputs!E339</f>
        <v>150000</v>
      </c>
      <c r="E168" s="292"/>
      <c r="F168" s="750">
        <f t="shared" si="44"/>
        <v>150000</v>
      </c>
      <c r="G168" s="750">
        <f>D168*(1+Inputs!$E$349)</f>
        <v>153750</v>
      </c>
      <c r="H168" s="750">
        <f>G168*(1+Inputs!$E$349)</f>
        <v>157593.75</v>
      </c>
      <c r="I168" s="750">
        <f>H168*(1+Inputs!$E$349)</f>
        <v>161533.59375</v>
      </c>
      <c r="J168" s="750">
        <f>I168*(1+Inputs!$E$349)</f>
        <v>165571.93359375</v>
      </c>
      <c r="K168" s="750">
        <f>J168*(1+Inputs!$E$349)</f>
        <v>169711.23193359372</v>
      </c>
      <c r="L168" s="750">
        <f>K168*(1+Inputs!$E$349)</f>
        <v>173954.01273193356</v>
      </c>
      <c r="M168" s="750">
        <f>L168*(1+Inputs!$E$349)</f>
        <v>178302.86305023188</v>
      </c>
      <c r="N168" s="750">
        <f>M168*(1+Inputs!$E$349)</f>
        <v>182760.43462648767</v>
      </c>
      <c r="O168" s="750">
        <f>N168*(1+Inputs!$E$349)</f>
        <v>187329.44549214985</v>
      </c>
      <c r="P168" s="750">
        <f>O168*(1+Inputs!$E$349)</f>
        <v>192012.68162945358</v>
      </c>
    </row>
    <row r="169" spans="1:16" ht="15.75" customHeight="1">
      <c r="A169" s="292"/>
      <c r="B169" s="292"/>
      <c r="C169" s="24" t="s">
        <v>1557</v>
      </c>
      <c r="D169" s="762">
        <f>Inputs!E340</f>
        <v>150000</v>
      </c>
      <c r="E169" s="292"/>
      <c r="F169" s="750">
        <f t="shared" si="44"/>
        <v>150000</v>
      </c>
      <c r="G169" s="750">
        <f>D169*(1+Inputs!$E$349)</f>
        <v>153750</v>
      </c>
      <c r="H169" s="750">
        <f>G169*(1+Inputs!$E$349)</f>
        <v>157593.75</v>
      </c>
      <c r="I169" s="750">
        <f>H169*(1+Inputs!$E$349)</f>
        <v>161533.59375</v>
      </c>
      <c r="J169" s="750">
        <f>I169*(1+Inputs!$E$349)</f>
        <v>165571.93359375</v>
      </c>
      <c r="K169" s="750">
        <f>J169*(1+Inputs!$E$349)</f>
        <v>169711.23193359372</v>
      </c>
      <c r="L169" s="750">
        <f>K169*(1+Inputs!$E$349)</f>
        <v>173954.01273193356</v>
      </c>
      <c r="M169" s="750">
        <f>L169*(1+Inputs!$E$349)</f>
        <v>178302.86305023188</v>
      </c>
      <c r="N169" s="750">
        <f>M169*(1+Inputs!$E$349)</f>
        <v>182760.43462648767</v>
      </c>
      <c r="O169" s="750">
        <f>N169*(1+Inputs!$E$349)</f>
        <v>187329.44549214985</v>
      </c>
      <c r="P169" s="750">
        <f>O169*(1+Inputs!$E$349)</f>
        <v>192012.68162945358</v>
      </c>
    </row>
    <row r="170" spans="1:16" ht="15.75" customHeight="1">
      <c r="A170" s="292"/>
      <c r="B170" s="292"/>
      <c r="C170" s="24" t="s">
        <v>1558</v>
      </c>
      <c r="D170" s="762">
        <f>Inputs!$E$341</f>
        <v>100000</v>
      </c>
      <c r="E170" s="292"/>
      <c r="F170" s="750">
        <f t="shared" si="44"/>
        <v>100000</v>
      </c>
      <c r="G170" s="750">
        <f>D170*(1+Inputs!$E$349)</f>
        <v>102499.99999999999</v>
      </c>
      <c r="H170" s="750">
        <f>G170*(1+Inputs!$E$349)</f>
        <v>105062.49999999997</v>
      </c>
      <c r="I170" s="750">
        <f>H170*(1+Inputs!$E$349)</f>
        <v>107689.06249999996</v>
      </c>
      <c r="J170" s="750">
        <f>I170*(1+Inputs!$E$349)</f>
        <v>110381.28906249994</v>
      </c>
      <c r="K170" s="750">
        <f>J170*(1+Inputs!$E$349)</f>
        <v>113140.82128906243</v>
      </c>
      <c r="L170" s="750">
        <f>K170*(1+Inputs!$E$349)</f>
        <v>115969.34182128898</v>
      </c>
      <c r="M170" s="750">
        <f>L170*(1+Inputs!$E$349)</f>
        <v>118868.5753668212</v>
      </c>
      <c r="N170" s="750">
        <f>M170*(1+Inputs!$E$349)</f>
        <v>121840.28975099172</v>
      </c>
      <c r="O170" s="750">
        <f>N170*(1+Inputs!$E$349)</f>
        <v>124886.29699476651</v>
      </c>
      <c r="P170" s="750">
        <f>O170*(1+Inputs!$E$349)</f>
        <v>128008.45441963566</v>
      </c>
    </row>
    <row r="171" spans="1:16" ht="15.75" customHeight="1">
      <c r="A171" s="292"/>
      <c r="B171" s="292"/>
      <c r="C171" s="24" t="s">
        <v>1559</v>
      </c>
      <c r="D171" s="762">
        <f>Inputs!E342</f>
        <v>50000</v>
      </c>
      <c r="E171" s="292"/>
      <c r="F171" s="750">
        <f t="shared" si="44"/>
        <v>50000</v>
      </c>
      <c r="G171" s="750">
        <f>D171*(1+Inputs!$E$349)</f>
        <v>51249.999999999993</v>
      </c>
      <c r="H171" s="750">
        <f>G171*(1+Inputs!$E$349)</f>
        <v>52531.249999999985</v>
      </c>
      <c r="I171" s="750">
        <f>H171*(1+Inputs!$E$349)</f>
        <v>53844.531249999978</v>
      </c>
      <c r="J171" s="750">
        <f>I171*(1+Inputs!$E$349)</f>
        <v>55190.644531249971</v>
      </c>
      <c r="K171" s="750">
        <f>J171*(1+Inputs!$E$349)</f>
        <v>56570.410644531214</v>
      </c>
      <c r="L171" s="750">
        <f>K171*(1+Inputs!$E$349)</f>
        <v>57984.670910644491</v>
      </c>
      <c r="M171" s="750">
        <f>L171*(1+Inputs!$E$349)</f>
        <v>59434.287683410599</v>
      </c>
      <c r="N171" s="750">
        <f>M171*(1+Inputs!$E$349)</f>
        <v>60920.144875495862</v>
      </c>
      <c r="O171" s="750">
        <f>N171*(1+Inputs!$E$349)</f>
        <v>62443.148497383256</v>
      </c>
      <c r="P171" s="750">
        <f>O171*(1+Inputs!$E$349)</f>
        <v>64004.227209817829</v>
      </c>
    </row>
    <row r="172" spans="1:16" ht="15.75" customHeight="1">
      <c r="A172" s="292"/>
      <c r="B172" s="292"/>
      <c r="C172" s="24" t="s">
        <v>1560</v>
      </c>
      <c r="D172" s="762">
        <f>Inputs!E343</f>
        <v>350000</v>
      </c>
      <c r="E172" s="292"/>
      <c r="F172" s="750">
        <f t="shared" si="44"/>
        <v>350000</v>
      </c>
      <c r="G172" s="750">
        <f>D172*(1+Inputs!$E$349)</f>
        <v>358749.99999999994</v>
      </c>
      <c r="H172" s="750">
        <f>G172*(1+Inputs!$E$349)</f>
        <v>367718.74999999988</v>
      </c>
      <c r="I172" s="750">
        <f>H172*(1+Inputs!$E$349)</f>
        <v>376911.71874999983</v>
      </c>
      <c r="J172" s="750">
        <f>I172*(1+Inputs!$E$349)</f>
        <v>386334.51171874977</v>
      </c>
      <c r="K172" s="750">
        <f>J172*(1+Inputs!$E$349)</f>
        <v>395992.87451171846</v>
      </c>
      <c r="L172" s="750">
        <f>K172*(1+Inputs!$E$349)</f>
        <v>405892.6963745114</v>
      </c>
      <c r="M172" s="750">
        <f>L172*(1+Inputs!$E$349)</f>
        <v>416040.01378387416</v>
      </c>
      <c r="N172" s="750">
        <f>M172*(1+Inputs!$E$349)</f>
        <v>426441.01412847097</v>
      </c>
      <c r="O172" s="750">
        <f>N172*(1+Inputs!$E$349)</f>
        <v>437102.0394816827</v>
      </c>
      <c r="P172" s="750">
        <f>O172*(1+Inputs!$E$349)</f>
        <v>448029.59046872472</v>
      </c>
    </row>
    <row r="173" spans="1:16" ht="15.75" customHeight="1">
      <c r="A173" s="292"/>
      <c r="B173" s="292"/>
      <c r="C173" s="24" t="s">
        <v>1561</v>
      </c>
      <c r="D173" s="762">
        <f>Inputs!E344</f>
        <v>250000</v>
      </c>
      <c r="E173" s="292"/>
      <c r="F173" s="750">
        <f t="shared" si="44"/>
        <v>250000</v>
      </c>
      <c r="G173" s="750">
        <f>D173*(1+Inputs!$E$349)</f>
        <v>256249.99999999997</v>
      </c>
      <c r="H173" s="750">
        <f>G173*(1+Inputs!$E$349)</f>
        <v>262656.24999999994</v>
      </c>
      <c r="I173" s="750">
        <f>H173*(1+Inputs!$E$349)</f>
        <v>269222.65624999994</v>
      </c>
      <c r="J173" s="750">
        <f>I173*(1+Inputs!$E$349)</f>
        <v>275953.22265624994</v>
      </c>
      <c r="K173" s="750">
        <f>J173*(1+Inputs!$E$349)</f>
        <v>282852.05322265619</v>
      </c>
      <c r="L173" s="750">
        <f>K173*(1+Inputs!$E$349)</f>
        <v>289923.3545532226</v>
      </c>
      <c r="M173" s="750">
        <f>L173*(1+Inputs!$E$349)</f>
        <v>297171.43841705314</v>
      </c>
      <c r="N173" s="750">
        <f>M173*(1+Inputs!$E$349)</f>
        <v>304600.72437747946</v>
      </c>
      <c r="O173" s="750">
        <f>N173*(1+Inputs!$E$349)</f>
        <v>312215.74248691642</v>
      </c>
      <c r="P173" s="750">
        <f>O173*(1+Inputs!$E$349)</f>
        <v>320021.13604908931</v>
      </c>
    </row>
    <row r="174" spans="1:16" ht="15.75" customHeight="1">
      <c r="A174" s="292"/>
      <c r="B174" s="292"/>
      <c r="C174" s="24" t="s">
        <v>1562</v>
      </c>
      <c r="D174" s="762">
        <f>Inputs!E345</f>
        <v>200000</v>
      </c>
      <c r="E174" s="292"/>
      <c r="F174" s="750">
        <f t="shared" si="44"/>
        <v>200000</v>
      </c>
      <c r="G174" s="750">
        <f>D174*(1+Inputs!$E$349)</f>
        <v>204999.99999999997</v>
      </c>
      <c r="H174" s="750">
        <f>G174*(1+Inputs!$E$349)</f>
        <v>210124.99999999994</v>
      </c>
      <c r="I174" s="750">
        <f>H174*(1+Inputs!$E$349)</f>
        <v>215378.12499999991</v>
      </c>
      <c r="J174" s="750">
        <f>I174*(1+Inputs!$E$349)</f>
        <v>220762.57812499988</v>
      </c>
      <c r="K174" s="750">
        <f>J174*(1+Inputs!$E$349)</f>
        <v>226281.64257812485</v>
      </c>
      <c r="L174" s="750">
        <f>K174*(1+Inputs!$E$349)</f>
        <v>231938.68364257796</v>
      </c>
      <c r="M174" s="750">
        <f>L174*(1+Inputs!$E$349)</f>
        <v>237737.1507336424</v>
      </c>
      <c r="N174" s="750">
        <f>M174*(1+Inputs!$E$349)</f>
        <v>243680.57950198345</v>
      </c>
      <c r="O174" s="750">
        <f>N174*(1+Inputs!$E$349)</f>
        <v>249772.59398953302</v>
      </c>
      <c r="P174" s="750">
        <f>O174*(1+Inputs!$E$349)</f>
        <v>256016.90883927132</v>
      </c>
    </row>
    <row r="175" spans="1:16" ht="15.75" customHeight="1">
      <c r="A175" s="292"/>
      <c r="B175" s="292"/>
      <c r="C175" s="237" t="s">
        <v>770</v>
      </c>
      <c r="D175" s="762">
        <f>SUM(D167:D174)</f>
        <v>1850000</v>
      </c>
      <c r="E175" s="292"/>
      <c r="F175" s="750">
        <f t="shared" ref="F175:P175" si="45">SUM(F167:F174)</f>
        <v>1850000</v>
      </c>
      <c r="G175" s="750">
        <f t="shared" si="45"/>
        <v>1896250</v>
      </c>
      <c r="H175" s="750">
        <f t="shared" si="45"/>
        <v>1943656.25</v>
      </c>
      <c r="I175" s="750">
        <f t="shared" si="45"/>
        <v>1992247.6562499998</v>
      </c>
      <c r="J175" s="750">
        <f t="shared" si="45"/>
        <v>2042053.8476562495</v>
      </c>
      <c r="K175" s="750">
        <f t="shared" si="45"/>
        <v>2093105.1938476556</v>
      </c>
      <c r="L175" s="750">
        <f t="shared" si="45"/>
        <v>2145432.8236938468</v>
      </c>
      <c r="M175" s="750">
        <f t="shared" si="45"/>
        <v>2199068.644286193</v>
      </c>
      <c r="N175" s="750">
        <f t="shared" si="45"/>
        <v>2254045.3603933472</v>
      </c>
      <c r="O175" s="750">
        <f t="shared" si="45"/>
        <v>2310396.4944031811</v>
      </c>
      <c r="P175" s="750">
        <f t="shared" si="45"/>
        <v>2368156.4067632607</v>
      </c>
    </row>
    <row r="176" spans="1:16" ht="14.25" customHeight="1">
      <c r="A176" s="292"/>
      <c r="B176" s="292"/>
      <c r="C176" s="237"/>
      <c r="D176" s="292"/>
      <c r="E176" s="763"/>
      <c r="F176" s="741"/>
      <c r="G176" s="741"/>
      <c r="H176" s="741"/>
      <c r="I176" s="741"/>
      <c r="J176" s="741"/>
      <c r="K176" s="741"/>
      <c r="L176" s="741"/>
      <c r="M176" s="741"/>
      <c r="N176" s="741"/>
      <c r="O176" s="741"/>
      <c r="P176" s="741"/>
    </row>
    <row r="177" spans="1:16" ht="14.25" customHeight="1">
      <c r="A177" s="292"/>
      <c r="B177" s="292"/>
      <c r="C177" s="237"/>
      <c r="D177" s="292"/>
      <c r="E177" s="763"/>
      <c r="F177" s="741"/>
      <c r="G177" s="741"/>
      <c r="H177" s="741"/>
      <c r="I177" s="741"/>
      <c r="J177" s="741"/>
      <c r="K177" s="741"/>
      <c r="L177" s="741"/>
      <c r="M177" s="741"/>
      <c r="N177" s="741"/>
      <c r="O177" s="741"/>
      <c r="P177" s="741"/>
    </row>
    <row r="178" spans="1:16" ht="14.25" customHeight="1">
      <c r="A178" s="292"/>
      <c r="B178" s="292"/>
      <c r="C178" s="237"/>
      <c r="D178" s="292"/>
      <c r="E178" s="763"/>
      <c r="F178" s="741"/>
      <c r="G178" s="741"/>
      <c r="H178" s="741"/>
      <c r="I178" s="741"/>
      <c r="J178" s="741"/>
      <c r="K178" s="741"/>
      <c r="L178" s="741"/>
      <c r="M178" s="741"/>
      <c r="N178" s="741"/>
      <c r="O178" s="741"/>
      <c r="P178" s="741"/>
    </row>
    <row r="179" spans="1:16" ht="15.75" customHeight="1">
      <c r="A179" s="292"/>
      <c r="B179" s="292"/>
      <c r="C179" s="292"/>
      <c r="D179" s="292"/>
      <c r="E179" s="237"/>
      <c r="F179" s="227" t="s">
        <v>153</v>
      </c>
      <c r="G179" s="227" t="s">
        <v>154</v>
      </c>
      <c r="H179" s="227" t="s">
        <v>155</v>
      </c>
      <c r="I179" s="227" t="s">
        <v>201</v>
      </c>
      <c r="J179" s="227" t="s">
        <v>202</v>
      </c>
      <c r="K179" s="227" t="s">
        <v>203</v>
      </c>
      <c r="L179" s="227" t="s">
        <v>204</v>
      </c>
      <c r="M179" s="227" t="s">
        <v>205</v>
      </c>
      <c r="N179" s="227" t="s">
        <v>206</v>
      </c>
      <c r="O179" s="227" t="s">
        <v>207</v>
      </c>
      <c r="P179" s="227" t="s">
        <v>208</v>
      </c>
    </row>
    <row r="180" spans="1:16" ht="15.75" customHeight="1">
      <c r="A180" s="292"/>
      <c r="B180" s="292"/>
      <c r="C180" s="24" t="s">
        <v>1555</v>
      </c>
      <c r="D180" s="292"/>
      <c r="E180" s="237"/>
      <c r="F180" s="748">
        <v>2027</v>
      </c>
      <c r="G180" s="748">
        <v>2028</v>
      </c>
      <c r="H180" s="748">
        <v>2029</v>
      </c>
      <c r="I180" s="748">
        <v>2030</v>
      </c>
      <c r="J180" s="748">
        <v>2031</v>
      </c>
      <c r="K180" s="748">
        <v>2032</v>
      </c>
      <c r="L180" s="748">
        <v>2033</v>
      </c>
      <c r="M180" s="748">
        <v>2034</v>
      </c>
      <c r="N180" s="748">
        <v>2035</v>
      </c>
      <c r="O180" s="748">
        <v>2036</v>
      </c>
      <c r="P180" s="748">
        <v>2036</v>
      </c>
    </row>
    <row r="181" spans="1:16" ht="15.75" customHeight="1">
      <c r="A181" s="292"/>
      <c r="B181" s="292"/>
      <c r="C181" s="24" t="s">
        <v>1563</v>
      </c>
      <c r="D181" s="762">
        <f>Inputs!$E$346</f>
        <v>375000</v>
      </c>
      <c r="E181" s="292"/>
      <c r="F181" s="750">
        <f t="shared" ref="F181:F182" si="46">D181</f>
        <v>375000</v>
      </c>
      <c r="G181" s="750">
        <f>D181*(1+Inputs!$E$349)</f>
        <v>384374.99999999994</v>
      </c>
      <c r="H181" s="750">
        <f>G181*(1+Inputs!$E$349)</f>
        <v>393984.37499999988</v>
      </c>
      <c r="I181" s="750">
        <f>H181*(1+Inputs!$E$349)</f>
        <v>403833.98437499983</v>
      </c>
      <c r="J181" s="750">
        <f>I181*(1+Inputs!$E$349)</f>
        <v>413929.83398437477</v>
      </c>
      <c r="K181" s="750">
        <f>J181*(1+Inputs!$E$349)</f>
        <v>424278.07983398408</v>
      </c>
      <c r="L181" s="750">
        <f>K181*(1+Inputs!$E$349)</f>
        <v>434885.03182983364</v>
      </c>
      <c r="M181" s="750">
        <f>L181*(1+Inputs!$E$349)</f>
        <v>445757.15762557945</v>
      </c>
      <c r="N181" s="750">
        <f>M181*(1+Inputs!$E$349)</f>
        <v>456901.08656621887</v>
      </c>
      <c r="O181" s="750">
        <f>N181*(1+Inputs!$E$349)</f>
        <v>468323.61373037432</v>
      </c>
      <c r="P181" s="750">
        <f>O181*(1+Inputs!$E$349)</f>
        <v>480031.70407363365</v>
      </c>
    </row>
    <row r="182" spans="1:16" ht="15.75" customHeight="1">
      <c r="A182" s="292"/>
      <c r="B182" s="292"/>
      <c r="C182" s="24" t="s">
        <v>1564</v>
      </c>
      <c r="D182" s="762">
        <f>Inputs!$E$347</f>
        <v>200000</v>
      </c>
      <c r="E182" s="292"/>
      <c r="F182" s="750">
        <f t="shared" si="46"/>
        <v>200000</v>
      </c>
      <c r="G182" s="750">
        <f>D182*(1+Inputs!$E$349)</f>
        <v>204999.99999999997</v>
      </c>
      <c r="H182" s="750">
        <f>G182*(1+Inputs!$E$349)</f>
        <v>210124.99999999994</v>
      </c>
      <c r="I182" s="750">
        <f>H182*(1+Inputs!$E$349)</f>
        <v>215378.12499999991</v>
      </c>
      <c r="J182" s="750">
        <f>I182*(1+Inputs!$E$349)</f>
        <v>220762.57812499988</v>
      </c>
      <c r="K182" s="750">
        <f>J182*(1+Inputs!$E$349)</f>
        <v>226281.64257812485</v>
      </c>
      <c r="L182" s="750">
        <f>K182*(1+Inputs!$E$349)</f>
        <v>231938.68364257796</v>
      </c>
      <c r="M182" s="750">
        <f>L182*(1+Inputs!$E$349)</f>
        <v>237737.1507336424</v>
      </c>
      <c r="N182" s="750">
        <f>M182*(1+Inputs!$E$349)</f>
        <v>243680.57950198345</v>
      </c>
      <c r="O182" s="750">
        <f>N182*(1+Inputs!$E$349)</f>
        <v>249772.59398953302</v>
      </c>
      <c r="P182" s="750">
        <f>O182*(1+Inputs!$E$349)</f>
        <v>256016.90883927132</v>
      </c>
    </row>
    <row r="183" spans="1:16" ht="15.75" customHeight="1">
      <c r="A183" s="292"/>
      <c r="B183" s="292"/>
      <c r="C183" s="292" t="s">
        <v>770</v>
      </c>
      <c r="D183" s="762">
        <f>SUM(D181:D182)</f>
        <v>575000</v>
      </c>
      <c r="E183" s="292"/>
      <c r="F183" s="750">
        <f t="shared" ref="F183:P183" si="47">SUM(F181:F182)</f>
        <v>575000</v>
      </c>
      <c r="G183" s="750">
        <f t="shared" si="47"/>
        <v>589374.99999999988</v>
      </c>
      <c r="H183" s="750">
        <f t="shared" si="47"/>
        <v>604109.37499999977</v>
      </c>
      <c r="I183" s="750">
        <f t="shared" si="47"/>
        <v>619212.10937499977</v>
      </c>
      <c r="J183" s="750">
        <f t="shared" si="47"/>
        <v>634692.41210937465</v>
      </c>
      <c r="K183" s="750">
        <f t="shared" si="47"/>
        <v>650559.72241210891</v>
      </c>
      <c r="L183" s="750">
        <f t="shared" si="47"/>
        <v>666823.7154724116</v>
      </c>
      <c r="M183" s="750">
        <f t="shared" si="47"/>
        <v>683494.30835922179</v>
      </c>
      <c r="N183" s="750">
        <f t="shared" si="47"/>
        <v>700581.66606820235</v>
      </c>
      <c r="O183" s="750">
        <f t="shared" si="47"/>
        <v>718096.2077199074</v>
      </c>
      <c r="P183" s="750">
        <f t="shared" si="47"/>
        <v>736048.61291290494</v>
      </c>
    </row>
    <row r="184" spans="1:16" ht="15.75" customHeight="1"/>
    <row r="185" spans="1:16" ht="15.75" customHeight="1"/>
    <row r="186" spans="1:16" ht="15.75" customHeight="1"/>
    <row r="187" spans="1:16" ht="15.75" customHeight="1">
      <c r="B187" s="764" t="s">
        <v>1565</v>
      </c>
      <c r="C187" s="765"/>
      <c r="D187" s="766" t="s">
        <v>1566</v>
      </c>
      <c r="E187" s="766" t="s">
        <v>1567</v>
      </c>
      <c r="F187" s="767" t="str">
        <f t="shared" ref="F187:P187" si="48">F179</f>
        <v>FY28</v>
      </c>
      <c r="G187" s="767" t="str">
        <f t="shared" si="48"/>
        <v>FY29</v>
      </c>
      <c r="H187" s="767" t="str">
        <f t="shared" si="48"/>
        <v>FY30</v>
      </c>
      <c r="I187" s="767" t="str">
        <f t="shared" si="48"/>
        <v>FY31</v>
      </c>
      <c r="J187" s="767" t="str">
        <f t="shared" si="48"/>
        <v>FY32</v>
      </c>
      <c r="K187" s="767" t="str">
        <f t="shared" si="48"/>
        <v>FY33</v>
      </c>
      <c r="L187" s="767" t="str">
        <f t="shared" si="48"/>
        <v>FY34</v>
      </c>
      <c r="M187" s="767" t="str">
        <f t="shared" si="48"/>
        <v>FY35</v>
      </c>
      <c r="N187" s="767" t="str">
        <f t="shared" si="48"/>
        <v>FY36</v>
      </c>
      <c r="O187" s="767" t="str">
        <f t="shared" si="48"/>
        <v>FY37</v>
      </c>
      <c r="P187" s="767" t="str">
        <f t="shared" si="48"/>
        <v>FY38</v>
      </c>
    </row>
    <row r="188" spans="1:16" ht="15.75" customHeight="1">
      <c r="B188" s="768">
        <v>1</v>
      </c>
      <c r="C188" s="24" t="s">
        <v>261</v>
      </c>
      <c r="D188" s="769">
        <f>Inputs!E705</f>
        <v>1</v>
      </c>
      <c r="E188" s="769">
        <f>Inputs!E692</f>
        <v>1</v>
      </c>
      <c r="F188" s="770">
        <f>('Calendar Assumptions'!F5*$D$188*Inputs!$E$359)+('Calendar Assumptions'!F5*$E$188*Inputs!$E$358)</f>
        <v>255075</v>
      </c>
      <c r="G188" s="770">
        <f>('Calendar Assumptions'!G5*$D$188*Inputs!$E$359)+('Calendar Assumptions'!G5*$E$188*Inputs!$E$358)</f>
        <v>260490</v>
      </c>
      <c r="H188" s="770">
        <f>('Calendar Assumptions'!H5*$D$188*Inputs!$E$359)+('Calendar Assumptions'!H5*$E$188*Inputs!$E$358)</f>
        <v>265905</v>
      </c>
      <c r="I188" s="770">
        <f>('Calendar Assumptions'!I5*$D$188*Inputs!$E$359)+('Calendar Assumptions'!I5*$E$188*Inputs!$E$358)</f>
        <v>285000</v>
      </c>
      <c r="J188" s="770">
        <f>('Calendar Assumptions'!J5*$D$188*Inputs!$E$359)+('Calendar Assumptions'!J5*$E$188*Inputs!$E$358)</f>
        <v>285000</v>
      </c>
      <c r="K188" s="770">
        <f>('Calendar Assumptions'!K5*$D$188*Inputs!$E$359)+('Calendar Assumptions'!K5*$E$188*Inputs!$E$358)</f>
        <v>285000</v>
      </c>
      <c r="L188" s="770">
        <f>('Calendar Assumptions'!L5*$D$188*Inputs!$E$359)+('Calendar Assumptions'!L5*$E$188*Inputs!$E$358)</f>
        <v>285000</v>
      </c>
      <c r="M188" s="770">
        <f>('Calendar Assumptions'!M5*$D$188*Inputs!$E$359)+('Calendar Assumptions'!M5*$E$188*Inputs!$E$358)</f>
        <v>285000</v>
      </c>
      <c r="N188" s="770">
        <f>('Calendar Assumptions'!N5*$D$188*Inputs!$E$359)+('Calendar Assumptions'!N5*$E$188*Inputs!$E$358)</f>
        <v>285000</v>
      </c>
      <c r="O188" s="770">
        <f>('Calendar Assumptions'!O5*$D$188*Inputs!$E$359)+('Calendar Assumptions'!O5*$E$188*Inputs!$E$358)</f>
        <v>285000</v>
      </c>
      <c r="P188" s="770">
        <f>('Calendar Assumptions'!P5*$D$188*Inputs!$E$359)+('Calendar Assumptions'!P5*$E$188*Inputs!$E$358)</f>
        <v>285000</v>
      </c>
    </row>
    <row r="189" spans="1:16" ht="15.75" customHeight="1">
      <c r="B189" s="768">
        <v>2</v>
      </c>
      <c r="C189" s="24" t="s">
        <v>263</v>
      </c>
      <c r="D189" s="769">
        <f>Inputs!E706</f>
        <v>1</v>
      </c>
      <c r="E189" s="769">
        <f>Inputs!E693</f>
        <v>0.8</v>
      </c>
      <c r="F189" s="770">
        <f>('Calendar Assumptions'!F6*$D$188*Inputs!$E$359)+('Calendar Assumptions'!F6*$E$188*Inputs!$E$358)</f>
        <v>241650</v>
      </c>
      <c r="G189" s="770">
        <f>('Calendar Assumptions'!G6*$D$188*Inputs!$E$359)+('Calendar Assumptions'!G6*$E$188*Inputs!$E$358)</f>
        <v>246780.00000000006</v>
      </c>
      <c r="H189" s="770">
        <f>('Calendar Assumptions'!H6*$D$188*Inputs!$E$359)+('Calendar Assumptions'!H6*$E$188*Inputs!$E$358)</f>
        <v>251910</v>
      </c>
      <c r="I189" s="770">
        <f>('Calendar Assumptions'!I6*$D$188*Inputs!$E$359)+('Calendar Assumptions'!I6*$E$188*Inputs!$E$358)</f>
        <v>270000</v>
      </c>
      <c r="J189" s="770">
        <f>('Calendar Assumptions'!J6*$D$188*Inputs!$E$359)+('Calendar Assumptions'!J6*$E$188*Inputs!$E$358)</f>
        <v>270000</v>
      </c>
      <c r="K189" s="770">
        <f>('Calendar Assumptions'!K6*$D$188*Inputs!$E$359)+('Calendar Assumptions'!K6*$E$188*Inputs!$E$358)</f>
        <v>270000</v>
      </c>
      <c r="L189" s="770">
        <f>('Calendar Assumptions'!L6*$D$188*Inputs!$E$359)+('Calendar Assumptions'!L6*$E$188*Inputs!$E$358)</f>
        <v>270000</v>
      </c>
      <c r="M189" s="770">
        <f>('Calendar Assumptions'!M6*$D$188*Inputs!$E$359)+('Calendar Assumptions'!M6*$E$188*Inputs!$E$358)</f>
        <v>270000</v>
      </c>
      <c r="N189" s="770">
        <f>('Calendar Assumptions'!N6*$D$188*Inputs!$E$359)+('Calendar Assumptions'!N6*$E$188*Inputs!$E$358)</f>
        <v>270000</v>
      </c>
      <c r="O189" s="770">
        <f>('Calendar Assumptions'!O6*$D$188*Inputs!$E$359)+('Calendar Assumptions'!O6*$E$188*Inputs!$E$358)</f>
        <v>270000</v>
      </c>
      <c r="P189" s="770">
        <f>('Calendar Assumptions'!P6*$D$188*Inputs!$E$359)+('Calendar Assumptions'!P6*$E$188*Inputs!$E$358)</f>
        <v>270000</v>
      </c>
    </row>
    <row r="190" spans="1:16" ht="15.75" customHeight="1">
      <c r="B190" s="768">
        <v>3</v>
      </c>
      <c r="C190" s="24" t="s">
        <v>265</v>
      </c>
      <c r="D190" s="769">
        <f>Inputs!E707</f>
        <v>1</v>
      </c>
      <c r="E190" s="769">
        <f>Inputs!E694</f>
        <v>0.9</v>
      </c>
      <c r="F190" s="770">
        <f>('Calendar Assumptions'!F7*$D$188*Inputs!$E$359)+('Calendar Assumptions'!F7*$E$188*Inputs!$E$358)</f>
        <v>201375</v>
      </c>
      <c r="G190" s="770">
        <f>('Calendar Assumptions'!G7*$D$188*Inputs!$E$359)+('Calendar Assumptions'!G7*$E$188*Inputs!$E$358)</f>
        <v>205650</v>
      </c>
      <c r="H190" s="770">
        <f>('Calendar Assumptions'!H7*$D$188*Inputs!$E$359)+('Calendar Assumptions'!H7*$E$188*Inputs!$E$358)</f>
        <v>209925</v>
      </c>
      <c r="I190" s="770">
        <f>('Calendar Assumptions'!I7*$D$188*Inputs!$E$359)+('Calendar Assumptions'!I7*$E$188*Inputs!$E$358)</f>
        <v>225000</v>
      </c>
      <c r="J190" s="770">
        <f>('Calendar Assumptions'!J7*$D$188*Inputs!$E$359)+('Calendar Assumptions'!J7*$E$188*Inputs!$E$358)</f>
        <v>225000</v>
      </c>
      <c r="K190" s="770">
        <f>('Calendar Assumptions'!K7*$D$188*Inputs!$E$359)+('Calendar Assumptions'!K7*$E$188*Inputs!$E$358)</f>
        <v>225000</v>
      </c>
      <c r="L190" s="770">
        <f>('Calendar Assumptions'!L7*$D$188*Inputs!$E$359)+('Calendar Assumptions'!L7*$E$188*Inputs!$E$358)</f>
        <v>225000</v>
      </c>
      <c r="M190" s="770">
        <f>('Calendar Assumptions'!M7*$D$188*Inputs!$E$359)+('Calendar Assumptions'!M7*$E$188*Inputs!$E$358)</f>
        <v>225000</v>
      </c>
      <c r="N190" s="770">
        <f>('Calendar Assumptions'!N7*$D$188*Inputs!$E$359)+('Calendar Assumptions'!N7*$E$188*Inputs!$E$358)</f>
        <v>225000</v>
      </c>
      <c r="O190" s="770">
        <f>('Calendar Assumptions'!O7*$D$188*Inputs!$E$359)+('Calendar Assumptions'!O7*$E$188*Inputs!$E$358)</f>
        <v>225000</v>
      </c>
      <c r="P190" s="770">
        <f>('Calendar Assumptions'!P7*$D$188*Inputs!$E$359)+('Calendar Assumptions'!P7*$E$188*Inputs!$E$358)</f>
        <v>225000</v>
      </c>
    </row>
    <row r="191" spans="1:16" ht="15.75" customHeight="1">
      <c r="B191" s="768">
        <v>4</v>
      </c>
      <c r="C191" s="233" t="s">
        <v>1541</v>
      </c>
      <c r="D191" s="769">
        <f>Inputs!E708</f>
        <v>1</v>
      </c>
      <c r="E191" s="769">
        <f>Inputs!E695</f>
        <v>1</v>
      </c>
      <c r="F191" s="770">
        <f>('Calendar Assumptions'!F8*$D$188*Inputs!$E$359)+('Calendar Assumptions'!F8*$E$188*Inputs!$E$358)</f>
        <v>241650</v>
      </c>
      <c r="G191" s="770">
        <f>('Calendar Assumptions'!G8*$D$188*Inputs!$E$359)+('Calendar Assumptions'!G8*$E$188*Inputs!$E$358)</f>
        <v>246780.00000000006</v>
      </c>
      <c r="H191" s="770">
        <f>('Calendar Assumptions'!H8*$D$188*Inputs!$E$359)+('Calendar Assumptions'!H8*$E$188*Inputs!$E$358)</f>
        <v>251910</v>
      </c>
      <c r="I191" s="770">
        <f>('Calendar Assumptions'!I8*$D$188*Inputs!$E$359)+('Calendar Assumptions'!I8*$E$188*Inputs!$E$358)</f>
        <v>270000</v>
      </c>
      <c r="J191" s="770">
        <f>('Calendar Assumptions'!J8*$D$188*Inputs!$E$359)+('Calendar Assumptions'!J8*$E$188*Inputs!$E$358)</f>
        <v>270000</v>
      </c>
      <c r="K191" s="770">
        <f>('Calendar Assumptions'!K8*$D$188*Inputs!$E$359)+('Calendar Assumptions'!K8*$E$188*Inputs!$E$358)</f>
        <v>270000</v>
      </c>
      <c r="L191" s="770">
        <f>('Calendar Assumptions'!L8*$D$188*Inputs!$E$359)+('Calendar Assumptions'!L8*$E$188*Inputs!$E$358)</f>
        <v>270000</v>
      </c>
      <c r="M191" s="770">
        <f>('Calendar Assumptions'!M8*$D$188*Inputs!$E$359)+('Calendar Assumptions'!M8*$E$188*Inputs!$E$358)</f>
        <v>270000</v>
      </c>
      <c r="N191" s="770">
        <f>('Calendar Assumptions'!N8*$D$188*Inputs!$E$359)+('Calendar Assumptions'!N8*$E$188*Inputs!$E$358)</f>
        <v>270000</v>
      </c>
      <c r="O191" s="770">
        <f>('Calendar Assumptions'!O8*$D$188*Inputs!$E$359)+('Calendar Assumptions'!O8*$E$188*Inputs!$E$358)</f>
        <v>270000</v>
      </c>
      <c r="P191" s="770">
        <f>('Calendar Assumptions'!P8*$D$188*Inputs!$E$359)+('Calendar Assumptions'!P8*$E$188*Inputs!$E$358)</f>
        <v>270000</v>
      </c>
    </row>
    <row r="192" spans="1:16" ht="15.75" customHeight="1">
      <c r="B192" s="768">
        <v>5</v>
      </c>
      <c r="C192" s="233" t="s">
        <v>1076</v>
      </c>
      <c r="D192" s="769">
        <f>Inputs!E709</f>
        <v>1</v>
      </c>
      <c r="E192" s="769">
        <f>Inputs!E696</f>
        <v>0.8</v>
      </c>
      <c r="F192" s="770">
        <f>('Calendar Assumptions'!F9*$D$188*Inputs!$E$359)+('Calendar Assumptions'!F9*$E$188*Inputs!$E$358)</f>
        <v>201375</v>
      </c>
      <c r="G192" s="770">
        <f>('Calendar Assumptions'!G9*$D$188*Inputs!$E$359)+('Calendar Assumptions'!G9*$E$188*Inputs!$E$358)</f>
        <v>205650</v>
      </c>
      <c r="H192" s="770">
        <f>('Calendar Assumptions'!H9*$D$188*Inputs!$E$359)+('Calendar Assumptions'!H9*$E$188*Inputs!$E$358)</f>
        <v>209925</v>
      </c>
      <c r="I192" s="770">
        <f>('Calendar Assumptions'!I9*$D$188*Inputs!$E$359)+('Calendar Assumptions'!I9*$E$188*Inputs!$E$358)</f>
        <v>225000</v>
      </c>
      <c r="J192" s="770">
        <f>('Calendar Assumptions'!J9*$D$188*Inputs!$E$359)+('Calendar Assumptions'!J9*$E$188*Inputs!$E$358)</f>
        <v>225000</v>
      </c>
      <c r="K192" s="770">
        <f>('Calendar Assumptions'!K9*$D$188*Inputs!$E$359)+('Calendar Assumptions'!K9*$E$188*Inputs!$E$358)</f>
        <v>225000</v>
      </c>
      <c r="L192" s="770">
        <f>('Calendar Assumptions'!L9*$D$188*Inputs!$E$359)+('Calendar Assumptions'!L9*$E$188*Inputs!$E$358)</f>
        <v>225000</v>
      </c>
      <c r="M192" s="770">
        <f>('Calendar Assumptions'!M9*$D$188*Inputs!$E$359)+('Calendar Assumptions'!M9*$E$188*Inputs!$E$358)</f>
        <v>225000</v>
      </c>
      <c r="N192" s="770">
        <f>('Calendar Assumptions'!N9*$D$188*Inputs!$E$359)+('Calendar Assumptions'!N9*$E$188*Inputs!$E$358)</f>
        <v>225000</v>
      </c>
      <c r="O192" s="770">
        <f>('Calendar Assumptions'!O9*$D$188*Inputs!$E$359)+('Calendar Assumptions'!O9*$E$188*Inputs!$E$358)</f>
        <v>225000</v>
      </c>
      <c r="P192" s="770">
        <f>('Calendar Assumptions'!P9*$D$188*Inputs!$E$359)+('Calendar Assumptions'!P9*$E$188*Inputs!$E$358)</f>
        <v>225000</v>
      </c>
    </row>
    <row r="193" spans="1:16" ht="15.75" customHeight="1">
      <c r="B193" s="768">
        <v>6</v>
      </c>
      <c r="C193" s="233" t="s">
        <v>1078</v>
      </c>
      <c r="D193" s="769">
        <f>Inputs!E710</f>
        <v>1</v>
      </c>
      <c r="E193" s="769">
        <f>Inputs!E697</f>
        <v>0.6</v>
      </c>
      <c r="F193" s="770">
        <f>('Calendar Assumptions'!F10*$D$188*Inputs!$E$359)+('Calendar Assumptions'!F10*$E$188*Inputs!$E$358)</f>
        <v>201375</v>
      </c>
      <c r="G193" s="770">
        <f>('Calendar Assumptions'!G10*$D$188*Inputs!$E$359)+('Calendar Assumptions'!G10*$E$188*Inputs!$E$358)</f>
        <v>205650</v>
      </c>
      <c r="H193" s="770">
        <f>('Calendar Assumptions'!H10*$D$188*Inputs!$E$359)+('Calendar Assumptions'!H10*$E$188*Inputs!$E$358)</f>
        <v>209925</v>
      </c>
      <c r="I193" s="770">
        <f>('Calendar Assumptions'!I10*$D$188*Inputs!$E$359)+('Calendar Assumptions'!I10*$E$188*Inputs!$E$358)</f>
        <v>225000</v>
      </c>
      <c r="J193" s="770">
        <f>('Calendar Assumptions'!J10*$D$188*Inputs!$E$359)+('Calendar Assumptions'!J10*$E$188*Inputs!$E$358)</f>
        <v>225000</v>
      </c>
      <c r="K193" s="770">
        <f>('Calendar Assumptions'!K10*$D$188*Inputs!$E$359)+('Calendar Assumptions'!K10*$E$188*Inputs!$E$358)</f>
        <v>225000</v>
      </c>
      <c r="L193" s="770">
        <f>('Calendar Assumptions'!L10*$D$188*Inputs!$E$359)+('Calendar Assumptions'!L10*$E$188*Inputs!$E$358)</f>
        <v>225000</v>
      </c>
      <c r="M193" s="770">
        <f>('Calendar Assumptions'!M10*$D$188*Inputs!$E$359)+('Calendar Assumptions'!M10*$E$188*Inputs!$E$358)</f>
        <v>225000</v>
      </c>
      <c r="N193" s="770">
        <f>('Calendar Assumptions'!N10*$D$188*Inputs!$E$359)+('Calendar Assumptions'!N10*$E$188*Inputs!$E$358)</f>
        <v>225000</v>
      </c>
      <c r="O193" s="770">
        <f>('Calendar Assumptions'!O10*$D$188*Inputs!$E$359)+('Calendar Assumptions'!O10*$E$188*Inputs!$E$358)</f>
        <v>225000</v>
      </c>
      <c r="P193" s="770">
        <f>('Calendar Assumptions'!P10*$D$188*Inputs!$E$359)+('Calendar Assumptions'!P10*$E$188*Inputs!$E$358)</f>
        <v>225000</v>
      </c>
    </row>
    <row r="194" spans="1:16" ht="15.75" customHeight="1">
      <c r="B194" s="768">
        <v>7</v>
      </c>
      <c r="C194" s="233" t="s">
        <v>1080</v>
      </c>
      <c r="D194" s="769">
        <f>Inputs!E711</f>
        <v>1</v>
      </c>
      <c r="E194" s="769">
        <f>Inputs!E698</f>
        <v>0.8</v>
      </c>
      <c r="F194" s="770">
        <f>('Calendar Assumptions'!F11*$D$188*Inputs!$E$359)+('Calendar Assumptions'!F11*$E$188*Inputs!$E$358)</f>
        <v>40275</v>
      </c>
      <c r="G194" s="770">
        <f>('Calendar Assumptions'!G11*$D$188*Inputs!$E$359)+('Calendar Assumptions'!G11*$E$188*Inputs!$E$358)</f>
        <v>41130</v>
      </c>
      <c r="H194" s="770">
        <f>('Calendar Assumptions'!H11*$D$188*Inputs!$E$359)+('Calendar Assumptions'!H11*$E$188*Inputs!$E$358)</f>
        <v>41985.000000000007</v>
      </c>
      <c r="I194" s="770">
        <f>('Calendar Assumptions'!I11*$D$188*Inputs!$E$359)+('Calendar Assumptions'!I11*$E$188*Inputs!$E$358)</f>
        <v>45000</v>
      </c>
      <c r="J194" s="770">
        <f>('Calendar Assumptions'!J11*$D$188*Inputs!$E$359)+('Calendar Assumptions'!J11*$E$188*Inputs!$E$358)</f>
        <v>45000</v>
      </c>
      <c r="K194" s="770">
        <f>('Calendar Assumptions'!K11*$D$188*Inputs!$E$359)+('Calendar Assumptions'!K11*$E$188*Inputs!$E$358)</f>
        <v>45000</v>
      </c>
      <c r="L194" s="770">
        <f>('Calendar Assumptions'!L11*$D$188*Inputs!$E$359)+('Calendar Assumptions'!L11*$E$188*Inputs!$E$358)</f>
        <v>45000</v>
      </c>
      <c r="M194" s="770">
        <f>('Calendar Assumptions'!M11*$D$188*Inputs!$E$359)+('Calendar Assumptions'!M11*$E$188*Inputs!$E$358)</f>
        <v>45000</v>
      </c>
      <c r="N194" s="770">
        <f>('Calendar Assumptions'!N11*$D$188*Inputs!$E$359)+('Calendar Assumptions'!N11*$E$188*Inputs!$E$358)</f>
        <v>45000</v>
      </c>
      <c r="O194" s="770">
        <f>('Calendar Assumptions'!O11*$D$188*Inputs!$E$359)+('Calendar Assumptions'!O11*$E$188*Inputs!$E$358)</f>
        <v>45000</v>
      </c>
      <c r="P194" s="770">
        <f>('Calendar Assumptions'!P11*$D$188*Inputs!$E$359)+('Calendar Assumptions'!P11*$E$188*Inputs!$E$358)</f>
        <v>45000</v>
      </c>
    </row>
    <row r="195" spans="1:16" ht="15.75" customHeight="1">
      <c r="B195" s="768">
        <v>8</v>
      </c>
      <c r="C195" s="233" t="s">
        <v>311</v>
      </c>
      <c r="D195" s="769">
        <f>Inputs!E712</f>
        <v>1</v>
      </c>
      <c r="E195" s="769">
        <f>Inputs!E699</f>
        <v>0.5</v>
      </c>
      <c r="F195" s="770">
        <f>('Calendar Assumptions'!F12*$D$188*Inputs!$E$359)+('Calendar Assumptions'!F12*$E$188*Inputs!$E$358)</f>
        <v>389325.00000000006</v>
      </c>
      <c r="G195" s="770">
        <f>('Calendar Assumptions'!G12*$D$188*Inputs!$E$359)+('Calendar Assumptions'!G12*$E$188*Inputs!$E$358)</f>
        <v>397590</v>
      </c>
      <c r="H195" s="770">
        <f>('Calendar Assumptions'!H12*$D$188*Inputs!$E$359)+('Calendar Assumptions'!H12*$E$188*Inputs!$E$358)</f>
        <v>405855</v>
      </c>
      <c r="I195" s="770">
        <f>('Calendar Assumptions'!I12*$D$188*Inputs!$E$359)+('Calendar Assumptions'!I12*$E$188*Inputs!$E$358)</f>
        <v>435000</v>
      </c>
      <c r="J195" s="770">
        <f>('Calendar Assumptions'!J12*$D$188*Inputs!$E$359)+('Calendar Assumptions'!J12*$E$188*Inputs!$E$358)</f>
        <v>435000</v>
      </c>
      <c r="K195" s="770">
        <f>('Calendar Assumptions'!K12*$D$188*Inputs!$E$359)+('Calendar Assumptions'!K12*$E$188*Inputs!$E$358)</f>
        <v>435000</v>
      </c>
      <c r="L195" s="770">
        <f>('Calendar Assumptions'!L12*$D$188*Inputs!$E$359)+('Calendar Assumptions'!L12*$E$188*Inputs!$E$358)</f>
        <v>435000</v>
      </c>
      <c r="M195" s="770">
        <f>('Calendar Assumptions'!M12*$D$188*Inputs!$E$359)+('Calendar Assumptions'!M12*$E$188*Inputs!$E$358)</f>
        <v>435000</v>
      </c>
      <c r="N195" s="770">
        <f>('Calendar Assumptions'!N12*$D$188*Inputs!$E$359)+('Calendar Assumptions'!N12*$E$188*Inputs!$E$358)</f>
        <v>435000</v>
      </c>
      <c r="O195" s="770">
        <f>('Calendar Assumptions'!O12*$D$188*Inputs!$E$359)+('Calendar Assumptions'!O12*$E$188*Inputs!$E$358)</f>
        <v>435000</v>
      </c>
      <c r="P195" s="770">
        <f>('Calendar Assumptions'!P12*$D$188*Inputs!$E$359)+('Calendar Assumptions'!P12*$E$188*Inputs!$E$358)</f>
        <v>435000</v>
      </c>
    </row>
    <row r="196" spans="1:16" ht="15.75" customHeight="1">
      <c r="B196" s="768">
        <v>9</v>
      </c>
      <c r="C196" s="233" t="s">
        <v>272</v>
      </c>
      <c r="D196" s="769">
        <f>Inputs!E713</f>
        <v>0</v>
      </c>
      <c r="E196" s="769">
        <f>Inputs!E700</f>
        <v>0</v>
      </c>
      <c r="F196" s="770">
        <f>('Calendar Assumptions'!F13*$D$188*Inputs!$E$359)+('Calendar Assumptions'!F13*$E$188*Inputs!$E$358)</f>
        <v>161100</v>
      </c>
      <c r="G196" s="770">
        <f>('Calendar Assumptions'!G13*$D$188*Inputs!$E$359)+('Calendar Assumptions'!G13*$E$188*Inputs!$E$358)</f>
        <v>164520</v>
      </c>
      <c r="H196" s="770">
        <f>('Calendar Assumptions'!H13*$D$188*Inputs!$E$359)+('Calendar Assumptions'!H13*$E$188*Inputs!$E$358)</f>
        <v>167940.00000000003</v>
      </c>
      <c r="I196" s="770">
        <f>('Calendar Assumptions'!I13*$D$188*Inputs!$E$359)+('Calendar Assumptions'!I13*$E$188*Inputs!$E$358)</f>
        <v>180000</v>
      </c>
      <c r="J196" s="770">
        <f>('Calendar Assumptions'!J13*$D$188*Inputs!$E$359)+('Calendar Assumptions'!J13*$E$188*Inputs!$E$358)</f>
        <v>180000</v>
      </c>
      <c r="K196" s="770">
        <f>('Calendar Assumptions'!K13*$D$188*Inputs!$E$359)+('Calendar Assumptions'!K13*$E$188*Inputs!$E$358)</f>
        <v>180000</v>
      </c>
      <c r="L196" s="770">
        <f>('Calendar Assumptions'!L13*$D$188*Inputs!$E$359)+('Calendar Assumptions'!L13*$E$188*Inputs!$E$358)</f>
        <v>180000</v>
      </c>
      <c r="M196" s="770">
        <f>('Calendar Assumptions'!M13*$D$188*Inputs!$E$359)+('Calendar Assumptions'!M13*$E$188*Inputs!$E$358)</f>
        <v>180000</v>
      </c>
      <c r="N196" s="770">
        <f>('Calendar Assumptions'!N13*$D$188*Inputs!$E$359)+('Calendar Assumptions'!N13*$E$188*Inputs!$E$358)</f>
        <v>180000</v>
      </c>
      <c r="O196" s="770">
        <f>('Calendar Assumptions'!O13*$D$188*Inputs!$E$359)+('Calendar Assumptions'!O13*$E$188*Inputs!$E$358)</f>
        <v>180000</v>
      </c>
      <c r="P196" s="770">
        <f>('Calendar Assumptions'!P13*$D$188*Inputs!$E$359)+('Calendar Assumptions'!P13*$E$188*Inputs!$E$358)</f>
        <v>180000</v>
      </c>
    </row>
    <row r="197" spans="1:16" ht="15.75" customHeight="1">
      <c r="B197" s="768">
        <v>10</v>
      </c>
      <c r="C197" s="233" t="s">
        <v>1542</v>
      </c>
      <c r="D197" s="769">
        <f>Inputs!E714</f>
        <v>1</v>
      </c>
      <c r="E197" s="769">
        <f>Inputs!E701</f>
        <v>1</v>
      </c>
      <c r="F197" s="770">
        <f>('Calendar Assumptions'!F14*$D$188*Inputs!$E$359)+('Calendar Assumptions'!F14*$E$188*Inputs!$E$358)</f>
        <v>53700</v>
      </c>
      <c r="G197" s="770">
        <f>('Calendar Assumptions'!G14*$D$188*Inputs!$E$359)+('Calendar Assumptions'!G14*$E$188*Inputs!$E$358)</f>
        <v>54840</v>
      </c>
      <c r="H197" s="770">
        <f>('Calendar Assumptions'!H14*$D$188*Inputs!$E$359)+('Calendar Assumptions'!H14*$E$188*Inputs!$E$358)</f>
        <v>55980</v>
      </c>
      <c r="I197" s="770">
        <f>('Calendar Assumptions'!I14*$D$188*Inputs!$E$359)+('Calendar Assumptions'!I14*$E$188*Inputs!$E$358)</f>
        <v>60000</v>
      </c>
      <c r="J197" s="770">
        <f>('Calendar Assumptions'!J14*$D$188*Inputs!$E$359)+('Calendar Assumptions'!J14*$E$188*Inputs!$E$358)</f>
        <v>60000</v>
      </c>
      <c r="K197" s="770">
        <f>('Calendar Assumptions'!K14*$D$188*Inputs!$E$359)+('Calendar Assumptions'!K14*$E$188*Inputs!$E$358)</f>
        <v>60000</v>
      </c>
      <c r="L197" s="770">
        <f>('Calendar Assumptions'!L14*$D$188*Inputs!$E$359)+('Calendar Assumptions'!L14*$E$188*Inputs!$E$358)</f>
        <v>60000</v>
      </c>
      <c r="M197" s="770">
        <f>('Calendar Assumptions'!M14*$D$188*Inputs!$E$359)+('Calendar Assumptions'!M14*$E$188*Inputs!$E$358)</f>
        <v>60000</v>
      </c>
      <c r="N197" s="770">
        <f>('Calendar Assumptions'!N14*$D$188*Inputs!$E$359)+('Calendar Assumptions'!N14*$E$188*Inputs!$E$358)</f>
        <v>60000</v>
      </c>
      <c r="O197" s="770">
        <f>('Calendar Assumptions'!O14*$D$188*Inputs!$E$359)+('Calendar Assumptions'!O14*$E$188*Inputs!$E$358)</f>
        <v>60000</v>
      </c>
      <c r="P197" s="770">
        <f>('Calendar Assumptions'!P14*$D$188*Inputs!$E$359)+('Calendar Assumptions'!P14*$E$188*Inputs!$E$358)</f>
        <v>60000</v>
      </c>
    </row>
    <row r="198" spans="1:16" ht="15.75" customHeight="1">
      <c r="B198" s="768">
        <v>11</v>
      </c>
      <c r="C198" s="233" t="s">
        <v>1543</v>
      </c>
      <c r="D198" s="769">
        <f>Inputs!E715</f>
        <v>0</v>
      </c>
      <c r="E198" s="769">
        <f>Inputs!E702</f>
        <v>0</v>
      </c>
      <c r="F198" s="770">
        <f>('Calendar Assumptions'!F15*$D$188*Inputs!$E$359)+('Calendar Assumptions'!F15*$E$188*Inputs!$E$358)</f>
        <v>349050</v>
      </c>
      <c r="G198" s="770">
        <f>('Calendar Assumptions'!G15*$D$188*Inputs!$E$359)+('Calendar Assumptions'!G15*$E$188*Inputs!$E$358)</f>
        <v>356460</v>
      </c>
      <c r="H198" s="770">
        <f>('Calendar Assumptions'!H15*$D$188*Inputs!$E$359)+('Calendar Assumptions'!H15*$E$188*Inputs!$E$358)</f>
        <v>363870.00000000006</v>
      </c>
      <c r="I198" s="770">
        <f>('Calendar Assumptions'!I15*$D$188*Inputs!$E$359)+('Calendar Assumptions'!I15*$E$188*Inputs!$E$358)</f>
        <v>390000</v>
      </c>
      <c r="J198" s="770">
        <f>('Calendar Assumptions'!J15*$D$188*Inputs!$E$359)+('Calendar Assumptions'!J15*$E$188*Inputs!$E$358)</f>
        <v>390000</v>
      </c>
      <c r="K198" s="770">
        <f>('Calendar Assumptions'!K15*$D$188*Inputs!$E$359)+('Calendar Assumptions'!K15*$E$188*Inputs!$E$358)</f>
        <v>390000</v>
      </c>
      <c r="L198" s="770">
        <f>('Calendar Assumptions'!L15*$D$188*Inputs!$E$359)+('Calendar Assumptions'!L15*$E$188*Inputs!$E$358)</f>
        <v>390000</v>
      </c>
      <c r="M198" s="770">
        <f>('Calendar Assumptions'!M15*$D$188*Inputs!$E$359)+('Calendar Assumptions'!M15*$E$188*Inputs!$E$358)</f>
        <v>390000</v>
      </c>
      <c r="N198" s="770">
        <f>('Calendar Assumptions'!N15*$D$188*Inputs!$E$359)+('Calendar Assumptions'!N15*$E$188*Inputs!$E$358)</f>
        <v>390000</v>
      </c>
      <c r="O198" s="770">
        <f>('Calendar Assumptions'!O15*$D$188*Inputs!$E$359)+('Calendar Assumptions'!O15*$E$188*Inputs!$E$358)</f>
        <v>390000</v>
      </c>
      <c r="P198" s="770">
        <f>('Calendar Assumptions'!P15*$D$188*Inputs!$E$359)+('Calendar Assumptions'!P15*$E$188*Inputs!$E$358)</f>
        <v>390000</v>
      </c>
    </row>
    <row r="199" spans="1:16" ht="15.75" customHeight="1">
      <c r="B199" s="765"/>
      <c r="C199" s="766" t="s">
        <v>1568</v>
      </c>
      <c r="D199" s="769">
        <f>Inputs!E716</f>
        <v>0</v>
      </c>
      <c r="E199" s="769">
        <f>Inputs!E703</f>
        <v>0</v>
      </c>
      <c r="F199" s="770">
        <f t="shared" ref="F199:P199" si="49">SUM(F188:F198)</f>
        <v>2335950</v>
      </c>
      <c r="G199" s="770">
        <f t="shared" si="49"/>
        <v>2385540</v>
      </c>
      <c r="H199" s="770">
        <f t="shared" si="49"/>
        <v>2435130</v>
      </c>
      <c r="I199" s="770">
        <f t="shared" si="49"/>
        <v>2610000</v>
      </c>
      <c r="J199" s="770">
        <f t="shared" si="49"/>
        <v>2610000</v>
      </c>
      <c r="K199" s="770">
        <f t="shared" si="49"/>
        <v>2610000</v>
      </c>
      <c r="L199" s="770">
        <f t="shared" si="49"/>
        <v>2610000</v>
      </c>
      <c r="M199" s="770">
        <f t="shared" si="49"/>
        <v>2610000</v>
      </c>
      <c r="N199" s="770">
        <f t="shared" si="49"/>
        <v>2610000</v>
      </c>
      <c r="O199" s="770">
        <f t="shared" si="49"/>
        <v>2610000</v>
      </c>
      <c r="P199" s="770">
        <f t="shared" si="49"/>
        <v>2610000</v>
      </c>
    </row>
    <row r="200" spans="1:16" ht="15.75" customHeight="1"/>
    <row r="201" spans="1:16" ht="15.75" customHeight="1"/>
    <row r="202" spans="1:16" ht="15.75" customHeight="1"/>
    <row r="203" spans="1:16" ht="15.75" customHeight="1">
      <c r="A203" s="771" t="s">
        <v>477</v>
      </c>
      <c r="B203" s="772"/>
    </row>
    <row r="204" spans="1:16" ht="15.75" customHeight="1"/>
    <row r="205" spans="1:16" ht="15.75" customHeight="1">
      <c r="B205" s="773" t="s">
        <v>1569</v>
      </c>
      <c r="C205" s="774"/>
      <c r="D205" s="774"/>
      <c r="E205" s="774"/>
      <c r="F205" s="775" t="str">
        <f t="shared" ref="F205:P205" si="50">F187</f>
        <v>FY28</v>
      </c>
      <c r="G205" s="775" t="str">
        <f t="shared" si="50"/>
        <v>FY29</v>
      </c>
      <c r="H205" s="775" t="str">
        <f t="shared" si="50"/>
        <v>FY30</v>
      </c>
      <c r="I205" s="775" t="str">
        <f t="shared" si="50"/>
        <v>FY31</v>
      </c>
      <c r="J205" s="775" t="str">
        <f t="shared" si="50"/>
        <v>FY32</v>
      </c>
      <c r="K205" s="775" t="str">
        <f t="shared" si="50"/>
        <v>FY33</v>
      </c>
      <c r="L205" s="775" t="str">
        <f t="shared" si="50"/>
        <v>FY34</v>
      </c>
      <c r="M205" s="775" t="str">
        <f t="shared" si="50"/>
        <v>FY35</v>
      </c>
      <c r="N205" s="775" t="str">
        <f t="shared" si="50"/>
        <v>FY36</v>
      </c>
      <c r="O205" s="775" t="str">
        <f t="shared" si="50"/>
        <v>FY37</v>
      </c>
      <c r="P205" s="775" t="str">
        <f t="shared" si="50"/>
        <v>FY38</v>
      </c>
    </row>
    <row r="206" spans="1:16" ht="15.75" customHeight="1">
      <c r="B206" s="774"/>
      <c r="C206" s="774"/>
      <c r="D206" s="774"/>
      <c r="E206" s="774"/>
      <c r="F206" s="774"/>
      <c r="G206" s="774"/>
      <c r="H206" s="774"/>
      <c r="I206" s="774"/>
      <c r="J206" s="774"/>
      <c r="K206" s="774"/>
      <c r="L206" s="774"/>
      <c r="M206" s="774"/>
      <c r="N206" s="774"/>
      <c r="O206" s="774"/>
      <c r="P206" s="774"/>
    </row>
    <row r="207" spans="1:16" ht="15.75" customHeight="1">
      <c r="B207" s="774"/>
      <c r="C207" s="776" t="s">
        <v>281</v>
      </c>
      <c r="D207" s="774"/>
      <c r="E207" s="774"/>
      <c r="F207" s="775">
        <f t="shared" ref="F207:P207" si="51">F108</f>
        <v>5143660.7649999997</v>
      </c>
      <c r="G207" s="775">
        <f t="shared" si="51"/>
        <v>5410441.4719400005</v>
      </c>
      <c r="H207" s="775">
        <f t="shared" si="51"/>
        <v>5688599.726607901</v>
      </c>
      <c r="I207" s="775">
        <f t="shared" si="51"/>
        <v>6280018.9907890018</v>
      </c>
      <c r="J207" s="775">
        <f t="shared" si="51"/>
        <v>6468419.5605126703</v>
      </c>
      <c r="K207" s="775">
        <f t="shared" si="51"/>
        <v>6662472.1473280489</v>
      </c>
      <c r="L207" s="775">
        <f t="shared" si="51"/>
        <v>6862346.3117478909</v>
      </c>
      <c r="M207" s="775">
        <f t="shared" si="51"/>
        <v>7068216.7011003289</v>
      </c>
      <c r="N207" s="775">
        <f t="shared" si="51"/>
        <v>7280263.2021333389</v>
      </c>
      <c r="O207" s="775">
        <f t="shared" si="51"/>
        <v>7498671.0981973391</v>
      </c>
      <c r="P207" s="775">
        <f t="shared" si="51"/>
        <v>7723631.2311432613</v>
      </c>
    </row>
    <row r="208" spans="1:16" ht="15.75" customHeight="1">
      <c r="B208" s="774"/>
      <c r="C208" s="776" t="s">
        <v>283</v>
      </c>
      <c r="D208" s="774"/>
      <c r="E208" s="774"/>
      <c r="F208" s="777">
        <f t="shared" ref="F208:P208" si="52">F124</f>
        <v>722399.25</v>
      </c>
      <c r="G208" s="777">
        <f t="shared" si="52"/>
        <v>759867.15300000005</v>
      </c>
      <c r="H208" s="777">
        <f t="shared" si="52"/>
        <v>798932.97085499985</v>
      </c>
      <c r="I208" s="777">
        <f t="shared" si="52"/>
        <v>881994.59804999991</v>
      </c>
      <c r="J208" s="777">
        <f t="shared" si="52"/>
        <v>908454.43599150004</v>
      </c>
      <c r="K208" s="777">
        <f t="shared" si="52"/>
        <v>935708.06907124503</v>
      </c>
      <c r="L208" s="777">
        <f t="shared" si="52"/>
        <v>963779.31114338245</v>
      </c>
      <c r="M208" s="777">
        <f t="shared" si="52"/>
        <v>992692.69047768391</v>
      </c>
      <c r="N208" s="777">
        <f t="shared" si="52"/>
        <v>1022473.4711920144</v>
      </c>
      <c r="O208" s="777">
        <f t="shared" si="52"/>
        <v>1053147.6753277748</v>
      </c>
      <c r="P208" s="777">
        <f t="shared" si="52"/>
        <v>1084742.1055876082</v>
      </c>
    </row>
    <row r="209" spans="2:16" ht="15.75" customHeight="1">
      <c r="B209" s="774"/>
      <c r="C209" s="776" t="s">
        <v>285</v>
      </c>
      <c r="D209" s="774"/>
      <c r="E209" s="774"/>
      <c r="F209" s="777">
        <f t="shared" ref="F209:P209" si="53">F159</f>
        <v>163355.4</v>
      </c>
      <c r="G209" s="777">
        <f t="shared" si="53"/>
        <v>166823.28</v>
      </c>
      <c r="H209" s="777">
        <f t="shared" si="53"/>
        <v>170291.16000000003</v>
      </c>
      <c r="I209" s="777">
        <f t="shared" si="53"/>
        <v>182520</v>
      </c>
      <c r="J209" s="777">
        <f t="shared" si="53"/>
        <v>182520</v>
      </c>
      <c r="K209" s="777">
        <f t="shared" si="53"/>
        <v>182520</v>
      </c>
      <c r="L209" s="777">
        <f t="shared" si="53"/>
        <v>182520</v>
      </c>
      <c r="M209" s="777">
        <f t="shared" si="53"/>
        <v>182520</v>
      </c>
      <c r="N209" s="777">
        <f t="shared" si="53"/>
        <v>182520</v>
      </c>
      <c r="O209" s="777">
        <f t="shared" si="53"/>
        <v>182520</v>
      </c>
      <c r="P209" s="777">
        <f t="shared" si="53"/>
        <v>182520</v>
      </c>
    </row>
    <row r="210" spans="2:16" ht="15.75" customHeight="1">
      <c r="B210" s="774"/>
      <c r="C210" s="776" t="s">
        <v>287</v>
      </c>
      <c r="D210" s="774"/>
      <c r="E210" s="774"/>
      <c r="F210" s="777">
        <f t="shared" ref="F210:P210" si="54">F141</f>
        <v>6033732</v>
      </c>
      <c r="G210" s="777">
        <f t="shared" si="54"/>
        <v>6478610.1839999985</v>
      </c>
      <c r="H210" s="777">
        <f t="shared" si="54"/>
        <v>6943848</v>
      </c>
      <c r="I210" s="777">
        <f t="shared" si="54"/>
        <v>7065841.1999999993</v>
      </c>
      <c r="J210" s="777">
        <f t="shared" si="54"/>
        <v>7277816.4360000016</v>
      </c>
      <c r="K210" s="777">
        <f t="shared" si="54"/>
        <v>7496150.929080002</v>
      </c>
      <c r="L210" s="777">
        <f t="shared" si="54"/>
        <v>7721035.4569524014</v>
      </c>
      <c r="M210" s="777">
        <f t="shared" si="54"/>
        <v>7952666.5206609741</v>
      </c>
      <c r="N210" s="777">
        <f t="shared" si="54"/>
        <v>8191246.5162808029</v>
      </c>
      <c r="O210" s="777">
        <f t="shared" si="54"/>
        <v>8436983.9117692299</v>
      </c>
      <c r="P210" s="777">
        <f t="shared" si="54"/>
        <v>8690093.4291223064</v>
      </c>
    </row>
    <row r="211" spans="2:16" ht="15.75" customHeight="1">
      <c r="B211" s="774"/>
      <c r="C211" s="776" t="s">
        <v>291</v>
      </c>
      <c r="D211" s="774"/>
      <c r="E211" s="774"/>
      <c r="F211" s="778">
        <f t="shared" ref="F211:P211" si="55">F199</f>
        <v>2335950</v>
      </c>
      <c r="G211" s="778">
        <f t="shared" si="55"/>
        <v>2385540</v>
      </c>
      <c r="H211" s="778">
        <f t="shared" si="55"/>
        <v>2435130</v>
      </c>
      <c r="I211" s="778">
        <f t="shared" si="55"/>
        <v>2610000</v>
      </c>
      <c r="J211" s="778">
        <f t="shared" si="55"/>
        <v>2610000</v>
      </c>
      <c r="K211" s="778">
        <f t="shared" si="55"/>
        <v>2610000</v>
      </c>
      <c r="L211" s="778">
        <f t="shared" si="55"/>
        <v>2610000</v>
      </c>
      <c r="M211" s="778">
        <f t="shared" si="55"/>
        <v>2610000</v>
      </c>
      <c r="N211" s="778">
        <f t="shared" si="55"/>
        <v>2610000</v>
      </c>
      <c r="O211" s="778">
        <f t="shared" si="55"/>
        <v>2610000</v>
      </c>
      <c r="P211" s="778">
        <f t="shared" si="55"/>
        <v>2610000</v>
      </c>
    </row>
    <row r="212" spans="2:16" ht="15.75" customHeight="1">
      <c r="B212" s="774"/>
      <c r="C212" s="774"/>
      <c r="D212" s="774"/>
      <c r="E212" s="774"/>
      <c r="F212" s="774"/>
      <c r="G212" s="774"/>
      <c r="H212" s="774"/>
      <c r="I212" s="774"/>
      <c r="J212" s="774"/>
      <c r="K212" s="774"/>
      <c r="L212" s="774"/>
      <c r="M212" s="774"/>
      <c r="N212" s="774"/>
      <c r="O212" s="774"/>
      <c r="P212" s="774"/>
    </row>
    <row r="213" spans="2:16" ht="15.75" customHeight="1">
      <c r="B213" s="774"/>
      <c r="C213" s="776" t="s">
        <v>1570</v>
      </c>
      <c r="D213" s="774"/>
      <c r="E213" s="774"/>
      <c r="F213" s="777">
        <f t="shared" ref="F213:P213" si="56">F175</f>
        <v>1850000</v>
      </c>
      <c r="G213" s="777">
        <f t="shared" si="56"/>
        <v>1896250</v>
      </c>
      <c r="H213" s="777">
        <f t="shared" si="56"/>
        <v>1943656.25</v>
      </c>
      <c r="I213" s="777">
        <f t="shared" si="56"/>
        <v>1992247.6562499998</v>
      </c>
      <c r="J213" s="777">
        <f t="shared" si="56"/>
        <v>2042053.8476562495</v>
      </c>
      <c r="K213" s="777">
        <f t="shared" si="56"/>
        <v>2093105.1938476556</v>
      </c>
      <c r="L213" s="777">
        <f t="shared" si="56"/>
        <v>2145432.8236938468</v>
      </c>
      <c r="M213" s="777">
        <f t="shared" si="56"/>
        <v>2199068.644286193</v>
      </c>
      <c r="N213" s="777">
        <f t="shared" si="56"/>
        <v>2254045.3603933472</v>
      </c>
      <c r="O213" s="777">
        <f t="shared" si="56"/>
        <v>2310396.4944031811</v>
      </c>
      <c r="P213" s="777">
        <f t="shared" si="56"/>
        <v>2368156.4067632607</v>
      </c>
    </row>
    <row r="214" spans="2:16" ht="15.75" customHeight="1">
      <c r="B214" s="774"/>
      <c r="C214" s="776" t="s">
        <v>294</v>
      </c>
      <c r="D214" s="774"/>
      <c r="E214" s="774"/>
      <c r="F214" s="777">
        <f t="shared" ref="F214:P214" si="57">F183</f>
        <v>575000</v>
      </c>
      <c r="G214" s="777">
        <f t="shared" si="57"/>
        <v>589374.99999999988</v>
      </c>
      <c r="H214" s="777">
        <f t="shared" si="57"/>
        <v>604109.37499999977</v>
      </c>
      <c r="I214" s="777">
        <f t="shared" si="57"/>
        <v>619212.10937499977</v>
      </c>
      <c r="J214" s="777">
        <f t="shared" si="57"/>
        <v>634692.41210937465</v>
      </c>
      <c r="K214" s="777">
        <f t="shared" si="57"/>
        <v>650559.72241210891</v>
      </c>
      <c r="L214" s="777">
        <f t="shared" si="57"/>
        <v>666823.7154724116</v>
      </c>
      <c r="M214" s="777">
        <f t="shared" si="57"/>
        <v>683494.30835922179</v>
      </c>
      <c r="N214" s="777">
        <f t="shared" si="57"/>
        <v>700581.66606820235</v>
      </c>
      <c r="O214" s="777">
        <f t="shared" si="57"/>
        <v>718096.2077199074</v>
      </c>
      <c r="P214" s="777">
        <f t="shared" si="57"/>
        <v>736048.61291290494</v>
      </c>
    </row>
    <row r="215" spans="2:16" ht="15.75" customHeight="1">
      <c r="B215" s="774"/>
      <c r="C215" s="774"/>
      <c r="D215" s="774"/>
      <c r="E215" s="774"/>
      <c r="F215" s="774"/>
      <c r="G215" s="774"/>
      <c r="H215" s="774"/>
      <c r="I215" s="774"/>
      <c r="J215" s="774"/>
      <c r="K215" s="774"/>
      <c r="L215" s="774"/>
      <c r="M215" s="774"/>
      <c r="N215" s="774"/>
      <c r="O215" s="774"/>
      <c r="P215" s="774"/>
    </row>
    <row r="216" spans="2:16" ht="15.75" customHeight="1">
      <c r="B216" s="774"/>
      <c r="C216" s="774"/>
      <c r="D216" s="774"/>
      <c r="E216" s="774"/>
      <c r="F216" s="774"/>
      <c r="G216" s="774"/>
      <c r="H216" s="774"/>
      <c r="I216" s="774"/>
      <c r="J216" s="774"/>
      <c r="K216" s="774"/>
      <c r="L216" s="774"/>
      <c r="M216" s="774"/>
      <c r="N216" s="774"/>
      <c r="O216" s="774"/>
      <c r="P216" s="774"/>
    </row>
    <row r="217" spans="2:16" ht="15.75" customHeight="1">
      <c r="B217" s="774"/>
      <c r="C217" s="773" t="s">
        <v>262</v>
      </c>
      <c r="D217" s="774"/>
      <c r="E217" s="774"/>
      <c r="F217" s="775">
        <f t="shared" ref="F217:P217" si="58">SUM(F207:F214)</f>
        <v>16824097.414999999</v>
      </c>
      <c r="G217" s="775">
        <f t="shared" si="58"/>
        <v>17686907.088939998</v>
      </c>
      <c r="H217" s="775">
        <f t="shared" si="58"/>
        <v>18584567.482462902</v>
      </c>
      <c r="I217" s="775">
        <f t="shared" si="58"/>
        <v>19631834.554464001</v>
      </c>
      <c r="J217" s="775">
        <f t="shared" si="58"/>
        <v>20123956.692269798</v>
      </c>
      <c r="K217" s="775">
        <f t="shared" si="58"/>
        <v>20630516.061739061</v>
      </c>
      <c r="L217" s="775">
        <f t="shared" si="58"/>
        <v>21151937.619009931</v>
      </c>
      <c r="M217" s="775">
        <f t="shared" si="58"/>
        <v>21688658.864884399</v>
      </c>
      <c r="N217" s="775">
        <f t="shared" si="58"/>
        <v>22241130.216067709</v>
      </c>
      <c r="O217" s="775">
        <f t="shared" si="58"/>
        <v>22809815.387417432</v>
      </c>
      <c r="P217" s="775">
        <f t="shared" si="58"/>
        <v>23395191.785529338</v>
      </c>
    </row>
    <row r="218" spans="2:16" ht="15.75" customHeight="1">
      <c r="B218" s="774"/>
      <c r="C218" s="774"/>
      <c r="D218" s="774"/>
      <c r="E218" s="774"/>
      <c r="F218" s="774"/>
      <c r="G218" s="774"/>
      <c r="H218" s="774"/>
      <c r="I218" s="774"/>
      <c r="J218" s="774"/>
      <c r="K218" s="774"/>
      <c r="L218" s="774"/>
      <c r="M218" s="774"/>
      <c r="N218" s="774"/>
      <c r="O218" s="774"/>
      <c r="P218" s="774"/>
    </row>
    <row r="219" spans="2:16" ht="15.75" customHeight="1">
      <c r="B219" s="774"/>
      <c r="C219" s="774"/>
      <c r="D219" s="774"/>
      <c r="E219" s="774"/>
      <c r="F219" s="774"/>
      <c r="G219" s="774"/>
      <c r="H219" s="774"/>
      <c r="I219" s="774"/>
      <c r="J219" s="774"/>
      <c r="K219" s="774"/>
      <c r="L219" s="774"/>
      <c r="M219" s="774"/>
      <c r="N219" s="774"/>
      <c r="O219" s="774"/>
      <c r="P219" s="774"/>
    </row>
    <row r="220" spans="2:16" ht="15.75" customHeight="1">
      <c r="B220" s="774"/>
      <c r="C220" s="774"/>
      <c r="D220" s="774"/>
      <c r="E220" s="774"/>
      <c r="F220" s="774"/>
      <c r="G220" s="774"/>
      <c r="H220" s="774"/>
      <c r="I220" s="774"/>
      <c r="J220" s="774"/>
      <c r="K220" s="774"/>
      <c r="L220" s="774"/>
      <c r="M220" s="774"/>
      <c r="N220" s="774"/>
      <c r="O220" s="774"/>
      <c r="P220" s="774"/>
    </row>
    <row r="221" spans="2:16" ht="15.75" customHeight="1">
      <c r="B221" s="773" t="s">
        <v>1571</v>
      </c>
      <c r="C221" s="774"/>
      <c r="D221" s="774"/>
      <c r="E221" s="774"/>
      <c r="F221" s="775">
        <f>'P&amp;L'!J28</f>
        <v>18772333.414999999</v>
      </c>
      <c r="G221" s="775">
        <f>'P&amp;L'!K28</f>
        <v>19676502.288939998</v>
      </c>
      <c r="H221" s="775">
        <f>'P&amp;L'!L28</f>
        <v>20615521.882462904</v>
      </c>
      <c r="I221" s="775">
        <f>'P&amp;L'!M28</f>
        <v>21808634.554464001</v>
      </c>
      <c r="J221" s="775">
        <f>'P&amp;L'!N28</f>
        <v>22300756.692269798</v>
      </c>
      <c r="K221" s="775">
        <f>'P&amp;L'!O28</f>
        <v>22807316.061739061</v>
      </c>
      <c r="L221" s="775">
        <f>'P&amp;L'!P28</f>
        <v>23328737.619009934</v>
      </c>
      <c r="M221" s="775">
        <f>'P&amp;L'!Q28</f>
        <v>23865458.864884399</v>
      </c>
      <c r="N221" s="775">
        <f>'P&amp;L'!R28</f>
        <v>24417930.216067705</v>
      </c>
      <c r="O221" s="775">
        <f>'P&amp;L'!S28</f>
        <v>24986615.387417436</v>
      </c>
      <c r="P221" s="775">
        <f>'P&amp;L'!T28</f>
        <v>25571991.785529338</v>
      </c>
    </row>
    <row r="222" spans="2:16" ht="15.75" customHeight="1">
      <c r="B222" s="774"/>
      <c r="C222" s="774"/>
      <c r="D222" s="774"/>
      <c r="E222" s="774"/>
      <c r="F222" s="774"/>
      <c r="G222" s="774"/>
      <c r="H222" s="774"/>
      <c r="I222" s="774"/>
      <c r="J222" s="774"/>
      <c r="K222" s="774"/>
      <c r="L222" s="774"/>
      <c r="M222" s="774"/>
      <c r="N222" s="774"/>
      <c r="O222" s="774"/>
      <c r="P222" s="774"/>
    </row>
    <row r="223" spans="2:16" ht="15.75" customHeight="1">
      <c r="B223" s="774"/>
      <c r="C223" s="774"/>
      <c r="D223" s="774"/>
      <c r="E223" s="774"/>
      <c r="F223" s="774"/>
      <c r="G223" s="774"/>
      <c r="H223" s="774"/>
      <c r="I223" s="774"/>
      <c r="J223" s="774"/>
      <c r="K223" s="774"/>
      <c r="L223" s="774"/>
      <c r="M223" s="774"/>
      <c r="N223" s="774"/>
      <c r="O223" s="774"/>
      <c r="P223" s="774"/>
    </row>
    <row r="224" spans="2:16" ht="15.75" customHeight="1">
      <c r="B224" s="774"/>
      <c r="C224" s="779" t="s">
        <v>1572</v>
      </c>
      <c r="D224" s="774"/>
      <c r="E224" s="774"/>
      <c r="F224" s="775">
        <f t="shared" ref="F224:P224" si="59">F217-F221</f>
        <v>-1948236</v>
      </c>
      <c r="G224" s="775">
        <f t="shared" si="59"/>
        <v>-1989595.1999999993</v>
      </c>
      <c r="H224" s="775">
        <f t="shared" si="59"/>
        <v>-2030954.4000000022</v>
      </c>
      <c r="I224" s="775">
        <f t="shared" si="59"/>
        <v>-2176800</v>
      </c>
      <c r="J224" s="775">
        <f t="shared" si="59"/>
        <v>-2176800</v>
      </c>
      <c r="K224" s="775">
        <f t="shared" si="59"/>
        <v>-2176800</v>
      </c>
      <c r="L224" s="775">
        <f t="shared" si="59"/>
        <v>-2176800.0000000037</v>
      </c>
      <c r="M224" s="775">
        <f t="shared" si="59"/>
        <v>-2176800</v>
      </c>
      <c r="N224" s="775">
        <f t="shared" si="59"/>
        <v>-2176799.9999999963</v>
      </c>
      <c r="O224" s="775">
        <f t="shared" si="59"/>
        <v>-2176800.0000000037</v>
      </c>
      <c r="P224" s="775">
        <f t="shared" si="59"/>
        <v>-2176800</v>
      </c>
    </row>
    <row r="225" spans="2:16" ht="15.75" customHeight="1">
      <c r="B225" s="774"/>
      <c r="C225" s="774"/>
      <c r="D225" s="774"/>
      <c r="E225" s="774"/>
      <c r="F225" s="774"/>
      <c r="G225" s="774"/>
      <c r="H225" s="774"/>
      <c r="I225" s="774"/>
      <c r="J225" s="774"/>
      <c r="K225" s="774"/>
      <c r="L225" s="774"/>
      <c r="M225" s="774"/>
      <c r="N225" s="774"/>
      <c r="O225" s="774"/>
      <c r="P225" s="774"/>
    </row>
    <row r="226" spans="2:16" ht="15.75" customHeight="1">
      <c r="B226" s="774"/>
      <c r="C226" s="774"/>
      <c r="D226" s="774"/>
      <c r="E226" s="774"/>
      <c r="F226" s="774"/>
      <c r="G226" s="774"/>
      <c r="H226" s="774"/>
      <c r="I226" s="774"/>
      <c r="J226" s="774"/>
      <c r="K226" s="774"/>
      <c r="L226" s="774"/>
      <c r="M226" s="774"/>
      <c r="N226" s="774"/>
      <c r="O226" s="774"/>
      <c r="P226" s="774"/>
    </row>
    <row r="227" spans="2:16" ht="15.75" customHeight="1">
      <c r="B227" s="774"/>
      <c r="C227" s="776" t="s">
        <v>289</v>
      </c>
      <c r="D227" s="774"/>
      <c r="E227" s="774"/>
      <c r="F227" s="775">
        <f>'P&amp;L'!J18</f>
        <v>745356</v>
      </c>
      <c r="G227" s="775">
        <f>'P&amp;L'!K18</f>
        <v>761179.2</v>
      </c>
      <c r="H227" s="775">
        <f>'P&amp;L'!L18</f>
        <v>777002.4</v>
      </c>
      <c r="I227" s="775">
        <f>'P&amp;L'!M18</f>
        <v>832800</v>
      </c>
      <c r="J227" s="775">
        <f>'P&amp;L'!N18</f>
        <v>832800</v>
      </c>
      <c r="K227" s="775">
        <f>'P&amp;L'!O18</f>
        <v>832800</v>
      </c>
      <c r="L227" s="775">
        <f>'P&amp;L'!P18</f>
        <v>832800</v>
      </c>
      <c r="M227" s="775">
        <f>'P&amp;L'!Q18</f>
        <v>832800</v>
      </c>
      <c r="N227" s="775">
        <f>'P&amp;L'!R18</f>
        <v>832800</v>
      </c>
      <c r="O227" s="775">
        <f>'P&amp;L'!S18</f>
        <v>832800</v>
      </c>
      <c r="P227" s="775">
        <f>'P&amp;L'!T18</f>
        <v>832800</v>
      </c>
    </row>
    <row r="228" spans="2:16" ht="15.75" customHeight="1">
      <c r="B228" s="774"/>
      <c r="C228" s="776" t="s">
        <v>404</v>
      </c>
      <c r="D228" s="774"/>
      <c r="E228" s="774"/>
      <c r="F228" s="775">
        <f>'P&amp;L'!J19</f>
        <v>1202880</v>
      </c>
      <c r="G228" s="775">
        <f>'P&amp;L'!K19</f>
        <v>1228416</v>
      </c>
      <c r="H228" s="775">
        <f>'P&amp;L'!L19</f>
        <v>1253952.0000000002</v>
      </c>
      <c r="I228" s="775">
        <f>'P&amp;L'!M19</f>
        <v>1344000</v>
      </c>
      <c r="J228" s="775">
        <f>'P&amp;L'!N19</f>
        <v>1344000</v>
      </c>
      <c r="K228" s="775">
        <f>'P&amp;L'!O19</f>
        <v>1344000</v>
      </c>
      <c r="L228" s="775">
        <f>'P&amp;L'!P19</f>
        <v>1344000</v>
      </c>
      <c r="M228" s="775">
        <f>'P&amp;L'!Q19</f>
        <v>1344000</v>
      </c>
      <c r="N228" s="775">
        <f>'P&amp;L'!R19</f>
        <v>1344000</v>
      </c>
      <c r="O228" s="775">
        <f>'P&amp;L'!S19</f>
        <v>1344000</v>
      </c>
      <c r="P228" s="775">
        <f>'P&amp;L'!T19</f>
        <v>1344000</v>
      </c>
    </row>
    <row r="229" spans="2:16" ht="15.75" customHeight="1">
      <c r="B229" s="774"/>
      <c r="C229" s="774"/>
      <c r="D229" s="774"/>
      <c r="E229" s="774"/>
      <c r="F229" s="774"/>
      <c r="G229" s="774"/>
      <c r="H229" s="774"/>
      <c r="I229" s="774"/>
      <c r="J229" s="774"/>
      <c r="K229" s="774"/>
      <c r="L229" s="774"/>
      <c r="M229" s="774"/>
      <c r="N229" s="774"/>
      <c r="O229" s="774"/>
      <c r="P229" s="774"/>
    </row>
    <row r="230" spans="2:16" ht="15.75" customHeight="1">
      <c r="B230" s="774"/>
      <c r="C230" s="774"/>
      <c r="D230" s="774"/>
      <c r="E230" s="774"/>
      <c r="F230" s="774"/>
      <c r="G230" s="774"/>
      <c r="H230" s="774"/>
      <c r="I230" s="774"/>
      <c r="J230" s="774"/>
      <c r="K230" s="774"/>
      <c r="L230" s="774"/>
      <c r="M230" s="774"/>
      <c r="N230" s="774"/>
      <c r="O230" s="774"/>
      <c r="P230" s="774"/>
    </row>
    <row r="231" spans="2:16" ht="15.75" customHeight="1">
      <c r="B231" s="774"/>
      <c r="C231" s="773" t="s">
        <v>491</v>
      </c>
      <c r="D231" s="773"/>
      <c r="E231" s="773"/>
      <c r="F231" s="780">
        <f t="shared" ref="F231:P231" si="60">F224+F227+F228</f>
        <v>0</v>
      </c>
      <c r="G231" s="780">
        <f t="shared" si="60"/>
        <v>0</v>
      </c>
      <c r="H231" s="780">
        <f t="shared" si="60"/>
        <v>-2.0954757928848267E-9</v>
      </c>
      <c r="I231" s="780">
        <f t="shared" si="60"/>
        <v>0</v>
      </c>
      <c r="J231" s="780">
        <f t="shared" si="60"/>
        <v>0</v>
      </c>
      <c r="K231" s="780">
        <f t="shared" si="60"/>
        <v>0</v>
      </c>
      <c r="L231" s="780">
        <f t="shared" si="60"/>
        <v>-3.7252902984619141E-9</v>
      </c>
      <c r="M231" s="780">
        <f t="shared" si="60"/>
        <v>0</v>
      </c>
      <c r="N231" s="780">
        <f t="shared" si="60"/>
        <v>3.7252902984619141E-9</v>
      </c>
      <c r="O231" s="780">
        <f t="shared" si="60"/>
        <v>-3.7252902984619141E-9</v>
      </c>
      <c r="P231" s="780">
        <f t="shared" si="60"/>
        <v>0</v>
      </c>
    </row>
    <row r="232" spans="2:16" ht="15.75" customHeight="1"/>
    <row r="233" spans="2:16" ht="15.75" customHeight="1">
      <c r="E233" s="386" t="s">
        <v>23</v>
      </c>
      <c r="F233" s="781">
        <f>F207</f>
        <v>5143660.7649999997</v>
      </c>
    </row>
    <row r="234" spans="2:16" ht="15.75" customHeight="1"/>
    <row r="235" spans="2:16" ht="15.75" customHeight="1"/>
    <row r="236" spans="2:16" ht="15.75" customHeight="1"/>
    <row r="237" spans="2:16" ht="15.75" customHeight="1"/>
    <row r="238" spans="2:16" ht="15.75" customHeight="1"/>
    <row r="239" spans="2:16" ht="15.75" customHeight="1"/>
    <row r="240" spans="2:1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6">
    <mergeCell ref="B146:C146"/>
    <mergeCell ref="B34:C34"/>
    <mergeCell ref="B49:C49"/>
    <mergeCell ref="B65:C65"/>
    <mergeCell ref="B80:C80"/>
    <mergeCell ref="B96:C96"/>
  </mergeCells>
  <conditionalFormatting sqref="F231:P231">
    <cfRule type="cellIs" dxfId="3" priority="1" operator="greaterThan">
      <formula>0.7</formula>
    </cfRule>
    <cfRule type="cellIs" dxfId="2" priority="2" operator="lessThan">
      <formula>-0.5</formula>
    </cfRule>
    <cfRule type="notContainsBlanks" dxfId="1" priority="3">
      <formula>LEN(TRIM(F231))&gt;0</formula>
    </cfRule>
  </conditionalFormatting>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E699"/>
  </sheetPr>
  <dimension ref="A1:Z1007"/>
  <sheetViews>
    <sheetView showGridLines="0" topLeftCell="A3" workbookViewId="0">
      <pane xSplit="4" topLeftCell="E1" activePane="topRight" state="frozen"/>
      <selection pane="topRight" activeCell="F2" sqref="F2"/>
    </sheetView>
  </sheetViews>
  <sheetFormatPr defaultColWidth="12.6328125" defaultRowHeight="15" customHeight="1"/>
  <cols>
    <col min="1" max="1" width="29.90625" customWidth="1"/>
    <col min="2" max="2" width="22" customWidth="1"/>
    <col min="3" max="3" width="29" customWidth="1"/>
    <col min="4" max="5" width="13" customWidth="1"/>
    <col min="6" max="6" width="12.453125" customWidth="1"/>
    <col min="7" max="8" width="14.08984375" customWidth="1"/>
    <col min="9" max="9" width="13.08984375" customWidth="1"/>
    <col min="10" max="10" width="14.08984375" customWidth="1"/>
    <col min="11" max="15" width="13" customWidth="1"/>
    <col min="16" max="16" width="14.90625" customWidth="1"/>
    <col min="17" max="21" width="13" customWidth="1"/>
  </cols>
  <sheetData>
    <row r="1" spans="1:21" ht="24" customHeight="1">
      <c r="A1" s="137" t="s">
        <v>35</v>
      </c>
      <c r="B1" s="137"/>
      <c r="C1" s="137"/>
      <c r="D1" s="137"/>
      <c r="E1" s="137"/>
      <c r="F1" s="137"/>
      <c r="G1" s="137"/>
      <c r="H1" s="137"/>
      <c r="I1" s="137"/>
      <c r="J1" s="137"/>
      <c r="K1" s="137"/>
      <c r="L1" s="137"/>
      <c r="M1" s="137"/>
      <c r="N1" s="137"/>
      <c r="O1" s="137"/>
      <c r="P1" s="137"/>
      <c r="Q1" s="137"/>
      <c r="R1" s="137"/>
      <c r="S1" s="220"/>
      <c r="T1" s="220"/>
    </row>
    <row r="2" spans="1:21" ht="16.5" customHeight="1">
      <c r="A2" s="139" t="s">
        <v>334</v>
      </c>
      <c r="B2" s="139"/>
      <c r="C2" s="139"/>
      <c r="D2" s="139"/>
      <c r="E2" s="139"/>
      <c r="F2" s="139"/>
      <c r="G2" s="139"/>
      <c r="H2" s="139"/>
      <c r="I2" s="139"/>
      <c r="J2" s="139"/>
      <c r="K2" s="139"/>
      <c r="L2" s="139"/>
      <c r="M2" s="139"/>
      <c r="N2" s="139"/>
      <c r="O2" s="139"/>
      <c r="P2" s="139"/>
      <c r="Q2" s="139"/>
      <c r="R2" s="139"/>
      <c r="S2" s="139"/>
      <c r="T2" s="139"/>
    </row>
    <row r="3" spans="1:21" ht="15" customHeight="1">
      <c r="A3" s="26"/>
      <c r="B3" s="26"/>
      <c r="C3" s="26"/>
      <c r="D3" s="26"/>
      <c r="E3" s="26"/>
      <c r="F3" s="26"/>
      <c r="G3" s="26"/>
      <c r="H3" s="26"/>
      <c r="I3" s="26"/>
      <c r="J3" s="26"/>
      <c r="K3" s="26"/>
      <c r="L3" s="26"/>
      <c r="M3" s="26"/>
      <c r="N3" s="26"/>
      <c r="O3" s="26"/>
      <c r="P3" s="26"/>
      <c r="Q3" s="26"/>
      <c r="R3" s="26"/>
      <c r="S3" s="26"/>
      <c r="T3" s="26"/>
      <c r="U3" s="782"/>
    </row>
    <row r="4" spans="1:21" ht="15" customHeight="1">
      <c r="A4" s="26"/>
      <c r="B4" s="140" t="s">
        <v>1573</v>
      </c>
      <c r="C4" s="188" t="s">
        <v>1172</v>
      </c>
      <c r="D4" s="26"/>
      <c r="E4" s="26"/>
      <c r="F4" s="140" t="s">
        <v>1574</v>
      </c>
      <c r="G4" s="140" t="s">
        <v>1575</v>
      </c>
      <c r="H4" s="140" t="s">
        <v>1576</v>
      </c>
      <c r="I4" s="140" t="s">
        <v>1577</v>
      </c>
      <c r="J4" s="140" t="s">
        <v>1578</v>
      </c>
      <c r="K4" s="26"/>
      <c r="L4" s="26"/>
      <c r="M4" s="26"/>
      <c r="N4" s="26"/>
      <c r="O4" s="26"/>
      <c r="P4" s="26"/>
      <c r="Q4" s="26"/>
      <c r="R4" s="26"/>
      <c r="S4" s="26"/>
      <c r="T4" s="26"/>
      <c r="U4" s="782"/>
    </row>
    <row r="5" spans="1:21" ht="14.25" customHeight="1">
      <c r="A5" s="26"/>
      <c r="B5" s="250">
        <v>1</v>
      </c>
      <c r="C5" s="140" t="s">
        <v>1579</v>
      </c>
      <c r="D5" s="26"/>
      <c r="E5" s="26"/>
      <c r="F5" s="783">
        <f>Inputs!D374</f>
        <v>1</v>
      </c>
      <c r="G5" s="750">
        <f>Inputs!E374</f>
        <v>220000</v>
      </c>
      <c r="H5" s="784">
        <f>Inputs!F374</f>
        <v>0.25</v>
      </c>
      <c r="I5" s="785">
        <v>0.42</v>
      </c>
      <c r="J5" s="750">
        <f t="shared" ref="J5:J10" si="0">G5*H5*I5+G5*I5</f>
        <v>115500</v>
      </c>
      <c r="K5" s="180"/>
      <c r="L5" s="786"/>
      <c r="M5" s="782">
        <v>1</v>
      </c>
      <c r="N5" s="787">
        <f t="shared" ref="N5:N16" si="1">M5/12</f>
        <v>8.3333333333333329E-2</v>
      </c>
      <c r="O5" s="180"/>
      <c r="P5" s="180"/>
      <c r="Q5" s="180"/>
      <c r="R5" s="180"/>
      <c r="S5" s="26"/>
      <c r="T5" s="26"/>
      <c r="U5" s="782"/>
    </row>
    <row r="6" spans="1:21" ht="14.25" customHeight="1">
      <c r="A6" s="26"/>
      <c r="B6" s="250">
        <v>2</v>
      </c>
      <c r="C6" s="140" t="s">
        <v>1178</v>
      </c>
      <c r="D6" s="26"/>
      <c r="E6" s="26"/>
      <c r="F6" s="783">
        <f>Inputs!D375</f>
        <v>1</v>
      </c>
      <c r="G6" s="750">
        <f>Inputs!E375</f>
        <v>75000</v>
      </c>
      <c r="H6" s="784">
        <f>Inputs!F375</f>
        <v>0.12</v>
      </c>
      <c r="I6" s="785">
        <v>0.33</v>
      </c>
      <c r="J6" s="750">
        <f t="shared" si="0"/>
        <v>27720</v>
      </c>
      <c r="K6" s="180"/>
      <c r="L6" s="786"/>
      <c r="M6" s="782">
        <v>2</v>
      </c>
      <c r="N6" s="787">
        <f t="shared" si="1"/>
        <v>0.16666666666666666</v>
      </c>
      <c r="O6" s="180"/>
      <c r="P6" s="180"/>
      <c r="Q6" s="180"/>
      <c r="R6" s="180"/>
      <c r="S6" s="26"/>
      <c r="T6" s="26"/>
      <c r="U6" s="782"/>
    </row>
    <row r="7" spans="1:21" ht="14.25" customHeight="1">
      <c r="A7" s="26"/>
      <c r="B7" s="250">
        <v>3</v>
      </c>
      <c r="C7" s="140" t="s">
        <v>1179</v>
      </c>
      <c r="D7" s="26"/>
      <c r="E7" s="26"/>
      <c r="F7" s="783">
        <f>Inputs!D376</f>
        <v>1</v>
      </c>
      <c r="G7" s="750">
        <f>Inputs!E376</f>
        <v>150000</v>
      </c>
      <c r="H7" s="784">
        <f>Inputs!F376</f>
        <v>0.2</v>
      </c>
      <c r="I7" s="785">
        <v>0.3</v>
      </c>
      <c r="J7" s="750">
        <f t="shared" si="0"/>
        <v>54000</v>
      </c>
      <c r="K7" s="180"/>
      <c r="L7" s="786"/>
      <c r="M7" s="782">
        <v>3</v>
      </c>
      <c r="N7" s="787">
        <f t="shared" si="1"/>
        <v>0.25</v>
      </c>
      <c r="O7" s="180"/>
      <c r="P7" s="180"/>
      <c r="Q7" s="180"/>
      <c r="R7" s="180"/>
      <c r="S7" s="26"/>
      <c r="T7" s="26"/>
      <c r="U7" s="782"/>
    </row>
    <row r="8" spans="1:21" ht="14.25" customHeight="1">
      <c r="A8" s="26"/>
      <c r="B8" s="250">
        <v>4</v>
      </c>
      <c r="C8" s="140" t="s">
        <v>1580</v>
      </c>
      <c r="D8" s="26"/>
      <c r="E8" s="26"/>
      <c r="F8" s="783">
        <f>Inputs!D377</f>
        <v>1</v>
      </c>
      <c r="G8" s="750">
        <f>Inputs!E377</f>
        <v>120000</v>
      </c>
      <c r="H8" s="784">
        <f>Inputs!F377</f>
        <v>0.18</v>
      </c>
      <c r="I8" s="785">
        <v>0.17</v>
      </c>
      <c r="J8" s="750">
        <f t="shared" si="0"/>
        <v>24072</v>
      </c>
      <c r="K8" s="180"/>
      <c r="L8" s="786"/>
      <c r="M8" s="782">
        <v>4</v>
      </c>
      <c r="N8" s="787">
        <f t="shared" si="1"/>
        <v>0.33333333333333331</v>
      </c>
      <c r="O8" s="180"/>
      <c r="P8" s="180"/>
      <c r="Q8" s="180"/>
      <c r="R8" s="180"/>
      <c r="S8" s="26"/>
      <c r="T8" s="26"/>
      <c r="U8" s="782"/>
    </row>
    <row r="9" spans="1:21" ht="14.25" customHeight="1">
      <c r="A9" s="26"/>
      <c r="B9" s="250">
        <v>5</v>
      </c>
      <c r="C9" s="140" t="s">
        <v>1181</v>
      </c>
      <c r="D9" s="26"/>
      <c r="E9" s="26"/>
      <c r="F9" s="783">
        <f>Inputs!D378</f>
        <v>1</v>
      </c>
      <c r="G9" s="750">
        <f>Inputs!E378</f>
        <v>100000</v>
      </c>
      <c r="H9" s="784">
        <f>Inputs!F378</f>
        <v>0.15</v>
      </c>
      <c r="I9" s="785">
        <v>0.42</v>
      </c>
      <c r="J9" s="750">
        <f t="shared" si="0"/>
        <v>48300</v>
      </c>
      <c r="K9" s="180"/>
      <c r="L9" s="786"/>
      <c r="M9" s="782">
        <v>5</v>
      </c>
      <c r="N9" s="787">
        <f t="shared" si="1"/>
        <v>0.41666666666666669</v>
      </c>
      <c r="O9" s="180"/>
      <c r="P9" s="180"/>
      <c r="Q9" s="180"/>
      <c r="R9" s="180"/>
      <c r="S9" s="26"/>
      <c r="T9" s="26"/>
      <c r="U9" s="782"/>
    </row>
    <row r="10" spans="1:21" ht="14.25" customHeight="1">
      <c r="A10" s="26"/>
      <c r="B10" s="250">
        <v>6</v>
      </c>
      <c r="C10" s="140" t="s">
        <v>1182</v>
      </c>
      <c r="D10" s="26"/>
      <c r="E10" s="26"/>
      <c r="F10" s="783">
        <f>Inputs!D379</f>
        <v>1</v>
      </c>
      <c r="G10" s="750">
        <f>Inputs!E379</f>
        <v>110000</v>
      </c>
      <c r="H10" s="784">
        <f>Inputs!F379</f>
        <v>0.18</v>
      </c>
      <c r="I10" s="785">
        <v>0.25</v>
      </c>
      <c r="J10" s="750">
        <f t="shared" si="0"/>
        <v>32450</v>
      </c>
      <c r="K10" s="180"/>
      <c r="L10" s="786"/>
      <c r="M10" s="782">
        <v>6</v>
      </c>
      <c r="N10" s="787">
        <f t="shared" si="1"/>
        <v>0.5</v>
      </c>
      <c r="O10" s="180"/>
      <c r="P10" s="180"/>
      <c r="Q10" s="180"/>
      <c r="R10" s="180"/>
      <c r="S10" s="26"/>
      <c r="T10" s="26"/>
      <c r="U10" s="782"/>
    </row>
    <row r="11" spans="1:21" ht="14.25" customHeight="1">
      <c r="A11" s="26"/>
      <c r="B11" s="250">
        <v>7</v>
      </c>
      <c r="C11" s="140" t="s">
        <v>1183</v>
      </c>
      <c r="D11" s="26"/>
      <c r="E11" s="26"/>
      <c r="F11" s="783">
        <f>Inputs!D380</f>
        <v>4</v>
      </c>
      <c r="G11" s="750">
        <f>Inputs!E380</f>
        <v>65000</v>
      </c>
      <c r="H11" s="784">
        <f>Inputs!F380</f>
        <v>0.15</v>
      </c>
      <c r="I11" s="785">
        <v>0.17</v>
      </c>
      <c r="J11" s="750">
        <f>G11*H11*I11+G11*I11*F11</f>
        <v>45857.5</v>
      </c>
      <c r="K11" s="180"/>
      <c r="L11" s="786"/>
      <c r="M11" s="782">
        <v>7</v>
      </c>
      <c r="N11" s="787">
        <f t="shared" si="1"/>
        <v>0.58333333333333337</v>
      </c>
      <c r="O11" s="180"/>
      <c r="P11" s="180"/>
      <c r="Q11" s="180"/>
      <c r="R11" s="180"/>
      <c r="S11" s="26"/>
      <c r="T11" s="26"/>
      <c r="U11" s="782"/>
    </row>
    <row r="12" spans="1:21" ht="14.25" customHeight="1">
      <c r="A12" s="26"/>
      <c r="B12" s="250">
        <v>8</v>
      </c>
      <c r="C12" s="140" t="s">
        <v>1581</v>
      </c>
      <c r="D12" s="26"/>
      <c r="E12" s="26"/>
      <c r="F12" s="783">
        <f>Inputs!D381</f>
        <v>1</v>
      </c>
      <c r="G12" s="750">
        <f>Inputs!E381</f>
        <v>110000</v>
      </c>
      <c r="H12" s="784">
        <f>Inputs!F381</f>
        <v>0.18</v>
      </c>
      <c r="I12" s="785">
        <v>0.33</v>
      </c>
      <c r="J12" s="750">
        <f t="shared" ref="J12:J16" si="2">G12*H12*I12+G12*I12</f>
        <v>42834</v>
      </c>
      <c r="K12" s="180"/>
      <c r="L12" s="786"/>
      <c r="M12" s="782">
        <v>8</v>
      </c>
      <c r="N12" s="787">
        <f t="shared" si="1"/>
        <v>0.66666666666666663</v>
      </c>
      <c r="O12" s="180"/>
      <c r="P12" s="180"/>
      <c r="Q12" s="180"/>
      <c r="R12" s="180"/>
      <c r="S12" s="26"/>
      <c r="T12" s="26"/>
      <c r="U12" s="782"/>
    </row>
    <row r="13" spans="1:21" ht="14.25" customHeight="1">
      <c r="A13" s="26"/>
      <c r="B13" s="250">
        <v>9</v>
      </c>
      <c r="C13" s="140" t="s">
        <v>1186</v>
      </c>
      <c r="D13" s="26"/>
      <c r="E13" s="26"/>
      <c r="F13" s="783">
        <f>Inputs!D382</f>
        <v>1</v>
      </c>
      <c r="G13" s="750">
        <f>Inputs!E382</f>
        <v>100000</v>
      </c>
      <c r="H13" s="784">
        <f>Inputs!F382</f>
        <v>0.18</v>
      </c>
      <c r="I13" s="785">
        <v>0.25</v>
      </c>
      <c r="J13" s="750">
        <f t="shared" si="2"/>
        <v>29500</v>
      </c>
      <c r="K13" s="180"/>
      <c r="L13" s="786"/>
      <c r="M13" s="782">
        <v>9</v>
      </c>
      <c r="N13" s="787">
        <f t="shared" si="1"/>
        <v>0.75</v>
      </c>
      <c r="O13" s="180"/>
      <c r="P13" s="180"/>
      <c r="Q13" s="180"/>
      <c r="R13" s="180"/>
      <c r="S13" s="26"/>
      <c r="T13" s="26"/>
      <c r="U13" s="782"/>
    </row>
    <row r="14" spans="1:21" ht="14.25" customHeight="1">
      <c r="A14" s="26"/>
      <c r="B14" s="250">
        <v>10</v>
      </c>
      <c r="C14" s="140" t="s">
        <v>1582</v>
      </c>
      <c r="D14" s="26"/>
      <c r="E14" s="26"/>
      <c r="F14" s="783">
        <f>Inputs!D383</f>
        <v>1</v>
      </c>
      <c r="G14" s="750">
        <f>Inputs!E383</f>
        <v>130000</v>
      </c>
      <c r="H14" s="784">
        <f>Inputs!F383</f>
        <v>0.2</v>
      </c>
      <c r="I14" s="785">
        <v>0.25</v>
      </c>
      <c r="J14" s="750">
        <f t="shared" si="2"/>
        <v>39000</v>
      </c>
      <c r="K14" s="180"/>
      <c r="L14" s="786"/>
      <c r="M14" s="782">
        <v>10</v>
      </c>
      <c r="N14" s="787">
        <f t="shared" si="1"/>
        <v>0.83333333333333337</v>
      </c>
      <c r="O14" s="180"/>
      <c r="P14" s="180"/>
      <c r="Q14" s="180"/>
      <c r="R14" s="180"/>
      <c r="S14" s="26"/>
      <c r="T14" s="26"/>
      <c r="U14" s="782"/>
    </row>
    <row r="15" spans="1:21" ht="14.25" customHeight="1">
      <c r="A15" s="26"/>
      <c r="B15" s="250">
        <v>11</v>
      </c>
      <c r="C15" s="140" t="s">
        <v>1188</v>
      </c>
      <c r="D15" s="26"/>
      <c r="E15" s="26"/>
      <c r="F15" s="783">
        <f>Inputs!D384</f>
        <v>1</v>
      </c>
      <c r="G15" s="750">
        <f>Inputs!E384</f>
        <v>70000</v>
      </c>
      <c r="H15" s="784">
        <f>Inputs!F384</f>
        <v>0.12</v>
      </c>
      <c r="I15" s="785">
        <v>0.17</v>
      </c>
      <c r="J15" s="750">
        <f t="shared" si="2"/>
        <v>13328</v>
      </c>
      <c r="K15" s="180"/>
      <c r="L15" s="786"/>
      <c r="M15" s="782">
        <v>11</v>
      </c>
      <c r="N15" s="787">
        <f t="shared" si="1"/>
        <v>0.91666666666666663</v>
      </c>
      <c r="O15" s="180"/>
      <c r="P15" s="180"/>
      <c r="Q15" s="180"/>
      <c r="R15" s="180"/>
      <c r="S15" s="26"/>
      <c r="T15" s="26"/>
      <c r="U15" s="782"/>
    </row>
    <row r="16" spans="1:21" ht="14.25" customHeight="1">
      <c r="A16" s="26"/>
      <c r="B16" s="250">
        <v>12</v>
      </c>
      <c r="C16" s="140" t="s">
        <v>1189</v>
      </c>
      <c r="D16" s="26"/>
      <c r="E16" s="26"/>
      <c r="F16" s="783">
        <f>Inputs!D385</f>
        <v>1</v>
      </c>
      <c r="G16" s="750">
        <f>Inputs!E385</f>
        <v>85000</v>
      </c>
      <c r="H16" s="784">
        <f>Inputs!F385</f>
        <v>0.15</v>
      </c>
      <c r="I16" s="785">
        <v>0.25</v>
      </c>
      <c r="J16" s="750">
        <f t="shared" si="2"/>
        <v>24437.5</v>
      </c>
      <c r="K16" s="180"/>
      <c r="L16" s="786"/>
      <c r="M16" s="782">
        <v>12</v>
      </c>
      <c r="N16" s="787">
        <f t="shared" si="1"/>
        <v>1</v>
      </c>
      <c r="O16" s="180"/>
      <c r="P16" s="180"/>
      <c r="Q16" s="180"/>
      <c r="R16" s="180"/>
      <c r="S16" s="26"/>
      <c r="T16" s="26"/>
      <c r="U16" s="782"/>
    </row>
    <row r="17" spans="1:21" ht="15" customHeight="1">
      <c r="A17" s="26"/>
      <c r="B17" s="603"/>
      <c r="C17" s="26"/>
      <c r="D17" s="26"/>
      <c r="E17" s="26"/>
      <c r="F17" s="148"/>
      <c r="G17" s="180"/>
      <c r="H17" s="148"/>
      <c r="I17" s="180"/>
      <c r="J17" s="750">
        <f>SUM(J5:J16)</f>
        <v>496999</v>
      </c>
      <c r="K17" s="180"/>
      <c r="L17" s="180"/>
      <c r="M17" s="180"/>
      <c r="N17" s="180"/>
      <c r="O17" s="180"/>
      <c r="P17" s="180"/>
      <c r="Q17" s="180"/>
      <c r="R17" s="180"/>
      <c r="S17" s="26"/>
      <c r="T17" s="26"/>
      <c r="U17" s="782"/>
    </row>
    <row r="18" spans="1:21" ht="15" customHeight="1">
      <c r="A18" s="26"/>
      <c r="B18" s="603"/>
      <c r="C18" s="26"/>
      <c r="D18" s="26"/>
      <c r="E18" s="26"/>
      <c r="F18" s="148"/>
      <c r="G18" s="180"/>
      <c r="H18" s="148"/>
      <c r="I18" s="180"/>
      <c r="J18" s="180"/>
      <c r="K18" s="180"/>
      <c r="L18" s="180"/>
      <c r="M18" s="180"/>
      <c r="N18" s="180"/>
      <c r="O18" s="180"/>
      <c r="P18" s="180"/>
      <c r="Q18" s="180"/>
      <c r="R18" s="180"/>
      <c r="S18" s="26"/>
      <c r="T18" s="26"/>
      <c r="U18" s="782"/>
    </row>
    <row r="19" spans="1:21" ht="15" customHeight="1">
      <c r="A19" s="26"/>
      <c r="B19" s="603"/>
      <c r="C19" s="26"/>
      <c r="D19" s="26"/>
      <c r="E19" s="26"/>
      <c r="F19" s="148"/>
      <c r="G19" s="180"/>
      <c r="H19" s="148"/>
      <c r="I19" s="180"/>
      <c r="J19" s="180"/>
      <c r="K19" s="180"/>
      <c r="L19" s="180"/>
      <c r="M19" s="180"/>
      <c r="N19" s="180"/>
      <c r="O19" s="180"/>
      <c r="P19" s="180"/>
      <c r="Q19" s="180"/>
      <c r="R19" s="180"/>
      <c r="S19" s="26"/>
      <c r="T19" s="26"/>
      <c r="U19" s="782"/>
    </row>
    <row r="20" spans="1:21" ht="12.75" customHeight="1">
      <c r="A20" s="26"/>
      <c r="B20" s="788" t="s">
        <v>437</v>
      </c>
      <c r="C20" s="26"/>
      <c r="D20" s="26"/>
      <c r="E20" s="250" t="s">
        <v>192</v>
      </c>
      <c r="F20" s="165" t="s">
        <v>152</v>
      </c>
      <c r="G20" s="165" t="s">
        <v>153</v>
      </c>
      <c r="H20" s="165" t="s">
        <v>154</v>
      </c>
      <c r="I20" s="165" t="s">
        <v>155</v>
      </c>
      <c r="J20" s="165" t="s">
        <v>201</v>
      </c>
      <c r="K20" s="165" t="s">
        <v>202</v>
      </c>
      <c r="L20" s="165" t="s">
        <v>203</v>
      </c>
      <c r="M20" s="165" t="s">
        <v>204</v>
      </c>
      <c r="N20" s="165" t="s">
        <v>205</v>
      </c>
      <c r="O20" s="165" t="s">
        <v>206</v>
      </c>
      <c r="P20" s="165" t="s">
        <v>207</v>
      </c>
      <c r="Q20" s="165" t="s">
        <v>208</v>
      </c>
      <c r="R20" s="165" t="s">
        <v>1583</v>
      </c>
      <c r="S20" s="26"/>
      <c r="T20" s="26"/>
      <c r="U20" s="782"/>
    </row>
    <row r="21" spans="1:21" ht="15.75" customHeight="1">
      <c r="A21" s="26"/>
      <c r="B21" s="140" t="s">
        <v>1173</v>
      </c>
      <c r="C21" s="26"/>
      <c r="D21" s="26"/>
      <c r="E21" s="224" t="s">
        <v>1584</v>
      </c>
      <c r="F21" s="250">
        <v>2027</v>
      </c>
      <c r="G21" s="250">
        <v>2028</v>
      </c>
      <c r="H21" s="250">
        <v>2029</v>
      </c>
      <c r="I21" s="250">
        <v>2030</v>
      </c>
      <c r="J21" s="250">
        <v>2031</v>
      </c>
      <c r="K21" s="250">
        <v>2032</v>
      </c>
      <c r="L21" s="250">
        <v>2033</v>
      </c>
      <c r="M21" s="250">
        <v>2034</v>
      </c>
      <c r="N21" s="250">
        <v>2035</v>
      </c>
      <c r="O21" s="250">
        <v>2036</v>
      </c>
      <c r="P21" s="250">
        <v>2037</v>
      </c>
      <c r="Q21" s="250">
        <v>2038</v>
      </c>
      <c r="R21" s="250">
        <v>2039</v>
      </c>
      <c r="S21" s="188"/>
      <c r="T21" s="26"/>
      <c r="U21" s="782"/>
    </row>
    <row r="22" spans="1:21" ht="15.75" customHeight="1">
      <c r="A22" s="26"/>
      <c r="B22" s="140" t="s">
        <v>1585</v>
      </c>
      <c r="C22" s="26"/>
      <c r="D22" s="26"/>
      <c r="E22" s="26"/>
      <c r="F22" s="148"/>
      <c r="G22" s="148"/>
      <c r="H22" s="148"/>
      <c r="I22" s="148"/>
      <c r="J22" s="148"/>
      <c r="K22" s="148"/>
      <c r="L22" s="148"/>
      <c r="M22" s="148"/>
      <c r="N22" s="148"/>
      <c r="O22" s="148"/>
      <c r="P22" s="148"/>
      <c r="Q22" s="180"/>
      <c r="R22" s="180"/>
      <c r="S22" s="26"/>
      <c r="T22" s="26"/>
      <c r="U22" s="782"/>
    </row>
    <row r="23" spans="1:21" ht="15.75" customHeight="1">
      <c r="A23" s="789"/>
      <c r="B23" s="250">
        <v>1</v>
      </c>
      <c r="C23" s="140" t="s">
        <v>1579</v>
      </c>
      <c r="D23" s="26"/>
      <c r="E23" s="26"/>
      <c r="F23" s="750">
        <f t="shared" ref="F23:F34" si="3">J5</f>
        <v>115500</v>
      </c>
      <c r="G23" s="750">
        <f t="shared" ref="G23:G34" si="4">F5*G5</f>
        <v>220000</v>
      </c>
      <c r="H23" s="750">
        <f>G23*(1+Inputs!$E$387)</f>
        <v>226819.99999999997</v>
      </c>
      <c r="I23" s="750">
        <f>H23*(1+Inputs!$E$387)</f>
        <v>233851.41999999995</v>
      </c>
      <c r="J23" s="750">
        <f>I23*(1+Inputs!$E$387)</f>
        <v>241100.81401999993</v>
      </c>
      <c r="K23" s="750">
        <f>J23*(1+Inputs!$E$387)</f>
        <v>248574.93925461991</v>
      </c>
      <c r="L23" s="750">
        <f>K23*(1+Inputs!$E$387)</f>
        <v>256280.76237151312</v>
      </c>
      <c r="M23" s="750">
        <f>L23*(1+Inputs!$E$387)</f>
        <v>264225.46600503003</v>
      </c>
      <c r="N23" s="750">
        <f>M23*(1+Inputs!$E$387)</f>
        <v>272416.45545118593</v>
      </c>
      <c r="O23" s="750">
        <f>N23*(1+Inputs!$E$387)</f>
        <v>280861.36557017267</v>
      </c>
      <c r="P23" s="750">
        <f>O23*(1+Inputs!$E$387)</f>
        <v>289568.06790284801</v>
      </c>
      <c r="Q23" s="750">
        <f>P23*(1+Inputs!$E$387)</f>
        <v>298544.67800783628</v>
      </c>
      <c r="R23" s="750">
        <f>Q23*(1+Inputs!$E$387)</f>
        <v>307799.56302607915</v>
      </c>
      <c r="S23" s="188"/>
      <c r="T23" s="26"/>
      <c r="U23" s="782"/>
    </row>
    <row r="24" spans="1:21" ht="15.75" customHeight="1">
      <c r="A24" s="26"/>
      <c r="B24" s="250">
        <v>2</v>
      </c>
      <c r="C24" s="140" t="s">
        <v>1178</v>
      </c>
      <c r="D24" s="26"/>
      <c r="E24" s="26"/>
      <c r="F24" s="750">
        <f t="shared" si="3"/>
        <v>27720</v>
      </c>
      <c r="G24" s="750">
        <f t="shared" si="4"/>
        <v>75000</v>
      </c>
      <c r="H24" s="750">
        <f>G24*(1+Inputs!$E$387)</f>
        <v>77325</v>
      </c>
      <c r="I24" s="750">
        <f>H24*(1+Inputs!$E$387)</f>
        <v>79722.074999999997</v>
      </c>
      <c r="J24" s="750">
        <f>I24*(1+Inputs!$E$387)</f>
        <v>82193.459324999989</v>
      </c>
      <c r="K24" s="750">
        <f>J24*(1+Inputs!$E$387)</f>
        <v>84741.456564074979</v>
      </c>
      <c r="L24" s="750">
        <f>K24*(1+Inputs!$E$387)</f>
        <v>87368.441717561291</v>
      </c>
      <c r="M24" s="750">
        <f>L24*(1+Inputs!$E$387)</f>
        <v>90076.863410805687</v>
      </c>
      <c r="N24" s="750">
        <f>M24*(1+Inputs!$E$387)</f>
        <v>92869.246176540662</v>
      </c>
      <c r="O24" s="750">
        <f>N24*(1+Inputs!$E$387)</f>
        <v>95748.192808013409</v>
      </c>
      <c r="P24" s="750">
        <f>O24*(1+Inputs!$E$387)</f>
        <v>98716.386785061812</v>
      </c>
      <c r="Q24" s="750">
        <f>P24*(1+Inputs!$E$387)</f>
        <v>101776.59477539871</v>
      </c>
      <c r="R24" s="750">
        <f>Q24*(1+Inputs!$E$387)</f>
        <v>104931.66921343606</v>
      </c>
      <c r="S24" s="26"/>
      <c r="T24" s="26"/>
      <c r="U24" s="782"/>
    </row>
    <row r="25" spans="1:21" ht="15.75" customHeight="1">
      <c r="A25" s="26"/>
      <c r="B25" s="250">
        <v>3</v>
      </c>
      <c r="C25" s="140" t="s">
        <v>1179</v>
      </c>
      <c r="D25" s="26"/>
      <c r="E25" s="26"/>
      <c r="F25" s="750">
        <f t="shared" si="3"/>
        <v>54000</v>
      </c>
      <c r="G25" s="750">
        <f t="shared" si="4"/>
        <v>150000</v>
      </c>
      <c r="H25" s="750">
        <f>G25*(1+Inputs!$E$387)</f>
        <v>154650</v>
      </c>
      <c r="I25" s="750">
        <f>H25*(1+Inputs!$E$387)</f>
        <v>159444.15</v>
      </c>
      <c r="J25" s="750">
        <f>I25*(1+Inputs!$E$387)</f>
        <v>164386.91864999998</v>
      </c>
      <c r="K25" s="750">
        <f>J25*(1+Inputs!$E$387)</f>
        <v>169482.91312814996</v>
      </c>
      <c r="L25" s="750">
        <f>K25*(1+Inputs!$E$387)</f>
        <v>174736.88343512258</v>
      </c>
      <c r="M25" s="750">
        <f>L25*(1+Inputs!$E$387)</f>
        <v>180153.72682161137</v>
      </c>
      <c r="N25" s="750">
        <f>M25*(1+Inputs!$E$387)</f>
        <v>185738.49235308132</v>
      </c>
      <c r="O25" s="750">
        <f>N25*(1+Inputs!$E$387)</f>
        <v>191496.38561602682</v>
      </c>
      <c r="P25" s="750">
        <f>O25*(1+Inputs!$E$387)</f>
        <v>197432.77357012362</v>
      </c>
      <c r="Q25" s="750">
        <f>P25*(1+Inputs!$E$387)</f>
        <v>203553.18955079743</v>
      </c>
      <c r="R25" s="750">
        <f>Q25*(1+Inputs!$E$387)</f>
        <v>209863.33842687213</v>
      </c>
      <c r="S25" s="26"/>
      <c r="T25" s="26"/>
      <c r="U25" s="782"/>
    </row>
    <row r="26" spans="1:21" ht="15.75" customHeight="1">
      <c r="A26" s="26"/>
      <c r="B26" s="250">
        <v>4</v>
      </c>
      <c r="C26" s="140" t="s">
        <v>1580</v>
      </c>
      <c r="D26" s="26"/>
      <c r="E26" s="26"/>
      <c r="F26" s="750">
        <f t="shared" si="3"/>
        <v>24072</v>
      </c>
      <c r="G26" s="750">
        <f t="shared" si="4"/>
        <v>120000</v>
      </c>
      <c r="H26" s="750">
        <f>G26*(1+Inputs!$E$387)</f>
        <v>123719.99999999999</v>
      </c>
      <c r="I26" s="750">
        <f>H26*(1+Inputs!$E$387)</f>
        <v>127555.31999999998</v>
      </c>
      <c r="J26" s="750">
        <f>I26*(1+Inputs!$E$387)</f>
        <v>131509.53491999998</v>
      </c>
      <c r="K26" s="750">
        <f>J26*(1+Inputs!$E$387)</f>
        <v>135586.33050251997</v>
      </c>
      <c r="L26" s="750">
        <f>K26*(1+Inputs!$E$387)</f>
        <v>139789.50674809807</v>
      </c>
      <c r="M26" s="750">
        <f>L26*(1+Inputs!$E$387)</f>
        <v>144122.9814572891</v>
      </c>
      <c r="N26" s="750">
        <f>M26*(1+Inputs!$E$387)</f>
        <v>148590.79388246505</v>
      </c>
      <c r="O26" s="750">
        <f>N26*(1+Inputs!$E$387)</f>
        <v>153197.10849282146</v>
      </c>
      <c r="P26" s="750">
        <f>O26*(1+Inputs!$E$387)</f>
        <v>157946.21885609892</v>
      </c>
      <c r="Q26" s="750">
        <f>P26*(1+Inputs!$E$387)</f>
        <v>162842.55164063798</v>
      </c>
      <c r="R26" s="750">
        <f>Q26*(1+Inputs!$E$387)</f>
        <v>167890.67074149774</v>
      </c>
      <c r="S26" s="26"/>
      <c r="T26" s="26"/>
      <c r="U26" s="782"/>
    </row>
    <row r="27" spans="1:21" ht="15.75" customHeight="1">
      <c r="A27" s="26"/>
      <c r="B27" s="250">
        <v>5</v>
      </c>
      <c r="C27" s="140" t="s">
        <v>1181</v>
      </c>
      <c r="D27" s="26"/>
      <c r="E27" s="26"/>
      <c r="F27" s="750">
        <f t="shared" si="3"/>
        <v>48300</v>
      </c>
      <c r="G27" s="750">
        <f t="shared" si="4"/>
        <v>100000</v>
      </c>
      <c r="H27" s="750">
        <f>G27*(1+Inputs!$E$387)</f>
        <v>103099.99999999999</v>
      </c>
      <c r="I27" s="750">
        <f>H27*(1+Inputs!$E$387)</f>
        <v>106296.09999999998</v>
      </c>
      <c r="J27" s="750">
        <f>I27*(1+Inputs!$E$387)</f>
        <v>109591.27909999997</v>
      </c>
      <c r="K27" s="750">
        <f>J27*(1+Inputs!$E$387)</f>
        <v>112988.60875209996</v>
      </c>
      <c r="L27" s="750">
        <f>K27*(1+Inputs!$E$387)</f>
        <v>116491.25562341504</v>
      </c>
      <c r="M27" s="750">
        <f>L27*(1+Inputs!$E$387)</f>
        <v>120102.4845477409</v>
      </c>
      <c r="N27" s="750">
        <f>M27*(1+Inputs!$E$387)</f>
        <v>123825.66156872085</v>
      </c>
      <c r="O27" s="750">
        <f>N27*(1+Inputs!$E$387)</f>
        <v>127664.25707735118</v>
      </c>
      <c r="P27" s="750">
        <f>O27*(1+Inputs!$E$387)</f>
        <v>131621.84904674906</v>
      </c>
      <c r="Q27" s="750">
        <f>P27*(1+Inputs!$E$387)</f>
        <v>135702.12636719827</v>
      </c>
      <c r="R27" s="750">
        <f>Q27*(1+Inputs!$E$387)</f>
        <v>139908.89228458141</v>
      </c>
      <c r="S27" s="26"/>
      <c r="T27" s="26"/>
      <c r="U27" s="782"/>
    </row>
    <row r="28" spans="1:21" ht="15.75" customHeight="1">
      <c r="A28" s="26"/>
      <c r="B28" s="250">
        <v>6</v>
      </c>
      <c r="C28" s="140" t="s">
        <v>1182</v>
      </c>
      <c r="D28" s="26"/>
      <c r="E28" s="26"/>
      <c r="F28" s="750">
        <f t="shared" si="3"/>
        <v>32450</v>
      </c>
      <c r="G28" s="750">
        <f t="shared" si="4"/>
        <v>110000</v>
      </c>
      <c r="H28" s="750">
        <f>G28*(1+Inputs!$E$387)</f>
        <v>113409.99999999999</v>
      </c>
      <c r="I28" s="750">
        <f>H28*(1+Inputs!$E$387)</f>
        <v>116925.70999999998</v>
      </c>
      <c r="J28" s="750">
        <f>I28*(1+Inputs!$E$387)</f>
        <v>120550.40700999997</v>
      </c>
      <c r="K28" s="750">
        <f>J28*(1+Inputs!$E$387)</f>
        <v>124287.46962730995</v>
      </c>
      <c r="L28" s="750">
        <f>K28*(1+Inputs!$E$387)</f>
        <v>128140.38118575656</v>
      </c>
      <c r="M28" s="750">
        <f>L28*(1+Inputs!$E$387)</f>
        <v>132112.73300251501</v>
      </c>
      <c r="N28" s="750">
        <f>M28*(1+Inputs!$E$387)</f>
        <v>136208.22772559297</v>
      </c>
      <c r="O28" s="750">
        <f>N28*(1+Inputs!$E$387)</f>
        <v>140430.68278508633</v>
      </c>
      <c r="P28" s="750">
        <f>O28*(1+Inputs!$E$387)</f>
        <v>144784.033951424</v>
      </c>
      <c r="Q28" s="750">
        <f>P28*(1+Inputs!$E$387)</f>
        <v>149272.33900391814</v>
      </c>
      <c r="R28" s="750">
        <f>Q28*(1+Inputs!$E$387)</f>
        <v>153899.78151303958</v>
      </c>
      <c r="S28" s="26"/>
      <c r="T28" s="26"/>
      <c r="U28" s="782"/>
    </row>
    <row r="29" spans="1:21" ht="15.75" customHeight="1">
      <c r="A29" s="26"/>
      <c r="B29" s="250">
        <v>7</v>
      </c>
      <c r="C29" s="140" t="s">
        <v>1183</v>
      </c>
      <c r="D29" s="26"/>
      <c r="E29" s="26"/>
      <c r="F29" s="750">
        <f t="shared" si="3"/>
        <v>45857.5</v>
      </c>
      <c r="G29" s="750">
        <f t="shared" si="4"/>
        <v>260000</v>
      </c>
      <c r="H29" s="750">
        <f>G29*(1+Inputs!$E$387)</f>
        <v>268060</v>
      </c>
      <c r="I29" s="750">
        <f>H29*(1+Inputs!$E$387)</f>
        <v>276369.86</v>
      </c>
      <c r="J29" s="750">
        <f>I29*(1+Inputs!$E$387)</f>
        <v>284937.32565999997</v>
      </c>
      <c r="K29" s="750">
        <f>J29*(1+Inputs!$E$387)</f>
        <v>293770.38275545993</v>
      </c>
      <c r="L29" s="750">
        <f>K29*(1+Inputs!$E$387)</f>
        <v>302877.26462087914</v>
      </c>
      <c r="M29" s="750">
        <f>L29*(1+Inputs!$E$387)</f>
        <v>312266.45982412639</v>
      </c>
      <c r="N29" s="750">
        <f>M29*(1+Inputs!$E$387)</f>
        <v>321946.72007867426</v>
      </c>
      <c r="O29" s="750">
        <f>N29*(1+Inputs!$E$387)</f>
        <v>331927.06840111315</v>
      </c>
      <c r="P29" s="750">
        <f>O29*(1+Inputs!$E$387)</f>
        <v>342216.80752154766</v>
      </c>
      <c r="Q29" s="750">
        <f>P29*(1+Inputs!$E$387)</f>
        <v>352825.52855471562</v>
      </c>
      <c r="R29" s="750">
        <f>Q29*(1+Inputs!$E$387)</f>
        <v>363763.11993991176</v>
      </c>
      <c r="S29" s="26"/>
      <c r="T29" s="26"/>
      <c r="U29" s="782"/>
    </row>
    <row r="30" spans="1:21" ht="15.75" customHeight="1">
      <c r="A30" s="26"/>
      <c r="B30" s="250">
        <v>8</v>
      </c>
      <c r="C30" s="140" t="s">
        <v>1581</v>
      </c>
      <c r="D30" s="26"/>
      <c r="E30" s="26"/>
      <c r="F30" s="750">
        <f t="shared" si="3"/>
        <v>42834</v>
      </c>
      <c r="G30" s="750">
        <f t="shared" si="4"/>
        <v>110000</v>
      </c>
      <c r="H30" s="750">
        <f>G30*(1+Inputs!$E$387)</f>
        <v>113409.99999999999</v>
      </c>
      <c r="I30" s="750">
        <f>H30*(1+Inputs!$E$387)</f>
        <v>116925.70999999998</v>
      </c>
      <c r="J30" s="750">
        <f>I30*(1+Inputs!$E$387)</f>
        <v>120550.40700999997</v>
      </c>
      <c r="K30" s="750">
        <f>J30*(1+Inputs!$E$387)</f>
        <v>124287.46962730995</v>
      </c>
      <c r="L30" s="750">
        <f>K30*(1+Inputs!$E$387)</f>
        <v>128140.38118575656</v>
      </c>
      <c r="M30" s="750">
        <f>L30*(1+Inputs!$E$387)</f>
        <v>132112.73300251501</v>
      </c>
      <c r="N30" s="750">
        <f>M30*(1+Inputs!$E$387)</f>
        <v>136208.22772559297</v>
      </c>
      <c r="O30" s="750">
        <f>N30*(1+Inputs!$E$387)</f>
        <v>140430.68278508633</v>
      </c>
      <c r="P30" s="750">
        <f>O30*(1+Inputs!$E$387)</f>
        <v>144784.033951424</v>
      </c>
      <c r="Q30" s="750">
        <f>P30*(1+Inputs!$E$387)</f>
        <v>149272.33900391814</v>
      </c>
      <c r="R30" s="750">
        <f>Q30*(1+Inputs!$E$387)</f>
        <v>153899.78151303958</v>
      </c>
      <c r="S30" s="26"/>
      <c r="T30" s="26"/>
      <c r="U30" s="782"/>
    </row>
    <row r="31" spans="1:21" ht="15.75" customHeight="1">
      <c r="A31" s="26"/>
      <c r="B31" s="250">
        <v>9</v>
      </c>
      <c r="C31" s="140" t="s">
        <v>1186</v>
      </c>
      <c r="D31" s="26"/>
      <c r="E31" s="26"/>
      <c r="F31" s="750">
        <f t="shared" si="3"/>
        <v>29500</v>
      </c>
      <c r="G31" s="750">
        <f t="shared" si="4"/>
        <v>100000</v>
      </c>
      <c r="H31" s="750">
        <f>G31*(1+Inputs!$E$387)</f>
        <v>103099.99999999999</v>
      </c>
      <c r="I31" s="750">
        <f>H31*(1+Inputs!$E$387)</f>
        <v>106296.09999999998</v>
      </c>
      <c r="J31" s="750">
        <f>I31*(1+Inputs!$E$387)</f>
        <v>109591.27909999997</v>
      </c>
      <c r="K31" s="750">
        <f>J31*(1+Inputs!$E$387)</f>
        <v>112988.60875209996</v>
      </c>
      <c r="L31" s="750">
        <f>K31*(1+Inputs!$E$387)</f>
        <v>116491.25562341504</v>
      </c>
      <c r="M31" s="750">
        <f>L31*(1+Inputs!$E$387)</f>
        <v>120102.4845477409</v>
      </c>
      <c r="N31" s="750">
        <f>M31*(1+Inputs!$E$387)</f>
        <v>123825.66156872085</v>
      </c>
      <c r="O31" s="750">
        <f>N31*(1+Inputs!$E$387)</f>
        <v>127664.25707735118</v>
      </c>
      <c r="P31" s="750">
        <f>O31*(1+Inputs!$E$387)</f>
        <v>131621.84904674906</v>
      </c>
      <c r="Q31" s="750">
        <f>P31*(1+Inputs!$E$387)</f>
        <v>135702.12636719827</v>
      </c>
      <c r="R31" s="750">
        <f>Q31*(1+Inputs!$E$387)</f>
        <v>139908.89228458141</v>
      </c>
      <c r="S31" s="26"/>
      <c r="T31" s="26"/>
      <c r="U31" s="782"/>
    </row>
    <row r="32" spans="1:21" ht="15.75" customHeight="1">
      <c r="A32" s="26"/>
      <c r="B32" s="250">
        <v>10</v>
      </c>
      <c r="C32" s="140" t="s">
        <v>1582</v>
      </c>
      <c r="D32" s="26"/>
      <c r="E32" s="26"/>
      <c r="F32" s="750">
        <f t="shared" si="3"/>
        <v>39000</v>
      </c>
      <c r="G32" s="750">
        <f t="shared" si="4"/>
        <v>130000</v>
      </c>
      <c r="H32" s="750">
        <f>G32*(1+Inputs!$E$387)</f>
        <v>134030</v>
      </c>
      <c r="I32" s="750">
        <f>H32*(1+Inputs!$E$387)</f>
        <v>138184.93</v>
      </c>
      <c r="J32" s="750">
        <f>I32*(1+Inputs!$E$387)</f>
        <v>142468.66282999999</v>
      </c>
      <c r="K32" s="750">
        <f>J32*(1+Inputs!$E$387)</f>
        <v>146885.19137772996</v>
      </c>
      <c r="L32" s="750">
        <f>K32*(1+Inputs!$E$387)</f>
        <v>151438.63231043957</v>
      </c>
      <c r="M32" s="750">
        <f>L32*(1+Inputs!$E$387)</f>
        <v>156133.22991206319</v>
      </c>
      <c r="N32" s="750">
        <f>M32*(1+Inputs!$E$387)</f>
        <v>160973.36003933713</v>
      </c>
      <c r="O32" s="750">
        <f>N32*(1+Inputs!$E$387)</f>
        <v>165963.53420055658</v>
      </c>
      <c r="P32" s="750">
        <f>O32*(1+Inputs!$E$387)</f>
        <v>171108.40376077383</v>
      </c>
      <c r="Q32" s="750">
        <f>P32*(1+Inputs!$E$387)</f>
        <v>176412.76427735781</v>
      </c>
      <c r="R32" s="750">
        <f>Q32*(1+Inputs!$E$387)</f>
        <v>181881.55996995588</v>
      </c>
      <c r="S32" s="26"/>
      <c r="T32" s="26"/>
      <c r="U32" s="782"/>
    </row>
    <row r="33" spans="1:21" ht="15.75" customHeight="1">
      <c r="A33" s="26"/>
      <c r="B33" s="250">
        <v>11</v>
      </c>
      <c r="C33" s="140" t="s">
        <v>1188</v>
      </c>
      <c r="D33" s="26"/>
      <c r="E33" s="26"/>
      <c r="F33" s="750">
        <f t="shared" si="3"/>
        <v>13328</v>
      </c>
      <c r="G33" s="750">
        <f t="shared" si="4"/>
        <v>70000</v>
      </c>
      <c r="H33" s="750">
        <f>G33*(1+Inputs!$E$387)</f>
        <v>72170</v>
      </c>
      <c r="I33" s="750">
        <f>H33*(1+Inputs!$E$387)</f>
        <v>74407.26999999999</v>
      </c>
      <c r="J33" s="750">
        <f>I33*(1+Inputs!$E$387)</f>
        <v>76713.895369999984</v>
      </c>
      <c r="K33" s="750">
        <f>J33*(1+Inputs!$E$387)</f>
        <v>79092.02612646998</v>
      </c>
      <c r="L33" s="750">
        <f>K33*(1+Inputs!$E$387)</f>
        <v>81543.878936390538</v>
      </c>
      <c r="M33" s="750">
        <f>L33*(1+Inputs!$E$387)</f>
        <v>84071.739183418642</v>
      </c>
      <c r="N33" s="750">
        <f>M33*(1+Inputs!$E$387)</f>
        <v>86677.963098104607</v>
      </c>
      <c r="O33" s="750">
        <f>N33*(1+Inputs!$E$387)</f>
        <v>89364.979954145849</v>
      </c>
      <c r="P33" s="750">
        <f>O33*(1+Inputs!$E$387)</f>
        <v>92135.294332724356</v>
      </c>
      <c r="Q33" s="750">
        <f>P33*(1+Inputs!$E$387)</f>
        <v>94991.488457038809</v>
      </c>
      <c r="R33" s="750">
        <f>Q33*(1+Inputs!$E$387)</f>
        <v>97936.224599207009</v>
      </c>
      <c r="S33" s="26"/>
      <c r="T33" s="26"/>
      <c r="U33" s="782"/>
    </row>
    <row r="34" spans="1:21" ht="15.75" customHeight="1">
      <c r="A34" s="26"/>
      <c r="B34" s="250">
        <v>12</v>
      </c>
      <c r="C34" s="140" t="s">
        <v>1189</v>
      </c>
      <c r="D34" s="26"/>
      <c r="E34" s="26"/>
      <c r="F34" s="750">
        <f t="shared" si="3"/>
        <v>24437.5</v>
      </c>
      <c r="G34" s="750">
        <f t="shared" si="4"/>
        <v>85000</v>
      </c>
      <c r="H34" s="750">
        <f>G34*(1+Inputs!$E$387)</f>
        <v>87635</v>
      </c>
      <c r="I34" s="750">
        <f>H34*(1+Inputs!$E$387)</f>
        <v>90351.684999999998</v>
      </c>
      <c r="J34" s="750">
        <f>I34*(1+Inputs!$E$387)</f>
        <v>93152.587234999985</v>
      </c>
      <c r="K34" s="750">
        <f>J34*(1+Inputs!$E$387)</f>
        <v>96040.317439284976</v>
      </c>
      <c r="L34" s="750">
        <f>K34*(1+Inputs!$E$387)</f>
        <v>99017.567279902796</v>
      </c>
      <c r="M34" s="750">
        <f>L34*(1+Inputs!$E$387)</f>
        <v>102087.11186557978</v>
      </c>
      <c r="N34" s="750">
        <f>M34*(1+Inputs!$E$387)</f>
        <v>105251.81233341274</v>
      </c>
      <c r="O34" s="750">
        <f>N34*(1+Inputs!$E$387)</f>
        <v>108514.61851574853</v>
      </c>
      <c r="P34" s="750">
        <f>O34*(1+Inputs!$E$387)</f>
        <v>111878.57168973672</v>
      </c>
      <c r="Q34" s="750">
        <f>P34*(1+Inputs!$E$387)</f>
        <v>115346.80741211855</v>
      </c>
      <c r="R34" s="750">
        <f>Q34*(1+Inputs!$E$387)</f>
        <v>118922.55844189422</v>
      </c>
      <c r="S34" s="26"/>
      <c r="T34" s="26"/>
      <c r="U34" s="782"/>
    </row>
    <row r="35" spans="1:21" ht="15.75" customHeight="1">
      <c r="A35" s="26"/>
      <c r="B35" s="603"/>
      <c r="C35" s="26"/>
      <c r="D35" s="26"/>
      <c r="E35" s="26"/>
      <c r="F35" s="750">
        <f t="shared" ref="F35:R35" si="5">SUM(F23:F34)</f>
        <v>496999</v>
      </c>
      <c r="G35" s="750">
        <f t="shared" si="5"/>
        <v>1530000</v>
      </c>
      <c r="H35" s="750">
        <f t="shared" si="5"/>
        <v>1577430</v>
      </c>
      <c r="I35" s="750">
        <f t="shared" si="5"/>
        <v>1626330.3299999998</v>
      </c>
      <c r="J35" s="750">
        <f t="shared" si="5"/>
        <v>1676746.5702299997</v>
      </c>
      <c r="K35" s="750">
        <f t="shared" si="5"/>
        <v>1728725.7139071294</v>
      </c>
      <c r="L35" s="750">
        <f t="shared" si="5"/>
        <v>1782316.2110382502</v>
      </c>
      <c r="M35" s="750">
        <f t="shared" si="5"/>
        <v>1837568.0135804359</v>
      </c>
      <c r="N35" s="750">
        <f t="shared" si="5"/>
        <v>1894532.6220014289</v>
      </c>
      <c r="O35" s="750">
        <f t="shared" si="5"/>
        <v>1953263.1332834736</v>
      </c>
      <c r="P35" s="750">
        <f t="shared" si="5"/>
        <v>2013814.2904152612</v>
      </c>
      <c r="Q35" s="750">
        <f t="shared" si="5"/>
        <v>2076242.5334181343</v>
      </c>
      <c r="R35" s="750">
        <f t="shared" si="5"/>
        <v>2140606.0519540957</v>
      </c>
      <c r="S35" s="26"/>
      <c r="T35" s="26"/>
      <c r="U35" s="782"/>
    </row>
    <row r="36" spans="1:21" ht="15.75" customHeight="1">
      <c r="A36" s="26"/>
      <c r="B36" s="603"/>
      <c r="C36" s="26"/>
      <c r="D36" s="26"/>
      <c r="E36" s="26"/>
      <c r="F36" s="148"/>
      <c r="G36" s="180"/>
      <c r="H36" s="148"/>
      <c r="I36" s="148"/>
      <c r="J36" s="148"/>
      <c r="K36" s="148"/>
      <c r="L36" s="148"/>
      <c r="M36" s="148"/>
      <c r="N36" s="148"/>
      <c r="O36" s="148"/>
      <c r="P36" s="148"/>
      <c r="Q36" s="180"/>
      <c r="R36" s="180"/>
      <c r="S36" s="26"/>
      <c r="T36" s="26"/>
      <c r="U36" s="782"/>
    </row>
    <row r="37" spans="1:21" ht="15.75" customHeight="1">
      <c r="A37" s="26"/>
      <c r="B37" s="603"/>
      <c r="C37" s="26"/>
      <c r="D37" s="26"/>
      <c r="E37" s="26"/>
      <c r="F37" s="148"/>
      <c r="G37" s="180"/>
      <c r="H37" s="148"/>
      <c r="I37" s="148"/>
      <c r="J37" s="148"/>
      <c r="K37" s="148"/>
      <c r="L37" s="148"/>
      <c r="M37" s="148"/>
      <c r="N37" s="148"/>
      <c r="O37" s="148"/>
      <c r="P37" s="148"/>
      <c r="Q37" s="180"/>
      <c r="R37" s="180"/>
      <c r="S37" s="26"/>
      <c r="T37" s="26"/>
      <c r="U37" s="782"/>
    </row>
    <row r="38" spans="1:21" ht="49.5" customHeight="1">
      <c r="B38" s="790" t="s">
        <v>1586</v>
      </c>
      <c r="C38" s="26"/>
      <c r="D38" s="26"/>
      <c r="E38" s="26"/>
      <c r="F38" s="148"/>
      <c r="G38" s="180"/>
      <c r="H38" s="148"/>
      <c r="I38" s="180"/>
      <c r="J38" s="180"/>
      <c r="K38" s="180"/>
      <c r="L38" s="180"/>
      <c r="M38" s="180"/>
      <c r="N38" s="180"/>
      <c r="O38" s="180"/>
      <c r="P38" s="180"/>
      <c r="Q38" s="180"/>
      <c r="R38" s="180"/>
      <c r="S38" s="26"/>
      <c r="T38" s="26"/>
      <c r="U38" s="782"/>
    </row>
    <row r="39" spans="1:21" ht="15.75" customHeight="1">
      <c r="A39" s="26"/>
      <c r="B39" s="250">
        <v>1</v>
      </c>
      <c r="C39" s="140" t="s">
        <v>1579</v>
      </c>
      <c r="D39" s="26"/>
      <c r="E39" s="26"/>
      <c r="F39" s="750">
        <f>F23*H5</f>
        <v>28875</v>
      </c>
      <c r="G39" s="750">
        <f t="shared" ref="G39:R39" si="6">G23*$H$5</f>
        <v>55000</v>
      </c>
      <c r="H39" s="750">
        <f t="shared" si="6"/>
        <v>56704.999999999993</v>
      </c>
      <c r="I39" s="750">
        <f t="shared" si="6"/>
        <v>58462.854999999989</v>
      </c>
      <c r="J39" s="750">
        <f t="shared" si="6"/>
        <v>60275.203504999983</v>
      </c>
      <c r="K39" s="750">
        <f t="shared" si="6"/>
        <v>62143.734813654977</v>
      </c>
      <c r="L39" s="750">
        <f t="shared" si="6"/>
        <v>64070.19059287828</v>
      </c>
      <c r="M39" s="750">
        <f t="shared" si="6"/>
        <v>66056.366501257507</v>
      </c>
      <c r="N39" s="750">
        <f t="shared" si="6"/>
        <v>68104.113862796483</v>
      </c>
      <c r="O39" s="750">
        <f t="shared" si="6"/>
        <v>70215.341392543167</v>
      </c>
      <c r="P39" s="750">
        <f t="shared" si="6"/>
        <v>72392.016975712002</v>
      </c>
      <c r="Q39" s="750">
        <f t="shared" si="6"/>
        <v>74636.16950195907</v>
      </c>
      <c r="R39" s="750">
        <f t="shared" si="6"/>
        <v>76949.890756519788</v>
      </c>
      <c r="S39" s="188"/>
      <c r="T39" s="26"/>
      <c r="U39" s="782"/>
    </row>
    <row r="40" spans="1:21" ht="15.75" customHeight="1">
      <c r="A40" s="26"/>
      <c r="B40" s="250">
        <v>2</v>
      </c>
      <c r="C40" s="140" t="s">
        <v>1178</v>
      </c>
      <c r="D40" s="26"/>
      <c r="E40" s="26"/>
      <c r="F40" s="750">
        <f t="shared" ref="F40:R40" si="7">F24*$H$6</f>
        <v>3326.4</v>
      </c>
      <c r="G40" s="750">
        <f t="shared" si="7"/>
        <v>9000</v>
      </c>
      <c r="H40" s="750">
        <f t="shared" si="7"/>
        <v>9279</v>
      </c>
      <c r="I40" s="750">
        <f t="shared" si="7"/>
        <v>9566.6489999999994</v>
      </c>
      <c r="J40" s="750">
        <f t="shared" si="7"/>
        <v>9863.2151189999986</v>
      </c>
      <c r="K40" s="750">
        <f t="shared" si="7"/>
        <v>10168.974787688998</v>
      </c>
      <c r="L40" s="750">
        <f t="shared" si="7"/>
        <v>10484.213006107355</v>
      </c>
      <c r="M40" s="750">
        <f t="shared" si="7"/>
        <v>10809.223609296681</v>
      </c>
      <c r="N40" s="750">
        <f t="shared" si="7"/>
        <v>11144.309541184879</v>
      </c>
      <c r="O40" s="750">
        <f t="shared" si="7"/>
        <v>11489.783136961609</v>
      </c>
      <c r="P40" s="750">
        <f t="shared" si="7"/>
        <v>11845.966414207416</v>
      </c>
      <c r="Q40" s="750">
        <f t="shared" si="7"/>
        <v>12213.191373047845</v>
      </c>
      <c r="R40" s="750">
        <f t="shared" si="7"/>
        <v>12591.800305612327</v>
      </c>
      <c r="S40" s="26"/>
      <c r="T40" s="26"/>
      <c r="U40" s="782"/>
    </row>
    <row r="41" spans="1:21" ht="15.75" customHeight="1">
      <c r="A41" s="26"/>
      <c r="B41" s="250">
        <v>3</v>
      </c>
      <c r="C41" s="140" t="s">
        <v>1179</v>
      </c>
      <c r="D41" s="26"/>
      <c r="E41" s="26"/>
      <c r="F41" s="750">
        <f t="shared" ref="F41:R41" si="8">F25*$H$7</f>
        <v>10800</v>
      </c>
      <c r="G41" s="750">
        <f t="shared" si="8"/>
        <v>30000</v>
      </c>
      <c r="H41" s="750">
        <f t="shared" si="8"/>
        <v>30930</v>
      </c>
      <c r="I41" s="750">
        <f t="shared" si="8"/>
        <v>31888.83</v>
      </c>
      <c r="J41" s="750">
        <f t="shared" si="8"/>
        <v>32877.383729999994</v>
      </c>
      <c r="K41" s="750">
        <f t="shared" si="8"/>
        <v>33896.582625629992</v>
      </c>
      <c r="L41" s="750">
        <f t="shared" si="8"/>
        <v>34947.376687024516</v>
      </c>
      <c r="M41" s="750">
        <f t="shared" si="8"/>
        <v>36030.745364322276</v>
      </c>
      <c r="N41" s="750">
        <f t="shared" si="8"/>
        <v>37147.698470616269</v>
      </c>
      <c r="O41" s="750">
        <f t="shared" si="8"/>
        <v>38299.277123205364</v>
      </c>
      <c r="P41" s="750">
        <f t="shared" si="8"/>
        <v>39486.554714024729</v>
      </c>
      <c r="Q41" s="750">
        <f t="shared" si="8"/>
        <v>40710.637910159487</v>
      </c>
      <c r="R41" s="750">
        <f t="shared" si="8"/>
        <v>41972.667685374428</v>
      </c>
      <c r="S41" s="26"/>
      <c r="T41" s="26"/>
      <c r="U41" s="782"/>
    </row>
    <row r="42" spans="1:21" ht="15.75" customHeight="1">
      <c r="A42" s="26"/>
      <c r="B42" s="250">
        <v>4</v>
      </c>
      <c r="C42" s="140" t="s">
        <v>1580</v>
      </c>
      <c r="D42" s="26"/>
      <c r="E42" s="26"/>
      <c r="F42" s="750">
        <f t="shared" ref="F42:R42" si="9">F26*$H$8</f>
        <v>4332.96</v>
      </c>
      <c r="G42" s="750">
        <f t="shared" si="9"/>
        <v>21600</v>
      </c>
      <c r="H42" s="750">
        <f t="shared" si="9"/>
        <v>22269.599999999995</v>
      </c>
      <c r="I42" s="750">
        <f t="shared" si="9"/>
        <v>22959.957599999994</v>
      </c>
      <c r="J42" s="750">
        <f t="shared" si="9"/>
        <v>23671.716285599996</v>
      </c>
      <c r="K42" s="750">
        <f t="shared" si="9"/>
        <v>24405.539490453593</v>
      </c>
      <c r="L42" s="750">
        <f t="shared" si="9"/>
        <v>25162.111214657652</v>
      </c>
      <c r="M42" s="750">
        <f t="shared" si="9"/>
        <v>25942.136662312038</v>
      </c>
      <c r="N42" s="750">
        <f t="shared" si="9"/>
        <v>26746.342898843708</v>
      </c>
      <c r="O42" s="750">
        <f t="shared" si="9"/>
        <v>27575.47952870786</v>
      </c>
      <c r="P42" s="750">
        <f t="shared" si="9"/>
        <v>28430.319394097805</v>
      </c>
      <c r="Q42" s="750">
        <f t="shared" si="9"/>
        <v>29311.659295314836</v>
      </c>
      <c r="R42" s="750">
        <f t="shared" si="9"/>
        <v>30220.320733469591</v>
      </c>
      <c r="S42" s="26"/>
      <c r="T42" s="26"/>
      <c r="U42" s="782"/>
    </row>
    <row r="43" spans="1:21" ht="15.75" customHeight="1">
      <c r="A43" s="26"/>
      <c r="B43" s="250">
        <v>5</v>
      </c>
      <c r="C43" s="140" t="s">
        <v>1181</v>
      </c>
      <c r="D43" s="26"/>
      <c r="E43" s="26"/>
      <c r="F43" s="750">
        <f t="shared" ref="F43:R43" si="10">F27*$H$9</f>
        <v>7245</v>
      </c>
      <c r="G43" s="750">
        <f t="shared" si="10"/>
        <v>15000</v>
      </c>
      <c r="H43" s="750">
        <f t="shared" si="10"/>
        <v>15464.999999999996</v>
      </c>
      <c r="I43" s="750">
        <f t="shared" si="10"/>
        <v>15944.414999999995</v>
      </c>
      <c r="J43" s="750">
        <f t="shared" si="10"/>
        <v>16438.691864999993</v>
      </c>
      <c r="K43" s="750">
        <f t="shared" si="10"/>
        <v>16948.291312814992</v>
      </c>
      <c r="L43" s="750">
        <f t="shared" si="10"/>
        <v>17473.688343512255</v>
      </c>
      <c r="M43" s="750">
        <f t="shared" si="10"/>
        <v>18015.372682161134</v>
      </c>
      <c r="N43" s="750">
        <f t="shared" si="10"/>
        <v>18573.849235308127</v>
      </c>
      <c r="O43" s="750">
        <f t="shared" si="10"/>
        <v>19149.638561602678</v>
      </c>
      <c r="P43" s="750">
        <f t="shared" si="10"/>
        <v>19743.277357012357</v>
      </c>
      <c r="Q43" s="750">
        <f t="shared" si="10"/>
        <v>20355.31895507974</v>
      </c>
      <c r="R43" s="750">
        <f t="shared" si="10"/>
        <v>20986.333842687211</v>
      </c>
      <c r="S43" s="26"/>
      <c r="T43" s="26"/>
      <c r="U43" s="782"/>
    </row>
    <row r="44" spans="1:21" ht="15.75" customHeight="1">
      <c r="A44" s="26"/>
      <c r="B44" s="250">
        <v>6</v>
      </c>
      <c r="C44" s="140" t="s">
        <v>1182</v>
      </c>
      <c r="D44" s="26"/>
      <c r="E44" s="26"/>
      <c r="F44" s="750">
        <f t="shared" ref="F44:R44" si="11">F28*$H$10</f>
        <v>5841</v>
      </c>
      <c r="G44" s="750">
        <f t="shared" si="11"/>
        <v>19800</v>
      </c>
      <c r="H44" s="750">
        <f t="shared" si="11"/>
        <v>20413.799999999996</v>
      </c>
      <c r="I44" s="750">
        <f t="shared" si="11"/>
        <v>21046.627799999995</v>
      </c>
      <c r="J44" s="750">
        <f t="shared" si="11"/>
        <v>21699.073261799993</v>
      </c>
      <c r="K44" s="750">
        <f t="shared" si="11"/>
        <v>22371.744532915793</v>
      </c>
      <c r="L44" s="750">
        <f t="shared" si="11"/>
        <v>23065.268613436179</v>
      </c>
      <c r="M44" s="750">
        <f t="shared" si="11"/>
        <v>23780.291940452702</v>
      </c>
      <c r="N44" s="750">
        <f t="shared" si="11"/>
        <v>24517.480990606731</v>
      </c>
      <c r="O44" s="750">
        <f t="shared" si="11"/>
        <v>25277.52290131554</v>
      </c>
      <c r="P44" s="750">
        <f t="shared" si="11"/>
        <v>26061.126111256319</v>
      </c>
      <c r="Q44" s="750">
        <f t="shared" si="11"/>
        <v>26869.021020705262</v>
      </c>
      <c r="R44" s="750">
        <f t="shared" si="11"/>
        <v>27701.960672347122</v>
      </c>
      <c r="S44" s="26"/>
      <c r="T44" s="26"/>
      <c r="U44" s="782"/>
    </row>
    <row r="45" spans="1:21" ht="15.75" customHeight="1">
      <c r="A45" s="26"/>
      <c r="B45" s="250">
        <v>7</v>
      </c>
      <c r="C45" s="140" t="s">
        <v>1183</v>
      </c>
      <c r="D45" s="26"/>
      <c r="E45" s="26"/>
      <c r="F45" s="750">
        <f t="shared" ref="F45:R45" si="12">F29*$H$11</f>
        <v>6878.625</v>
      </c>
      <c r="G45" s="750">
        <f t="shared" si="12"/>
        <v>39000</v>
      </c>
      <c r="H45" s="750">
        <f t="shared" si="12"/>
        <v>40209</v>
      </c>
      <c r="I45" s="750">
        <f t="shared" si="12"/>
        <v>41455.478999999999</v>
      </c>
      <c r="J45" s="750">
        <f t="shared" si="12"/>
        <v>42740.598848999995</v>
      </c>
      <c r="K45" s="750">
        <f t="shared" si="12"/>
        <v>44065.557413318988</v>
      </c>
      <c r="L45" s="750">
        <f t="shared" si="12"/>
        <v>45431.589693131871</v>
      </c>
      <c r="M45" s="750">
        <f t="shared" si="12"/>
        <v>46839.968973618954</v>
      </c>
      <c r="N45" s="750">
        <f t="shared" si="12"/>
        <v>48292.008011801139</v>
      </c>
      <c r="O45" s="750">
        <f t="shared" si="12"/>
        <v>49789.060260166974</v>
      </c>
      <c r="P45" s="750">
        <f t="shared" si="12"/>
        <v>51332.521128232147</v>
      </c>
      <c r="Q45" s="750">
        <f t="shared" si="12"/>
        <v>52923.829283207342</v>
      </c>
      <c r="R45" s="750">
        <f t="shared" si="12"/>
        <v>54564.467990986763</v>
      </c>
      <c r="S45" s="26"/>
      <c r="T45" s="26"/>
      <c r="U45" s="782"/>
    </row>
    <row r="46" spans="1:21" ht="15.75" customHeight="1">
      <c r="A46" s="26"/>
      <c r="B46" s="250">
        <v>8</v>
      </c>
      <c r="C46" s="140" t="s">
        <v>1581</v>
      </c>
      <c r="D46" s="26"/>
      <c r="E46" s="26"/>
      <c r="F46" s="750">
        <f t="shared" ref="F46:R46" si="13">F30*$H$12</f>
        <v>7710.12</v>
      </c>
      <c r="G46" s="750">
        <f t="shared" si="13"/>
        <v>19800</v>
      </c>
      <c r="H46" s="750">
        <f t="shared" si="13"/>
        <v>20413.799999999996</v>
      </c>
      <c r="I46" s="750">
        <f t="shared" si="13"/>
        <v>21046.627799999995</v>
      </c>
      <c r="J46" s="750">
        <f t="shared" si="13"/>
        <v>21699.073261799993</v>
      </c>
      <c r="K46" s="750">
        <f t="shared" si="13"/>
        <v>22371.744532915793</v>
      </c>
      <c r="L46" s="750">
        <f t="shared" si="13"/>
        <v>23065.268613436179</v>
      </c>
      <c r="M46" s="750">
        <f t="shared" si="13"/>
        <v>23780.291940452702</v>
      </c>
      <c r="N46" s="750">
        <f t="shared" si="13"/>
        <v>24517.480990606731</v>
      </c>
      <c r="O46" s="750">
        <f t="shared" si="13"/>
        <v>25277.52290131554</v>
      </c>
      <c r="P46" s="750">
        <f t="shared" si="13"/>
        <v>26061.126111256319</v>
      </c>
      <c r="Q46" s="750">
        <f t="shared" si="13"/>
        <v>26869.021020705262</v>
      </c>
      <c r="R46" s="750">
        <f t="shared" si="13"/>
        <v>27701.960672347122</v>
      </c>
      <c r="S46" s="26"/>
      <c r="T46" s="26"/>
      <c r="U46" s="782"/>
    </row>
    <row r="47" spans="1:21" ht="15.75" customHeight="1">
      <c r="A47" s="26"/>
      <c r="B47" s="250">
        <v>9</v>
      </c>
      <c r="C47" s="140" t="s">
        <v>1186</v>
      </c>
      <c r="D47" s="26"/>
      <c r="E47" s="26"/>
      <c r="F47" s="750">
        <f t="shared" ref="F47:R47" si="14">F31*$H$13</f>
        <v>5310</v>
      </c>
      <c r="G47" s="750">
        <f t="shared" si="14"/>
        <v>18000</v>
      </c>
      <c r="H47" s="750">
        <f t="shared" si="14"/>
        <v>18557.999999999996</v>
      </c>
      <c r="I47" s="750">
        <f t="shared" si="14"/>
        <v>19133.297999999995</v>
      </c>
      <c r="J47" s="750">
        <f t="shared" si="14"/>
        <v>19726.430237999994</v>
      </c>
      <c r="K47" s="750">
        <f t="shared" si="14"/>
        <v>20337.949575377992</v>
      </c>
      <c r="L47" s="750">
        <f t="shared" si="14"/>
        <v>20968.426012214706</v>
      </c>
      <c r="M47" s="750">
        <f t="shared" si="14"/>
        <v>21618.447218593359</v>
      </c>
      <c r="N47" s="750">
        <f t="shared" si="14"/>
        <v>22288.619082369754</v>
      </c>
      <c r="O47" s="750">
        <f t="shared" si="14"/>
        <v>22979.566273923214</v>
      </c>
      <c r="P47" s="750">
        <f t="shared" si="14"/>
        <v>23691.932828414829</v>
      </c>
      <c r="Q47" s="750">
        <f t="shared" si="14"/>
        <v>24426.382746095689</v>
      </c>
      <c r="R47" s="750">
        <f t="shared" si="14"/>
        <v>25183.600611224654</v>
      </c>
      <c r="S47" s="26"/>
      <c r="T47" s="26"/>
      <c r="U47" s="782"/>
    </row>
    <row r="48" spans="1:21" ht="15.75" customHeight="1">
      <c r="A48" s="26"/>
      <c r="B48" s="250">
        <v>10</v>
      </c>
      <c r="C48" s="140" t="s">
        <v>1582</v>
      </c>
      <c r="D48" s="26"/>
      <c r="E48" s="26"/>
      <c r="F48" s="750">
        <f t="shared" ref="F48:R48" si="15">F32*$H$14</f>
        <v>7800</v>
      </c>
      <c r="G48" s="750">
        <f t="shared" si="15"/>
        <v>26000</v>
      </c>
      <c r="H48" s="750">
        <f t="shared" si="15"/>
        <v>26806</v>
      </c>
      <c r="I48" s="750">
        <f t="shared" si="15"/>
        <v>27636.986000000001</v>
      </c>
      <c r="J48" s="750">
        <f t="shared" si="15"/>
        <v>28493.732565999999</v>
      </c>
      <c r="K48" s="750">
        <f t="shared" si="15"/>
        <v>29377.038275545994</v>
      </c>
      <c r="L48" s="750">
        <f t="shared" si="15"/>
        <v>30287.726462087914</v>
      </c>
      <c r="M48" s="750">
        <f t="shared" si="15"/>
        <v>31226.64598241264</v>
      </c>
      <c r="N48" s="750">
        <f t="shared" si="15"/>
        <v>32194.672007867426</v>
      </c>
      <c r="O48" s="750">
        <f t="shared" si="15"/>
        <v>33192.706840111314</v>
      </c>
      <c r="P48" s="750">
        <f t="shared" si="15"/>
        <v>34221.680752154767</v>
      </c>
      <c r="Q48" s="750">
        <f t="shared" si="15"/>
        <v>35282.552855471564</v>
      </c>
      <c r="R48" s="750">
        <f t="shared" si="15"/>
        <v>36376.311993991178</v>
      </c>
      <c r="S48" s="26"/>
      <c r="T48" s="26"/>
      <c r="U48" s="782"/>
    </row>
    <row r="49" spans="1:21" ht="15.75" customHeight="1">
      <c r="A49" s="26"/>
      <c r="B49" s="250">
        <v>11</v>
      </c>
      <c r="C49" s="140" t="s">
        <v>1188</v>
      </c>
      <c r="D49" s="26"/>
      <c r="E49" s="26"/>
      <c r="F49" s="750">
        <f t="shared" ref="F49:R49" si="16">F33*$H$15</f>
        <v>1599.36</v>
      </c>
      <c r="G49" s="750">
        <f t="shared" si="16"/>
        <v>8400</v>
      </c>
      <c r="H49" s="750">
        <f t="shared" si="16"/>
        <v>8660.4</v>
      </c>
      <c r="I49" s="750">
        <f t="shared" si="16"/>
        <v>8928.8723999999984</v>
      </c>
      <c r="J49" s="750">
        <f t="shared" si="16"/>
        <v>9205.6674443999982</v>
      </c>
      <c r="K49" s="750">
        <f t="shared" si="16"/>
        <v>9491.0431351763964</v>
      </c>
      <c r="L49" s="750">
        <f t="shared" si="16"/>
        <v>9785.2654723668638</v>
      </c>
      <c r="M49" s="750">
        <f t="shared" si="16"/>
        <v>10088.608702010237</v>
      </c>
      <c r="N49" s="750">
        <f t="shared" si="16"/>
        <v>10401.355571772552</v>
      </c>
      <c r="O49" s="750">
        <f t="shared" si="16"/>
        <v>10723.797594497502</v>
      </c>
      <c r="P49" s="750">
        <f t="shared" si="16"/>
        <v>11056.235319926922</v>
      </c>
      <c r="Q49" s="750">
        <f t="shared" si="16"/>
        <v>11398.978614844656</v>
      </c>
      <c r="R49" s="750">
        <f t="shared" si="16"/>
        <v>11752.346951904841</v>
      </c>
      <c r="S49" s="26"/>
      <c r="T49" s="26"/>
      <c r="U49" s="782"/>
    </row>
    <row r="50" spans="1:21" ht="15.75" customHeight="1">
      <c r="A50" s="26"/>
      <c r="B50" s="250">
        <v>12</v>
      </c>
      <c r="C50" s="140" t="s">
        <v>1189</v>
      </c>
      <c r="D50" s="26"/>
      <c r="E50" s="26"/>
      <c r="F50" s="750">
        <f t="shared" ref="F50:R50" si="17">F34*$H$16</f>
        <v>3665.625</v>
      </c>
      <c r="G50" s="750">
        <f t="shared" si="17"/>
        <v>12750</v>
      </c>
      <c r="H50" s="750">
        <f t="shared" si="17"/>
        <v>13145.25</v>
      </c>
      <c r="I50" s="750">
        <f t="shared" si="17"/>
        <v>13552.75275</v>
      </c>
      <c r="J50" s="750">
        <f t="shared" si="17"/>
        <v>13972.888085249997</v>
      </c>
      <c r="K50" s="750">
        <f t="shared" si="17"/>
        <v>14406.047615892747</v>
      </c>
      <c r="L50" s="750">
        <f t="shared" si="17"/>
        <v>14852.635091985419</v>
      </c>
      <c r="M50" s="750">
        <f t="shared" si="17"/>
        <v>15313.066779836965</v>
      </c>
      <c r="N50" s="750">
        <f t="shared" si="17"/>
        <v>15787.771850011912</v>
      </c>
      <c r="O50" s="750">
        <f t="shared" si="17"/>
        <v>16277.192777362279</v>
      </c>
      <c r="P50" s="750">
        <f t="shared" si="17"/>
        <v>16781.785753460506</v>
      </c>
      <c r="Q50" s="750">
        <f t="shared" si="17"/>
        <v>17302.021111817783</v>
      </c>
      <c r="R50" s="750">
        <f t="shared" si="17"/>
        <v>17838.383766284132</v>
      </c>
      <c r="S50" s="26"/>
      <c r="T50" s="26"/>
      <c r="U50" s="782"/>
    </row>
    <row r="51" spans="1:21" ht="15.75" customHeight="1">
      <c r="A51" s="26"/>
      <c r="B51" s="603"/>
      <c r="C51" s="26"/>
      <c r="D51" s="26"/>
      <c r="E51" s="26"/>
      <c r="F51" s="750">
        <f t="shared" ref="F51:R51" si="18">SUM(F39:F50)</f>
        <v>93384.09</v>
      </c>
      <c r="G51" s="750">
        <f t="shared" si="18"/>
        <v>274350</v>
      </c>
      <c r="H51" s="750">
        <f t="shared" si="18"/>
        <v>282854.84999999998</v>
      </c>
      <c r="I51" s="750">
        <f t="shared" si="18"/>
        <v>291623.35034999991</v>
      </c>
      <c r="J51" s="750">
        <f t="shared" si="18"/>
        <v>300663.67421084997</v>
      </c>
      <c r="K51" s="750">
        <f t="shared" si="18"/>
        <v>309984.2481113862</v>
      </c>
      <c r="L51" s="750">
        <f t="shared" si="18"/>
        <v>319593.75980283914</v>
      </c>
      <c r="M51" s="750">
        <f t="shared" si="18"/>
        <v>329501.16635672719</v>
      </c>
      <c r="N51" s="750">
        <f t="shared" si="18"/>
        <v>339715.70251378568</v>
      </c>
      <c r="O51" s="750">
        <f t="shared" si="18"/>
        <v>350246.88929171301</v>
      </c>
      <c r="P51" s="750">
        <f t="shared" si="18"/>
        <v>361104.54285975615</v>
      </c>
      <c r="Q51" s="750">
        <f t="shared" si="18"/>
        <v>372298.78368840856</v>
      </c>
      <c r="R51" s="750">
        <f t="shared" si="18"/>
        <v>383840.0459827492</v>
      </c>
      <c r="S51" s="26"/>
      <c r="T51" s="26"/>
      <c r="U51" s="782"/>
    </row>
    <row r="52" spans="1:21" ht="15.75" customHeight="1">
      <c r="A52" s="26"/>
      <c r="B52" s="603"/>
      <c r="C52" s="26"/>
      <c r="D52" s="26"/>
      <c r="E52" s="26"/>
      <c r="F52" s="148"/>
      <c r="G52" s="180"/>
      <c r="H52" s="148"/>
      <c r="I52" s="180"/>
      <c r="J52" s="180"/>
      <c r="K52" s="180"/>
      <c r="L52" s="180"/>
      <c r="M52" s="180"/>
      <c r="N52" s="180"/>
      <c r="O52" s="180"/>
      <c r="P52" s="180"/>
      <c r="Q52" s="180"/>
      <c r="R52" s="180"/>
      <c r="S52" s="26"/>
      <c r="T52" s="26"/>
      <c r="U52" s="782"/>
    </row>
    <row r="53" spans="1:21" ht="15.75" customHeight="1">
      <c r="A53" s="26"/>
      <c r="B53" s="791" t="s">
        <v>1587</v>
      </c>
      <c r="C53" s="26" t="s">
        <v>1588</v>
      </c>
      <c r="D53" s="26"/>
      <c r="E53" s="250"/>
      <c r="F53" s="165"/>
      <c r="G53" s="180"/>
      <c r="H53" s="148"/>
      <c r="I53" s="180"/>
      <c r="J53" s="180"/>
      <c r="K53" s="180"/>
      <c r="L53" s="180"/>
      <c r="M53" s="180"/>
      <c r="N53" s="180"/>
      <c r="O53" s="180"/>
      <c r="P53" s="180"/>
      <c r="Q53" s="180"/>
      <c r="R53" s="180"/>
      <c r="S53" s="26"/>
      <c r="T53" s="26"/>
      <c r="U53" s="782"/>
    </row>
    <row r="54" spans="1:21" ht="15.75" customHeight="1">
      <c r="A54" s="26"/>
      <c r="B54" s="224">
        <v>1</v>
      </c>
      <c r="C54" s="332" t="s">
        <v>1193</v>
      </c>
      <c r="D54" s="26"/>
      <c r="E54" s="224"/>
      <c r="F54" s="792">
        <f>Inputs!E391</f>
        <v>200000</v>
      </c>
      <c r="G54" s="180"/>
      <c r="H54" s="148"/>
      <c r="I54" s="180"/>
      <c r="J54" s="180"/>
      <c r="K54" s="180"/>
      <c r="L54" s="180"/>
      <c r="M54" s="180"/>
      <c r="N54" s="180"/>
      <c r="O54" s="180"/>
      <c r="P54" s="180"/>
      <c r="Q54" s="180"/>
      <c r="R54" s="180"/>
      <c r="S54" s="26"/>
      <c r="T54" s="26"/>
      <c r="U54" s="782"/>
    </row>
    <row r="55" spans="1:21" ht="15.75" customHeight="1">
      <c r="A55" s="26"/>
      <c r="B55" s="224">
        <v>2</v>
      </c>
      <c r="C55" s="332" t="s">
        <v>1194</v>
      </c>
      <c r="D55" s="26"/>
      <c r="E55" s="26"/>
      <c r="F55" s="792">
        <f>Inputs!E392</f>
        <v>100000</v>
      </c>
      <c r="G55" s="180"/>
      <c r="H55" s="148"/>
      <c r="I55" s="180"/>
      <c r="J55" s="180"/>
      <c r="K55" s="180"/>
      <c r="L55" s="180"/>
      <c r="M55" s="180"/>
      <c r="N55" s="180"/>
      <c r="O55" s="180"/>
      <c r="P55" s="180"/>
      <c r="Q55" s="180"/>
      <c r="R55" s="180"/>
      <c r="S55" s="26"/>
      <c r="T55" s="26"/>
      <c r="U55" s="782"/>
    </row>
    <row r="56" spans="1:21" ht="15.75" customHeight="1">
      <c r="A56" s="26"/>
      <c r="B56" s="224">
        <v>3</v>
      </c>
      <c r="C56" s="332" t="s">
        <v>432</v>
      </c>
      <c r="D56" s="26"/>
      <c r="E56" s="26"/>
      <c r="F56" s="792">
        <f>Inputs!E393</f>
        <v>30000</v>
      </c>
      <c r="G56" s="180"/>
      <c r="H56" s="148"/>
      <c r="I56" s="180"/>
      <c r="J56" s="180"/>
      <c r="K56" s="180"/>
      <c r="L56" s="180"/>
      <c r="M56" s="180"/>
      <c r="N56" s="180"/>
      <c r="O56" s="180"/>
      <c r="P56" s="180"/>
      <c r="Q56" s="180"/>
      <c r="R56" s="180"/>
      <c r="S56" s="26"/>
      <c r="T56" s="26"/>
      <c r="U56" s="782"/>
    </row>
    <row r="57" spans="1:21" ht="15.75" customHeight="1">
      <c r="A57" s="26"/>
      <c r="B57" s="603"/>
      <c r="C57" s="26"/>
      <c r="D57" s="26"/>
      <c r="E57" s="26"/>
      <c r="F57" s="148">
        <f>SUM(F54:F56)</f>
        <v>330000</v>
      </c>
      <c r="G57" s="180"/>
      <c r="H57" s="148"/>
      <c r="I57" s="180"/>
      <c r="J57" s="180"/>
      <c r="K57" s="180"/>
      <c r="L57" s="180"/>
      <c r="M57" s="180"/>
      <c r="N57" s="180"/>
      <c r="O57" s="180"/>
      <c r="P57" s="180"/>
      <c r="Q57" s="180"/>
      <c r="R57" s="180"/>
      <c r="S57" s="26"/>
      <c r="T57" s="26"/>
      <c r="U57" s="782"/>
    </row>
    <row r="58" spans="1:21" ht="15.75" customHeight="1">
      <c r="A58" s="26"/>
      <c r="B58" s="603"/>
      <c r="C58" s="26"/>
      <c r="D58" s="26"/>
      <c r="E58" s="26"/>
      <c r="F58" s="148"/>
      <c r="G58" s="180"/>
      <c r="H58" s="148"/>
      <c r="I58" s="180"/>
      <c r="J58" s="180"/>
      <c r="K58" s="180"/>
      <c r="L58" s="180"/>
      <c r="M58" s="180"/>
      <c r="N58" s="180"/>
      <c r="O58" s="180"/>
      <c r="P58" s="180"/>
      <c r="Q58" s="180"/>
      <c r="R58" s="180"/>
      <c r="S58" s="26"/>
      <c r="T58" s="26"/>
      <c r="U58" s="782"/>
    </row>
    <row r="59" spans="1:21" ht="15.75" customHeight="1">
      <c r="A59" s="26"/>
      <c r="B59" s="603"/>
      <c r="C59" s="26"/>
      <c r="D59" s="26"/>
      <c r="E59" s="26"/>
      <c r="F59" s="148"/>
      <c r="G59" s="180"/>
      <c r="H59" s="148"/>
      <c r="I59" s="180"/>
      <c r="J59" s="180"/>
      <c r="K59" s="180"/>
      <c r="L59" s="180"/>
      <c r="M59" s="180"/>
      <c r="N59" s="180"/>
      <c r="O59" s="180"/>
      <c r="P59" s="180"/>
      <c r="Q59" s="180"/>
      <c r="R59" s="180"/>
      <c r="S59" s="26"/>
      <c r="T59" s="26"/>
      <c r="U59" s="782"/>
    </row>
    <row r="60" spans="1:21" ht="12.75" customHeight="1">
      <c r="A60" s="26"/>
      <c r="B60" s="788" t="s">
        <v>1589</v>
      </c>
      <c r="C60" s="26"/>
      <c r="D60" s="26"/>
      <c r="E60" s="250" t="s">
        <v>192</v>
      </c>
      <c r="F60" s="165" t="s">
        <v>152</v>
      </c>
      <c r="G60" s="165" t="s">
        <v>153</v>
      </c>
      <c r="H60" s="165" t="s">
        <v>154</v>
      </c>
      <c r="I60" s="165" t="s">
        <v>155</v>
      </c>
      <c r="J60" s="165" t="s">
        <v>201</v>
      </c>
      <c r="K60" s="165" t="s">
        <v>202</v>
      </c>
      <c r="L60" s="165" t="s">
        <v>203</v>
      </c>
      <c r="M60" s="165" t="s">
        <v>204</v>
      </c>
      <c r="N60" s="165" t="s">
        <v>205</v>
      </c>
      <c r="O60" s="165" t="s">
        <v>206</v>
      </c>
      <c r="P60" s="165" t="s">
        <v>207</v>
      </c>
      <c r="Q60" s="165" t="s">
        <v>208</v>
      </c>
      <c r="R60" s="165" t="s">
        <v>208</v>
      </c>
      <c r="S60" s="26"/>
      <c r="T60" s="26"/>
      <c r="U60" s="782"/>
    </row>
    <row r="61" spans="1:21" ht="15.75" customHeight="1">
      <c r="A61" s="26"/>
      <c r="B61" s="26"/>
      <c r="C61" s="140" t="s">
        <v>1590</v>
      </c>
      <c r="D61" s="26"/>
      <c r="E61" s="224" t="s">
        <v>1584</v>
      </c>
      <c r="F61" s="250">
        <f t="shared" ref="F61:R61" si="19">F70</f>
        <v>2027</v>
      </c>
      <c r="G61" s="250">
        <f t="shared" si="19"/>
        <v>2028</v>
      </c>
      <c r="H61" s="250">
        <f t="shared" si="19"/>
        <v>2029</v>
      </c>
      <c r="I61" s="250">
        <f t="shared" si="19"/>
        <v>2030</v>
      </c>
      <c r="J61" s="250">
        <f t="shared" si="19"/>
        <v>2031</v>
      </c>
      <c r="K61" s="250">
        <f t="shared" si="19"/>
        <v>2032</v>
      </c>
      <c r="L61" s="250">
        <f t="shared" si="19"/>
        <v>2033</v>
      </c>
      <c r="M61" s="250">
        <f t="shared" si="19"/>
        <v>2034</v>
      </c>
      <c r="N61" s="250">
        <f t="shared" si="19"/>
        <v>2035</v>
      </c>
      <c r="O61" s="250">
        <f t="shared" si="19"/>
        <v>2036</v>
      </c>
      <c r="P61" s="250">
        <f t="shared" si="19"/>
        <v>2037</v>
      </c>
      <c r="Q61" s="250">
        <f t="shared" si="19"/>
        <v>2038</v>
      </c>
      <c r="R61" s="250">
        <f t="shared" si="19"/>
        <v>2039</v>
      </c>
      <c r="S61" s="26"/>
      <c r="T61" s="26"/>
      <c r="U61" s="782"/>
    </row>
    <row r="62" spans="1:21" ht="15.75" customHeight="1">
      <c r="A62" s="26"/>
      <c r="B62" s="26"/>
      <c r="C62" s="140" t="s">
        <v>482</v>
      </c>
      <c r="D62" s="26"/>
      <c r="E62" s="224"/>
      <c r="F62" s="793">
        <f>SUMIF(Timing!$C$7:$EN$7,F$21,Timing!$C$18:$EN$18)</f>
        <v>0</v>
      </c>
      <c r="G62" s="793">
        <f>SUMIF(Timing!$C$7:$EN$7,G$21,Timing!$C$17:$EN$17)</f>
        <v>0</v>
      </c>
      <c r="H62" s="793">
        <f>SUMIF(Timing!$C$7:$EN$7,H$21,Timing!$C$17:$EN$17)</f>
        <v>375375</v>
      </c>
      <c r="I62" s="793">
        <f>SUMIF(Timing!$C$7:$EN$7,I$21,Timing!$C$17:$EN$17)</f>
        <v>422638.125</v>
      </c>
      <c r="J62" s="793">
        <f>SUMIF(Timing!$C$7:$EN$7,J$21,Timing!$C$17:$EN$17)</f>
        <v>437430.45937499992</v>
      </c>
      <c r="K62" s="793">
        <f>SUMIF(Timing!$C$7:$EN$7,K$21,Timing!$C$17:$EN$17)</f>
        <v>452740.52545312478</v>
      </c>
      <c r="L62" s="793">
        <f>SUMIF(Timing!$C$7:$EN$7,L$21,Timing!$C$17:$EN$17)</f>
        <v>899337.89020359353</v>
      </c>
      <c r="M62" s="793">
        <f>SUMIF(Timing!$C$7:$EN$7,M$21,Timing!$C$17:$EN$17)</f>
        <v>969973.93875704729</v>
      </c>
      <c r="N62" s="793">
        <f>SUMIF(Timing!$C$7:$EN$7,N$21,Timing!$C$17:$EN$17)</f>
        <v>1003923.0266135442</v>
      </c>
      <c r="O62" s="793">
        <f>SUMIF(Timing!$C$7:$EN$7,O$21,Timing!$C$17:$EN$17)</f>
        <v>1039060.3325450178</v>
      </c>
      <c r="P62" s="793">
        <f>SUMIF(Timing!$C$7:$EN$7,P$21,Timing!$C$17:$EN$17)</f>
        <v>1075427.4441840933</v>
      </c>
      <c r="Q62" s="793">
        <f>SUMIF(Timing!$C$7:$EN$7,Q$21,Timing!$C$17:$EN$17)</f>
        <v>461943.19421194645</v>
      </c>
      <c r="R62" s="793">
        <f>SUMIF(Timing!$C$7:$EN$7,R$21,Timing!$C$17:$EN$17)</f>
        <v>0</v>
      </c>
      <c r="S62" s="26"/>
      <c r="T62" s="26"/>
      <c r="U62" s="782"/>
    </row>
    <row r="63" spans="1:21" ht="15.75" customHeight="1">
      <c r="A63" s="26"/>
      <c r="B63" s="26"/>
      <c r="C63" s="140" t="s">
        <v>429</v>
      </c>
      <c r="D63" s="26"/>
      <c r="E63" s="224"/>
      <c r="F63" s="794"/>
      <c r="G63" s="794"/>
      <c r="H63" s="794">
        <f t="shared" ref="H63:R63" si="20">H$62*RM_OutgoingsPct</f>
        <v>56306.25</v>
      </c>
      <c r="I63" s="794">
        <f t="shared" si="20"/>
        <v>63395.71875</v>
      </c>
      <c r="J63" s="794">
        <f t="shared" si="20"/>
        <v>65614.568906249988</v>
      </c>
      <c r="K63" s="794">
        <f t="shared" si="20"/>
        <v>67911.078817968708</v>
      </c>
      <c r="L63" s="794">
        <f t="shared" si="20"/>
        <v>134900.68353053901</v>
      </c>
      <c r="M63" s="794">
        <f t="shared" si="20"/>
        <v>145496.09081355709</v>
      </c>
      <c r="N63" s="794">
        <f t="shared" si="20"/>
        <v>150588.45399203163</v>
      </c>
      <c r="O63" s="794">
        <f t="shared" si="20"/>
        <v>155859.04988175267</v>
      </c>
      <c r="P63" s="794">
        <f t="shared" si="20"/>
        <v>161314.11662761398</v>
      </c>
      <c r="Q63" s="794">
        <f t="shared" si="20"/>
        <v>69291.479131791959</v>
      </c>
      <c r="R63" s="794">
        <f t="shared" si="20"/>
        <v>0</v>
      </c>
      <c r="S63" s="26"/>
      <c r="T63" s="26"/>
      <c r="U63" s="782"/>
    </row>
    <row r="64" spans="1:21" ht="15.75" customHeight="1">
      <c r="A64" s="26"/>
      <c r="B64" s="26"/>
      <c r="C64" s="140" t="s">
        <v>1591</v>
      </c>
      <c r="D64" s="26"/>
      <c r="E64" s="224"/>
      <c r="F64" s="795"/>
      <c r="G64" s="795"/>
      <c r="H64" s="795"/>
      <c r="I64" s="795"/>
      <c r="J64" s="795"/>
      <c r="K64" s="795"/>
      <c r="L64" s="795"/>
      <c r="M64" s="795"/>
      <c r="N64" s="795"/>
      <c r="O64" s="795"/>
      <c r="P64" s="795"/>
      <c r="Q64" s="795"/>
      <c r="R64" s="795"/>
      <c r="S64" s="26"/>
      <c r="T64" s="26"/>
      <c r="U64" s="782"/>
    </row>
    <row r="65" spans="1:21" ht="15.75" customHeight="1">
      <c r="A65" s="26"/>
      <c r="B65" s="26"/>
      <c r="C65" s="140" t="s">
        <v>1592</v>
      </c>
      <c r="D65" s="26"/>
      <c r="E65" s="224"/>
      <c r="F65" s="750">
        <f>IF(F$60=Inputs!$F$31,Inputs!F43,0)</f>
        <v>0</v>
      </c>
      <c r="G65" s="750">
        <f>IF(G$60=Inputs!$F$31,Inputs!G43,0)</f>
        <v>0</v>
      </c>
      <c r="H65" s="750">
        <f>IF(H$60=Inputs!$F$31,Inputs!H43,0)</f>
        <v>0</v>
      </c>
      <c r="I65" s="750">
        <f>IF(I$60=Inputs!$F$31,Inputs!I43,0)</f>
        <v>0</v>
      </c>
      <c r="J65" s="750">
        <f>IF(J$60=Inputs!$F$31,Inputs!J43,0)</f>
        <v>0</v>
      </c>
      <c r="K65" s="750">
        <f>IF(K$60=Inputs!$F$31,Inputs!K43,0)</f>
        <v>0</v>
      </c>
      <c r="L65" s="750">
        <f>IF(L$60=Inputs!$F$31,Inputs!L43,0)</f>
        <v>0</v>
      </c>
      <c r="M65" s="750">
        <f>IF(M$60=Inputs!$F$31,Inputs!M43,0)</f>
        <v>0</v>
      </c>
      <c r="N65" s="750">
        <f>IF(N$60=Inputs!$F$31,Inputs!N43,0)</f>
        <v>0</v>
      </c>
      <c r="O65" s="750">
        <f>IF(O$60=Inputs!$F$31,Inputs!O43,0)</f>
        <v>0</v>
      </c>
      <c r="P65" s="750">
        <f>IF(P$60=Inputs!$F$31,Inputs!P43,0)</f>
        <v>0</v>
      </c>
      <c r="Q65" s="750">
        <f>IF(Q$60=Inputs!$F$31,Inputs!Q43,0)</f>
        <v>0</v>
      </c>
      <c r="R65" s="750">
        <f>IF(R$60=Inputs!$F$31,Inputs!R43,0)</f>
        <v>0</v>
      </c>
      <c r="S65" s="26"/>
      <c r="T65" s="26"/>
      <c r="U65" s="782"/>
    </row>
    <row r="66" spans="1:21" ht="15.75" customHeight="1">
      <c r="A66" s="26"/>
      <c r="B66" s="26"/>
      <c r="C66" s="140" t="s">
        <v>770</v>
      </c>
      <c r="D66" s="26"/>
      <c r="E66" s="224"/>
      <c r="F66" s="750">
        <v>0</v>
      </c>
      <c r="G66" s="750">
        <f t="shared" ref="G66:R66" si="21">SUM(G62:G65)</f>
        <v>0</v>
      </c>
      <c r="H66" s="750">
        <f t="shared" si="21"/>
        <v>431681.25</v>
      </c>
      <c r="I66" s="750">
        <f t="shared" si="21"/>
        <v>486033.84375</v>
      </c>
      <c r="J66" s="750">
        <f t="shared" si="21"/>
        <v>503045.02828124992</v>
      </c>
      <c r="K66" s="750">
        <f t="shared" si="21"/>
        <v>520651.6042710935</v>
      </c>
      <c r="L66" s="750">
        <f t="shared" si="21"/>
        <v>1034238.5737341326</v>
      </c>
      <c r="M66" s="750">
        <f t="shared" si="21"/>
        <v>1115470.0295706044</v>
      </c>
      <c r="N66" s="750">
        <f t="shared" si="21"/>
        <v>1154511.4806055757</v>
      </c>
      <c r="O66" s="750">
        <f t="shared" si="21"/>
        <v>1194919.3824267704</v>
      </c>
      <c r="P66" s="750">
        <f t="shared" si="21"/>
        <v>1236741.5608117073</v>
      </c>
      <c r="Q66" s="750">
        <f t="shared" si="21"/>
        <v>531234.67334373842</v>
      </c>
      <c r="R66" s="750">
        <f t="shared" si="21"/>
        <v>0</v>
      </c>
      <c r="S66" s="26"/>
      <c r="T66" s="26"/>
      <c r="U66" s="782"/>
    </row>
    <row r="67" spans="1:21" ht="15.75" customHeight="1">
      <c r="A67" s="26"/>
      <c r="B67" s="26"/>
      <c r="C67" s="26"/>
      <c r="D67" s="26"/>
      <c r="E67" s="224"/>
      <c r="F67" s="165"/>
      <c r="G67" s="165"/>
      <c r="H67" s="165"/>
      <c r="I67" s="165"/>
      <c r="J67" s="165"/>
      <c r="K67" s="165"/>
      <c r="L67" s="165"/>
      <c r="M67" s="165"/>
      <c r="N67" s="165"/>
      <c r="O67" s="165"/>
      <c r="P67" s="165"/>
      <c r="Q67" s="165"/>
      <c r="R67" s="165"/>
      <c r="S67" s="26"/>
      <c r="T67" s="26"/>
      <c r="U67" s="782"/>
    </row>
    <row r="68" spans="1:21" ht="15.75" customHeight="1">
      <c r="A68" s="26"/>
      <c r="B68" s="26"/>
      <c r="C68" s="26"/>
      <c r="D68" s="26"/>
      <c r="E68" s="224"/>
      <c r="F68" s="165"/>
      <c r="G68" s="165"/>
      <c r="H68" s="165"/>
      <c r="I68" s="165"/>
      <c r="J68" s="165"/>
      <c r="K68" s="165"/>
      <c r="L68" s="165"/>
      <c r="M68" s="165"/>
      <c r="N68" s="165"/>
      <c r="O68" s="165"/>
      <c r="P68" s="165"/>
      <c r="Q68" s="165"/>
      <c r="R68" s="165"/>
      <c r="S68" s="26"/>
      <c r="T68" s="26"/>
      <c r="U68" s="782"/>
    </row>
    <row r="69" spans="1:21" ht="12.75" customHeight="1">
      <c r="A69" s="26"/>
      <c r="B69" s="788" t="s">
        <v>287</v>
      </c>
      <c r="C69" s="26"/>
      <c r="D69" s="26"/>
      <c r="E69" s="250" t="s">
        <v>192</v>
      </c>
      <c r="F69" s="165" t="str">
        <f t="shared" ref="F69:R69" si="22">F20</f>
        <v>FY27</v>
      </c>
      <c r="G69" s="165" t="str">
        <f t="shared" si="22"/>
        <v>FY28</v>
      </c>
      <c r="H69" s="165" t="str">
        <f t="shared" si="22"/>
        <v>FY29</v>
      </c>
      <c r="I69" s="165" t="str">
        <f t="shared" si="22"/>
        <v>FY30</v>
      </c>
      <c r="J69" s="165" t="str">
        <f t="shared" si="22"/>
        <v>FY31</v>
      </c>
      <c r="K69" s="165" t="str">
        <f t="shared" si="22"/>
        <v>FY32</v>
      </c>
      <c r="L69" s="165" t="str">
        <f t="shared" si="22"/>
        <v>FY33</v>
      </c>
      <c r="M69" s="165" t="str">
        <f t="shared" si="22"/>
        <v>FY34</v>
      </c>
      <c r="N69" s="165" t="str">
        <f t="shared" si="22"/>
        <v>FY35</v>
      </c>
      <c r="O69" s="165" t="str">
        <f t="shared" si="22"/>
        <v>FY36</v>
      </c>
      <c r="P69" s="165" t="str">
        <f t="shared" si="22"/>
        <v>FY37</v>
      </c>
      <c r="Q69" s="165" t="str">
        <f t="shared" si="22"/>
        <v>FY38</v>
      </c>
      <c r="R69" s="165" t="str">
        <f t="shared" si="22"/>
        <v>FY39</v>
      </c>
      <c r="S69" s="26"/>
      <c r="T69" s="26"/>
      <c r="U69" s="782"/>
    </row>
    <row r="70" spans="1:21" ht="15.75" customHeight="1">
      <c r="A70" s="26"/>
      <c r="B70" s="140"/>
      <c r="C70" s="26"/>
      <c r="D70" s="26"/>
      <c r="E70" s="224" t="s">
        <v>1584</v>
      </c>
      <c r="F70" s="250">
        <f t="shared" ref="F70:R70" si="23">F21</f>
        <v>2027</v>
      </c>
      <c r="G70" s="250">
        <f t="shared" si="23"/>
        <v>2028</v>
      </c>
      <c r="H70" s="250">
        <f t="shared" si="23"/>
        <v>2029</v>
      </c>
      <c r="I70" s="250">
        <f t="shared" si="23"/>
        <v>2030</v>
      </c>
      <c r="J70" s="250">
        <f t="shared" si="23"/>
        <v>2031</v>
      </c>
      <c r="K70" s="250">
        <f t="shared" si="23"/>
        <v>2032</v>
      </c>
      <c r="L70" s="250">
        <f t="shared" si="23"/>
        <v>2033</v>
      </c>
      <c r="M70" s="250">
        <f t="shared" si="23"/>
        <v>2034</v>
      </c>
      <c r="N70" s="250">
        <f t="shared" si="23"/>
        <v>2035</v>
      </c>
      <c r="O70" s="250">
        <f t="shared" si="23"/>
        <v>2036</v>
      </c>
      <c r="P70" s="250">
        <f t="shared" si="23"/>
        <v>2037</v>
      </c>
      <c r="Q70" s="250">
        <f t="shared" si="23"/>
        <v>2038</v>
      </c>
      <c r="R70" s="250">
        <f t="shared" si="23"/>
        <v>2039</v>
      </c>
      <c r="S70" s="26"/>
      <c r="T70" s="26"/>
      <c r="U70" s="782"/>
    </row>
    <row r="71" spans="1:21" ht="15.75" customHeight="1">
      <c r="A71" s="26"/>
      <c r="B71" s="250">
        <v>1</v>
      </c>
      <c r="C71" s="140" t="s">
        <v>408</v>
      </c>
      <c r="D71" s="26"/>
      <c r="E71" s="224"/>
      <c r="F71" s="796"/>
      <c r="G71" s="750">
        <f>Inputs!$E$466*'Revenue Assumptions'!F141</f>
        <v>1810119.5999999999</v>
      </c>
      <c r="H71" s="750">
        <f>Inputs!$E$466*'Revenue Assumptions'!G141</f>
        <v>1943583.0551999994</v>
      </c>
      <c r="I71" s="750">
        <f>Inputs!$E$466*'Revenue Assumptions'!H141</f>
        <v>2083154.4</v>
      </c>
      <c r="J71" s="750">
        <f>Inputs!$E$466*'Revenue Assumptions'!I141</f>
        <v>2119752.36</v>
      </c>
      <c r="K71" s="750">
        <f>Inputs!$E$466*'Revenue Assumptions'!J141</f>
        <v>2183344.9308000002</v>
      </c>
      <c r="L71" s="750">
        <f>Inputs!$E$466*'Revenue Assumptions'!K141</f>
        <v>2248845.2787240003</v>
      </c>
      <c r="M71" s="750">
        <f>Inputs!$E$466*'Revenue Assumptions'!L141</f>
        <v>2316310.6370857204</v>
      </c>
      <c r="N71" s="750">
        <f>Inputs!$E$466*'Revenue Assumptions'!M141</f>
        <v>2385799.9561982923</v>
      </c>
      <c r="O71" s="750">
        <f>Inputs!$E$466*'Revenue Assumptions'!N141</f>
        <v>2457373.9548842409</v>
      </c>
      <c r="P71" s="750">
        <f>Inputs!$E$466*'Revenue Assumptions'!O141</f>
        <v>2531095.1735307691</v>
      </c>
      <c r="Q71" s="750">
        <f>Inputs!$E$466*'Revenue Assumptions'!P141</f>
        <v>2607028.0287366919</v>
      </c>
      <c r="R71" s="750">
        <f>Inputs!$E$466*'Revenue Assumptions'!Q141</f>
        <v>0</v>
      </c>
      <c r="S71" s="26"/>
      <c r="T71" s="26"/>
      <c r="U71" s="782"/>
    </row>
    <row r="72" spans="1:21" ht="15.75" customHeight="1">
      <c r="A72" s="26"/>
      <c r="B72" s="250">
        <v>2</v>
      </c>
      <c r="C72" s="140" t="s">
        <v>409</v>
      </c>
      <c r="D72" s="26"/>
      <c r="E72" s="224"/>
      <c r="F72" s="796">
        <f>Inputs!$F$399*'Revenue Assumptions'!E159</f>
        <v>0</v>
      </c>
      <c r="G72" s="750">
        <f>Inputs!$E$466*'Revenue Assumptions'!F159</f>
        <v>49006.619999999995</v>
      </c>
      <c r="H72" s="750">
        <f>Inputs!$E$466*'Revenue Assumptions'!G159</f>
        <v>50046.983999999997</v>
      </c>
      <c r="I72" s="750">
        <f>Inputs!$E$466*'Revenue Assumptions'!H159</f>
        <v>51087.348000000005</v>
      </c>
      <c r="J72" s="750">
        <f>Inputs!$E$466*'Revenue Assumptions'!I159</f>
        <v>54756</v>
      </c>
      <c r="K72" s="750">
        <f>Inputs!$E$466*'Revenue Assumptions'!J159</f>
        <v>54756</v>
      </c>
      <c r="L72" s="750">
        <f>Inputs!$E$466*'Revenue Assumptions'!K159</f>
        <v>54756</v>
      </c>
      <c r="M72" s="750">
        <f>Inputs!$E$466*'Revenue Assumptions'!L159</f>
        <v>54756</v>
      </c>
      <c r="N72" s="750">
        <f>Inputs!$E$466*'Revenue Assumptions'!M159</f>
        <v>54756</v>
      </c>
      <c r="O72" s="750">
        <f>Inputs!$E$466*'Revenue Assumptions'!N159</f>
        <v>54756</v>
      </c>
      <c r="P72" s="750">
        <f>Inputs!$E$466*'Revenue Assumptions'!O159</f>
        <v>54756</v>
      </c>
      <c r="Q72" s="750">
        <f>Inputs!$E$466*'Revenue Assumptions'!P159</f>
        <v>54756</v>
      </c>
      <c r="R72" s="750">
        <f>Inputs!$E$466*'Revenue Assumptions'!Q159</f>
        <v>0</v>
      </c>
      <c r="S72" s="26"/>
      <c r="T72" s="26"/>
      <c r="U72" s="782"/>
    </row>
    <row r="73" spans="1:21" ht="15.75" customHeight="1">
      <c r="A73" s="26"/>
      <c r="B73" s="250">
        <v>3</v>
      </c>
      <c r="C73" s="140" t="s">
        <v>410</v>
      </c>
      <c r="D73" s="26"/>
      <c r="E73" s="224"/>
      <c r="F73" s="796"/>
      <c r="G73" s="750">
        <f>Inputs!$E$467*('Revenue Assumptions'!F141+'Revenue Assumptions'!F159)</f>
        <v>309854.37000000005</v>
      </c>
      <c r="H73" s="750">
        <f>Inputs!$E$467*('Revenue Assumptions'!G141+'Revenue Assumptions'!G159)</f>
        <v>332271.67319999996</v>
      </c>
      <c r="I73" s="750">
        <f>Inputs!$E$467*('Revenue Assumptions'!H141+'Revenue Assumptions'!H159)</f>
        <v>355706.95800000004</v>
      </c>
      <c r="J73" s="750">
        <f>Inputs!$E$467*('Revenue Assumptions'!I141+'Revenue Assumptions'!I159)</f>
        <v>362418.06</v>
      </c>
      <c r="K73" s="750">
        <f>Inputs!$E$467*('Revenue Assumptions'!J141+'Revenue Assumptions'!J159)</f>
        <v>373016.82180000009</v>
      </c>
      <c r="L73" s="750">
        <f>Inputs!$E$467*('Revenue Assumptions'!K141+'Revenue Assumptions'!K159)</f>
        <v>383933.54645400011</v>
      </c>
      <c r="M73" s="750">
        <f>Inputs!$E$467*('Revenue Assumptions'!L141+'Revenue Assumptions'!L159)</f>
        <v>395177.77284762007</v>
      </c>
      <c r="N73" s="750">
        <f>Inputs!$E$467*('Revenue Assumptions'!M141+'Revenue Assumptions'!M159)</f>
        <v>406759.32603304874</v>
      </c>
      <c r="O73" s="750">
        <f>Inputs!$E$467*('Revenue Assumptions'!N141+'Revenue Assumptions'!N159)</f>
        <v>418688.32581404014</v>
      </c>
      <c r="P73" s="750">
        <f>Inputs!$E$467*('Revenue Assumptions'!O141+'Revenue Assumptions'!O159)</f>
        <v>430975.19558846153</v>
      </c>
      <c r="Q73" s="750">
        <f>Inputs!$E$467*('Revenue Assumptions'!P141+'Revenue Assumptions'!P159)</f>
        <v>443630.67145611532</v>
      </c>
      <c r="R73" s="750">
        <f>Inputs!$E$467*('Revenue Assumptions'!Q141+'Revenue Assumptions'!Q159)</f>
        <v>0</v>
      </c>
      <c r="S73" s="26"/>
      <c r="T73" s="26"/>
      <c r="U73" s="782"/>
    </row>
    <row r="74" spans="1:21" ht="15.75" customHeight="1">
      <c r="A74" s="26"/>
      <c r="B74" s="409"/>
      <c r="C74" s="26"/>
      <c r="D74" s="26"/>
      <c r="E74" s="224"/>
      <c r="F74" s="165">
        <f t="shared" ref="F74:R74" si="24">SUM(F71:F73)</f>
        <v>0</v>
      </c>
      <c r="G74" s="165">
        <f t="shared" si="24"/>
        <v>2168980.59</v>
      </c>
      <c r="H74" s="165">
        <f t="shared" si="24"/>
        <v>2325901.7123999991</v>
      </c>
      <c r="I74" s="165">
        <f t="shared" si="24"/>
        <v>2489948.7060000002</v>
      </c>
      <c r="J74" s="165">
        <f t="shared" si="24"/>
        <v>2536926.42</v>
      </c>
      <c r="K74" s="165">
        <f t="shared" si="24"/>
        <v>2611117.7526000002</v>
      </c>
      <c r="L74" s="165">
        <f t="shared" si="24"/>
        <v>2687534.8251780006</v>
      </c>
      <c r="M74" s="165">
        <f t="shared" si="24"/>
        <v>2766244.4099333407</v>
      </c>
      <c r="N74" s="165">
        <f t="shared" si="24"/>
        <v>2847315.2822313411</v>
      </c>
      <c r="O74" s="165">
        <f t="shared" si="24"/>
        <v>2930818.2806982808</v>
      </c>
      <c r="P74" s="165">
        <f t="shared" si="24"/>
        <v>3016826.3691192307</v>
      </c>
      <c r="Q74" s="165">
        <f t="shared" si="24"/>
        <v>3105414.7001928072</v>
      </c>
      <c r="R74" s="165">
        <f t="shared" si="24"/>
        <v>0</v>
      </c>
      <c r="S74" s="26"/>
      <c r="T74" s="26"/>
      <c r="U74" s="782"/>
    </row>
    <row r="75" spans="1:21" ht="12.75" customHeight="1">
      <c r="A75" s="26"/>
      <c r="B75" s="788" t="s">
        <v>1207</v>
      </c>
      <c r="C75" s="26"/>
      <c r="D75" s="26"/>
      <c r="E75" s="250" t="s">
        <v>192</v>
      </c>
      <c r="F75" s="165" t="str">
        <f t="shared" ref="F75:R75" si="25">F20</f>
        <v>FY27</v>
      </c>
      <c r="G75" s="165" t="str">
        <f t="shared" si="25"/>
        <v>FY28</v>
      </c>
      <c r="H75" s="165" t="str">
        <f t="shared" si="25"/>
        <v>FY29</v>
      </c>
      <c r="I75" s="165" t="str">
        <f t="shared" si="25"/>
        <v>FY30</v>
      </c>
      <c r="J75" s="165" t="str">
        <f t="shared" si="25"/>
        <v>FY31</v>
      </c>
      <c r="K75" s="165" t="str">
        <f t="shared" si="25"/>
        <v>FY32</v>
      </c>
      <c r="L75" s="165" t="str">
        <f t="shared" si="25"/>
        <v>FY33</v>
      </c>
      <c r="M75" s="165" t="str">
        <f t="shared" si="25"/>
        <v>FY34</v>
      </c>
      <c r="N75" s="165" t="str">
        <f t="shared" si="25"/>
        <v>FY35</v>
      </c>
      <c r="O75" s="165" t="str">
        <f t="shared" si="25"/>
        <v>FY36</v>
      </c>
      <c r="P75" s="165" t="str">
        <f t="shared" si="25"/>
        <v>FY37</v>
      </c>
      <c r="Q75" s="165" t="str">
        <f t="shared" si="25"/>
        <v>FY38</v>
      </c>
      <c r="R75" s="165" t="str">
        <f t="shared" si="25"/>
        <v>FY39</v>
      </c>
      <c r="S75" s="26"/>
      <c r="T75" s="26"/>
      <c r="U75" s="782"/>
    </row>
    <row r="76" spans="1:21" ht="15.75" customHeight="1">
      <c r="A76" s="26"/>
      <c r="B76" s="26"/>
      <c r="C76" s="140"/>
      <c r="D76" s="26"/>
      <c r="E76" s="224"/>
      <c r="F76" s="250"/>
      <c r="G76" s="250"/>
      <c r="H76" s="250"/>
      <c r="I76" s="250"/>
      <c r="J76" s="250"/>
      <c r="K76" s="250"/>
      <c r="L76" s="250"/>
      <c r="M76" s="250"/>
      <c r="N76" s="250"/>
      <c r="O76" s="250"/>
      <c r="P76" s="250"/>
      <c r="Q76" s="250"/>
      <c r="R76" s="250"/>
      <c r="S76" s="188"/>
      <c r="T76" s="26"/>
      <c r="U76" s="782"/>
    </row>
    <row r="77" spans="1:21" ht="15.75" customHeight="1">
      <c r="A77" s="26"/>
      <c r="B77" s="782"/>
      <c r="C77" s="797" t="s">
        <v>1207</v>
      </c>
      <c r="D77" s="782"/>
      <c r="E77" s="798" t="s">
        <v>1584</v>
      </c>
      <c r="F77" s="799">
        <f t="shared" ref="F77:R77" si="26">F21</f>
        <v>2027</v>
      </c>
      <c r="G77" s="799">
        <f t="shared" si="26"/>
        <v>2028</v>
      </c>
      <c r="H77" s="799">
        <f t="shared" si="26"/>
        <v>2029</v>
      </c>
      <c r="I77" s="799">
        <f t="shared" si="26"/>
        <v>2030</v>
      </c>
      <c r="J77" s="799">
        <f t="shared" si="26"/>
        <v>2031</v>
      </c>
      <c r="K77" s="799">
        <f t="shared" si="26"/>
        <v>2032</v>
      </c>
      <c r="L77" s="799">
        <f t="shared" si="26"/>
        <v>2033</v>
      </c>
      <c r="M77" s="799">
        <f t="shared" si="26"/>
        <v>2034</v>
      </c>
      <c r="N77" s="799">
        <f t="shared" si="26"/>
        <v>2035</v>
      </c>
      <c r="O77" s="799">
        <f t="shared" si="26"/>
        <v>2036</v>
      </c>
      <c r="P77" s="799">
        <f t="shared" si="26"/>
        <v>2037</v>
      </c>
      <c r="Q77" s="799">
        <f t="shared" si="26"/>
        <v>2038</v>
      </c>
      <c r="R77" s="799">
        <f t="shared" si="26"/>
        <v>2039</v>
      </c>
      <c r="S77" s="26"/>
      <c r="T77" s="26"/>
      <c r="U77" s="782"/>
    </row>
    <row r="78" spans="1:21" ht="15.75" customHeight="1">
      <c r="A78" s="26"/>
      <c r="B78" s="800" t="s">
        <v>1593</v>
      </c>
      <c r="C78" s="801" t="s">
        <v>1226</v>
      </c>
      <c r="D78" s="802"/>
      <c r="E78" s="803"/>
      <c r="F78" s="755"/>
      <c r="G78" s="804">
        <f>Inputs!E420</f>
        <v>350000</v>
      </c>
      <c r="H78" s="755">
        <f>G78*(1+Inputs!$E$535)</f>
        <v>360500</v>
      </c>
      <c r="I78" s="755">
        <f>H78*(1+Inputs!$E$535)</f>
        <v>371315</v>
      </c>
      <c r="J78" s="755">
        <f>I78*(1+Inputs!$E$535)</f>
        <v>382454.45</v>
      </c>
      <c r="K78" s="755">
        <f>J78*(1+Inputs!$E$535)</f>
        <v>393928.08350000001</v>
      </c>
      <c r="L78" s="755">
        <f>K78*(1+Inputs!$E$535)</f>
        <v>405745.92600500002</v>
      </c>
      <c r="M78" s="755">
        <f>L78*(1+Inputs!$E$535)</f>
        <v>417918.30378515006</v>
      </c>
      <c r="N78" s="755">
        <f>M78*(1+Inputs!$E$535)</f>
        <v>430455.85289870459</v>
      </c>
      <c r="O78" s="755">
        <f>N78*(1+Inputs!$E$535)</f>
        <v>443369.52848566574</v>
      </c>
      <c r="P78" s="755">
        <f>O78*(1+Inputs!$E$535)</f>
        <v>456670.61434023571</v>
      </c>
      <c r="Q78" s="755">
        <f>P78*(1+Inputs!$E$535)</f>
        <v>470370.73277044279</v>
      </c>
      <c r="R78" s="755">
        <f>Q78*(1+Inputs!$E$535)</f>
        <v>484481.85475355608</v>
      </c>
      <c r="S78" s="26"/>
      <c r="T78" s="26"/>
      <c r="U78" s="782"/>
    </row>
    <row r="79" spans="1:21" ht="15.75" customHeight="1">
      <c r="A79" s="26"/>
      <c r="B79" s="782" t="s">
        <v>1593</v>
      </c>
      <c r="C79" s="801" t="s">
        <v>1227</v>
      </c>
      <c r="D79" s="802"/>
      <c r="E79" s="803"/>
      <c r="F79" s="755"/>
      <c r="G79" s="804">
        <f>Inputs!E421</f>
        <v>200000</v>
      </c>
      <c r="H79" s="755">
        <f>G79*(1+Inputs!$E$535)</f>
        <v>206000</v>
      </c>
      <c r="I79" s="755">
        <f>H79*(1+Inputs!$E$535)</f>
        <v>212180</v>
      </c>
      <c r="J79" s="755">
        <f>I79*(1+Inputs!$E$535)</f>
        <v>218545.4</v>
      </c>
      <c r="K79" s="755">
        <f>J79*(1+Inputs!$E$535)</f>
        <v>225101.76199999999</v>
      </c>
      <c r="L79" s="755">
        <f>K79*(1+Inputs!$E$535)</f>
        <v>231854.81485999998</v>
      </c>
      <c r="M79" s="755">
        <f>L79*(1+Inputs!$E$535)</f>
        <v>238810.4593058</v>
      </c>
      <c r="N79" s="755">
        <f>M79*(1+Inputs!$E$535)</f>
        <v>245974.773084974</v>
      </c>
      <c r="O79" s="755">
        <f>N79*(1+Inputs!$E$535)</f>
        <v>253354.01627752322</v>
      </c>
      <c r="P79" s="755">
        <f>O79*(1+Inputs!$E$535)</f>
        <v>260954.63676584893</v>
      </c>
      <c r="Q79" s="755">
        <f>P79*(1+Inputs!$E$535)</f>
        <v>268783.27586882439</v>
      </c>
      <c r="R79" s="755">
        <f>Q79*(1+Inputs!$E$535)</f>
        <v>276846.77414488915</v>
      </c>
      <c r="S79" s="26"/>
      <c r="T79" s="26"/>
      <c r="U79" s="782"/>
    </row>
    <row r="80" spans="1:21" ht="15.75" customHeight="1">
      <c r="A80" s="26"/>
      <c r="B80" s="782"/>
      <c r="C80" s="801" t="s">
        <v>1228</v>
      </c>
      <c r="D80" s="802"/>
      <c r="E80" s="803"/>
      <c r="F80" s="755"/>
      <c r="G80" s="804">
        <f>Inputs!E422</f>
        <v>100000</v>
      </c>
      <c r="H80" s="755">
        <f>G80*(1+Inputs!$E$535)</f>
        <v>103000</v>
      </c>
      <c r="I80" s="755">
        <f>H80*(1+Inputs!$E$535)</f>
        <v>106090</v>
      </c>
      <c r="J80" s="755">
        <f>I80*(1+Inputs!$E$535)</f>
        <v>109272.7</v>
      </c>
      <c r="K80" s="755">
        <f>J80*(1+Inputs!$E$535)</f>
        <v>112550.88099999999</v>
      </c>
      <c r="L80" s="755">
        <f>K80*(1+Inputs!$E$535)</f>
        <v>115927.40742999999</v>
      </c>
      <c r="M80" s="755">
        <f>L80*(1+Inputs!$E$535)</f>
        <v>119405.2296529</v>
      </c>
      <c r="N80" s="755">
        <f>M80*(1+Inputs!$E$535)</f>
        <v>122987.386542487</v>
      </c>
      <c r="O80" s="755">
        <f>N80*(1+Inputs!$E$535)</f>
        <v>126677.00813876161</v>
      </c>
      <c r="P80" s="755">
        <f>O80*(1+Inputs!$E$535)</f>
        <v>130477.31838292447</v>
      </c>
      <c r="Q80" s="755">
        <f>P80*(1+Inputs!$E$535)</f>
        <v>134391.6379344122</v>
      </c>
      <c r="R80" s="755">
        <f>Q80*(1+Inputs!$E$535)</f>
        <v>138423.38707244457</v>
      </c>
      <c r="S80" s="26"/>
      <c r="T80" s="26"/>
      <c r="U80" s="782"/>
    </row>
    <row r="81" spans="1:21" ht="15.75" customHeight="1">
      <c r="A81" s="26"/>
      <c r="B81" s="782"/>
      <c r="C81" s="801" t="s">
        <v>1229</v>
      </c>
      <c r="D81" s="802"/>
      <c r="E81" s="803"/>
      <c r="F81" s="755"/>
      <c r="G81" s="804">
        <f>Inputs!E423</f>
        <v>60000</v>
      </c>
      <c r="H81" s="755">
        <f>G81*(1+Inputs!$E$535)</f>
        <v>61800</v>
      </c>
      <c r="I81" s="755">
        <f>H81*(1+Inputs!$E$535)</f>
        <v>63654</v>
      </c>
      <c r="J81" s="755">
        <f>I81*(1+Inputs!$E$535)</f>
        <v>65563.62</v>
      </c>
      <c r="K81" s="755">
        <f>J81*(1+Inputs!$E$535)</f>
        <v>67530.528599999991</v>
      </c>
      <c r="L81" s="755">
        <f>K81*(1+Inputs!$E$535)</f>
        <v>69556.444457999998</v>
      </c>
      <c r="M81" s="755">
        <f>L81*(1+Inputs!$E$535)</f>
        <v>71643.137791739995</v>
      </c>
      <c r="N81" s="755">
        <f>M81*(1+Inputs!$E$535)</f>
        <v>73792.431925492201</v>
      </c>
      <c r="O81" s="755">
        <f>N81*(1+Inputs!$E$535)</f>
        <v>76006.204883256971</v>
      </c>
      <c r="P81" s="755">
        <f>O81*(1+Inputs!$E$535)</f>
        <v>78286.391029754683</v>
      </c>
      <c r="Q81" s="755">
        <f>P81*(1+Inputs!$E$535)</f>
        <v>80634.982760647326</v>
      </c>
      <c r="R81" s="755">
        <f>Q81*(1+Inputs!$E$535)</f>
        <v>83054.032243466747</v>
      </c>
      <c r="S81" s="26"/>
      <c r="T81" s="26"/>
      <c r="U81" s="782"/>
    </row>
    <row r="82" spans="1:21" ht="15.75" customHeight="1">
      <c r="A82" s="26"/>
      <c r="B82" s="782" t="s">
        <v>1594</v>
      </c>
      <c r="C82" s="805" t="s">
        <v>1595</v>
      </c>
      <c r="D82" s="806"/>
      <c r="E82" s="807"/>
      <c r="F82" s="808"/>
      <c r="G82" s="809">
        <f t="shared" ref="G82:R82" si="27">SUBTOTAL(109,G77:G81)</f>
        <v>712028</v>
      </c>
      <c r="H82" s="808">
        <f t="shared" si="27"/>
        <v>733329</v>
      </c>
      <c r="I82" s="808">
        <f t="shared" si="27"/>
        <v>755269</v>
      </c>
      <c r="J82" s="808">
        <f t="shared" si="27"/>
        <v>777867.16999999993</v>
      </c>
      <c r="K82" s="808">
        <f t="shared" si="27"/>
        <v>801143.25510000007</v>
      </c>
      <c r="L82" s="808">
        <f t="shared" si="27"/>
        <v>825117.59275300009</v>
      </c>
      <c r="M82" s="808">
        <f t="shared" si="27"/>
        <v>849811.13053559011</v>
      </c>
      <c r="N82" s="808">
        <f t="shared" si="27"/>
        <v>875245.44445165782</v>
      </c>
      <c r="O82" s="808">
        <f t="shared" si="27"/>
        <v>901442.75778520748</v>
      </c>
      <c r="P82" s="808">
        <f t="shared" si="27"/>
        <v>928425.96051876375</v>
      </c>
      <c r="Q82" s="808">
        <f t="shared" si="27"/>
        <v>956218.62933432672</v>
      </c>
      <c r="R82" s="808">
        <f t="shared" si="27"/>
        <v>984845.04821435653</v>
      </c>
      <c r="S82" s="26"/>
      <c r="T82" s="26"/>
      <c r="U82" s="782"/>
    </row>
    <row r="83" spans="1:21" ht="15.75" customHeight="1">
      <c r="A83" s="26"/>
      <c r="B83" s="782"/>
      <c r="C83" s="801"/>
      <c r="D83" s="802"/>
      <c r="E83" s="803"/>
      <c r="F83" s="755"/>
      <c r="G83" s="804"/>
      <c r="H83" s="755"/>
      <c r="I83" s="755"/>
      <c r="J83" s="755"/>
      <c r="K83" s="755"/>
      <c r="L83" s="755"/>
      <c r="M83" s="755"/>
      <c r="N83" s="755"/>
      <c r="O83" s="755"/>
      <c r="P83" s="755"/>
      <c r="Q83" s="755"/>
      <c r="R83" s="755"/>
      <c r="S83" s="26"/>
      <c r="T83" s="26"/>
      <c r="U83" s="782"/>
    </row>
    <row r="84" spans="1:21" ht="15.75" customHeight="1">
      <c r="A84" s="26"/>
      <c r="B84" s="800" t="s">
        <v>1596</v>
      </c>
      <c r="C84" s="801" t="s">
        <v>1230</v>
      </c>
      <c r="D84" s="802"/>
      <c r="E84" s="803"/>
      <c r="F84" s="755"/>
      <c r="G84" s="804">
        <f>Inputs!E424</f>
        <v>30000</v>
      </c>
      <c r="H84" s="755">
        <f>G84*(1+Inputs!$E$535)</f>
        <v>30900</v>
      </c>
      <c r="I84" s="755">
        <f>H84*(1+Inputs!$E$535)</f>
        <v>31827</v>
      </c>
      <c r="J84" s="755">
        <f>I84*(1+Inputs!$E$535)</f>
        <v>32781.81</v>
      </c>
      <c r="K84" s="755">
        <f>J84*(1+Inputs!$E$535)</f>
        <v>33765.264299999995</v>
      </c>
      <c r="L84" s="755">
        <f>K84*(1+Inputs!$E$535)</f>
        <v>34778.222228999999</v>
      </c>
      <c r="M84" s="755">
        <f>L84*(1+Inputs!$E$535)</f>
        <v>35821.568895869998</v>
      </c>
      <c r="N84" s="755">
        <f>M84*(1+Inputs!$E$535)</f>
        <v>36896.215962746101</v>
      </c>
      <c r="O84" s="755">
        <f>N84*(1+Inputs!$E$535)</f>
        <v>38003.102441628485</v>
      </c>
      <c r="P84" s="755">
        <f>O84*(1+Inputs!$E$535)</f>
        <v>39143.195514877341</v>
      </c>
      <c r="Q84" s="755">
        <f>P84*(1+Inputs!$E$535)</f>
        <v>40317.491380323663</v>
      </c>
      <c r="R84" s="755">
        <f>Q84*(1+Inputs!$E$535)</f>
        <v>41527.016121733373</v>
      </c>
      <c r="S84" s="26"/>
      <c r="T84" s="26"/>
      <c r="U84" s="782"/>
    </row>
    <row r="85" spans="1:21" ht="15.75" customHeight="1">
      <c r="A85" s="26"/>
      <c r="B85" s="782" t="s">
        <v>1597</v>
      </c>
      <c r="C85" s="801" t="s">
        <v>1231</v>
      </c>
      <c r="D85" s="802"/>
      <c r="E85" s="803"/>
      <c r="F85" s="755"/>
      <c r="G85" s="804">
        <f>Inputs!E425</f>
        <v>20000</v>
      </c>
      <c r="H85" s="755">
        <f>G85*(1+Inputs!$E$535)</f>
        <v>20600</v>
      </c>
      <c r="I85" s="755">
        <f>H85*(1+Inputs!$E$535)</f>
        <v>21218</v>
      </c>
      <c r="J85" s="755">
        <f>I85*(1+Inputs!$E$535)</f>
        <v>21854.54</v>
      </c>
      <c r="K85" s="755">
        <f>J85*(1+Inputs!$E$535)</f>
        <v>22510.176200000002</v>
      </c>
      <c r="L85" s="755">
        <f>K85*(1+Inputs!$E$535)</f>
        <v>23185.481486000001</v>
      </c>
      <c r="M85" s="755">
        <f>L85*(1+Inputs!$E$535)</f>
        <v>23881.04593058</v>
      </c>
      <c r="N85" s="755">
        <f>M85*(1+Inputs!$E$535)</f>
        <v>24597.4773084974</v>
      </c>
      <c r="O85" s="755">
        <f>N85*(1+Inputs!$E$535)</f>
        <v>25335.401627752322</v>
      </c>
      <c r="P85" s="755">
        <f>O85*(1+Inputs!$E$535)</f>
        <v>26095.463676584892</v>
      </c>
      <c r="Q85" s="755">
        <f>P85*(1+Inputs!$E$535)</f>
        <v>26878.327586882438</v>
      </c>
      <c r="R85" s="755">
        <f>Q85*(1+Inputs!$E$535)</f>
        <v>27684.677414488913</v>
      </c>
      <c r="S85" s="26"/>
      <c r="T85" s="26"/>
      <c r="U85" s="782"/>
    </row>
    <row r="86" spans="1:21" ht="15.75" customHeight="1">
      <c r="A86" s="26"/>
      <c r="B86" s="782"/>
      <c r="C86" s="801" t="s">
        <v>1232</v>
      </c>
      <c r="D86" s="802"/>
      <c r="E86" s="803"/>
      <c r="F86" s="755"/>
      <c r="G86" s="804">
        <f>Inputs!E426</f>
        <v>8000</v>
      </c>
      <c r="H86" s="755">
        <f>G86*(1+Inputs!$E$535)</f>
        <v>8240</v>
      </c>
      <c r="I86" s="755">
        <f>H86*(1+Inputs!$E$535)</f>
        <v>8487.2000000000007</v>
      </c>
      <c r="J86" s="755">
        <f>I86*(1+Inputs!$E$535)</f>
        <v>8741.8160000000007</v>
      </c>
      <c r="K86" s="755">
        <f>J86*(1+Inputs!$E$535)</f>
        <v>9004.0704800000003</v>
      </c>
      <c r="L86" s="755">
        <f>K86*(1+Inputs!$E$535)</f>
        <v>9274.1925944000013</v>
      </c>
      <c r="M86" s="755">
        <f>L86*(1+Inputs!$E$535)</f>
        <v>9552.4183722320013</v>
      </c>
      <c r="N86" s="755">
        <f>M86*(1+Inputs!$E$535)</f>
        <v>9838.990923398962</v>
      </c>
      <c r="O86" s="755">
        <f>N86*(1+Inputs!$E$535)</f>
        <v>10134.16065110093</v>
      </c>
      <c r="P86" s="755">
        <f>O86*(1+Inputs!$E$535)</f>
        <v>10438.185470633958</v>
      </c>
      <c r="Q86" s="755">
        <f>P86*(1+Inputs!$E$535)</f>
        <v>10751.331034752977</v>
      </c>
      <c r="R86" s="755">
        <f>Q86*(1+Inputs!$E$535)</f>
        <v>11073.870965795566</v>
      </c>
      <c r="S86" s="26"/>
      <c r="T86" s="26"/>
      <c r="U86" s="782"/>
    </row>
    <row r="87" spans="1:21" ht="15.75" customHeight="1">
      <c r="A87" s="782"/>
      <c r="B87" s="782"/>
      <c r="C87" s="801" t="s">
        <v>1233</v>
      </c>
      <c r="D87" s="802"/>
      <c r="E87" s="803"/>
      <c r="F87" s="755"/>
      <c r="G87" s="804">
        <f>Inputs!E427</f>
        <v>50000</v>
      </c>
      <c r="H87" s="755">
        <f>G87*(1+Inputs!$E$535)</f>
        <v>51500</v>
      </c>
      <c r="I87" s="755">
        <f>H87*(1+Inputs!$E$535)</f>
        <v>53045</v>
      </c>
      <c r="J87" s="755">
        <f>I87*(1+Inputs!$E$535)</f>
        <v>54636.35</v>
      </c>
      <c r="K87" s="755">
        <f>J87*(1+Inputs!$E$535)</f>
        <v>56275.440499999997</v>
      </c>
      <c r="L87" s="755">
        <f>K87*(1+Inputs!$E$535)</f>
        <v>57963.703714999996</v>
      </c>
      <c r="M87" s="755">
        <f>L87*(1+Inputs!$E$535)</f>
        <v>59702.614826450001</v>
      </c>
      <c r="N87" s="755">
        <f>M87*(1+Inputs!$E$535)</f>
        <v>61493.693271243501</v>
      </c>
      <c r="O87" s="755">
        <f>N87*(1+Inputs!$E$535)</f>
        <v>63338.504069380804</v>
      </c>
      <c r="P87" s="755">
        <f>O87*(1+Inputs!$E$535)</f>
        <v>65238.659191462233</v>
      </c>
      <c r="Q87" s="755">
        <f>P87*(1+Inputs!$E$535)</f>
        <v>67195.818967206098</v>
      </c>
      <c r="R87" s="755">
        <f>Q87*(1+Inputs!$E$535)</f>
        <v>69211.693536222287</v>
      </c>
      <c r="S87" s="782"/>
      <c r="T87" s="782"/>
      <c r="U87" s="782"/>
    </row>
    <row r="88" spans="1:21" ht="15.75" customHeight="1">
      <c r="A88" s="782"/>
      <c r="B88" s="782"/>
      <c r="C88" s="801" t="s">
        <v>1234</v>
      </c>
      <c r="D88" s="802"/>
      <c r="E88" s="803"/>
      <c r="F88" s="755"/>
      <c r="G88" s="804">
        <f>Inputs!E428</f>
        <v>10000</v>
      </c>
      <c r="H88" s="755">
        <f>G88*(1+Inputs!$E$535)</f>
        <v>10300</v>
      </c>
      <c r="I88" s="755">
        <f>H88*(1+Inputs!$E$535)</f>
        <v>10609</v>
      </c>
      <c r="J88" s="755">
        <f>I88*(1+Inputs!$E$535)</f>
        <v>10927.27</v>
      </c>
      <c r="K88" s="755">
        <f>J88*(1+Inputs!$E$535)</f>
        <v>11255.088100000001</v>
      </c>
      <c r="L88" s="755">
        <f>K88*(1+Inputs!$E$535)</f>
        <v>11592.740743</v>
      </c>
      <c r="M88" s="755">
        <f>L88*(1+Inputs!$E$535)</f>
        <v>11940.52296529</v>
      </c>
      <c r="N88" s="755">
        <f>M88*(1+Inputs!$E$535)</f>
        <v>12298.7386542487</v>
      </c>
      <c r="O88" s="755">
        <f>N88*(1+Inputs!$E$535)</f>
        <v>12667.700813876161</v>
      </c>
      <c r="P88" s="755">
        <f>O88*(1+Inputs!$E$535)</f>
        <v>13047.731838292446</v>
      </c>
      <c r="Q88" s="755">
        <f>P88*(1+Inputs!$E$535)</f>
        <v>13439.163793441219</v>
      </c>
      <c r="R88" s="755">
        <f>Q88*(1+Inputs!$E$535)</f>
        <v>13842.338707244457</v>
      </c>
      <c r="S88" s="782"/>
      <c r="T88" s="782"/>
      <c r="U88" s="782"/>
    </row>
    <row r="89" spans="1:21" ht="15.75" customHeight="1">
      <c r="A89" s="782"/>
      <c r="B89" s="782"/>
      <c r="C89" s="801" t="s">
        <v>1235</v>
      </c>
      <c r="D89" s="802"/>
      <c r="E89" s="803"/>
      <c r="F89" s="755"/>
      <c r="G89" s="804">
        <f>Inputs!E429</f>
        <v>40000</v>
      </c>
      <c r="H89" s="755">
        <f>G89*(1+Inputs!$E$535)</f>
        <v>41200</v>
      </c>
      <c r="I89" s="755">
        <f>H89*(1+Inputs!$E$535)</f>
        <v>42436</v>
      </c>
      <c r="J89" s="755">
        <f>I89*(1+Inputs!$E$535)</f>
        <v>43709.08</v>
      </c>
      <c r="K89" s="755">
        <f>J89*(1+Inputs!$E$535)</f>
        <v>45020.352400000003</v>
      </c>
      <c r="L89" s="755">
        <f>K89*(1+Inputs!$E$535)</f>
        <v>46370.962972000001</v>
      </c>
      <c r="M89" s="755">
        <f>L89*(1+Inputs!$E$535)</f>
        <v>47762.091861159999</v>
      </c>
      <c r="N89" s="755">
        <f>M89*(1+Inputs!$E$535)</f>
        <v>49194.954616994801</v>
      </c>
      <c r="O89" s="755">
        <f>N89*(1+Inputs!$E$535)</f>
        <v>50670.803255504645</v>
      </c>
      <c r="P89" s="755">
        <f>O89*(1+Inputs!$E$535)</f>
        <v>52190.927353169784</v>
      </c>
      <c r="Q89" s="755">
        <f>P89*(1+Inputs!$E$535)</f>
        <v>53756.655173764877</v>
      </c>
      <c r="R89" s="755">
        <f>Q89*(1+Inputs!$E$535)</f>
        <v>55369.354828977826</v>
      </c>
      <c r="S89" s="782"/>
      <c r="T89" s="782"/>
      <c r="U89" s="782"/>
    </row>
    <row r="90" spans="1:21" ht="12.75" customHeight="1">
      <c r="A90" s="782"/>
      <c r="B90" s="782"/>
      <c r="C90" s="801" t="s">
        <v>1236</v>
      </c>
      <c r="D90" s="802"/>
      <c r="E90" s="803"/>
      <c r="F90" s="755"/>
      <c r="G90" s="804">
        <f>Inputs!E430</f>
        <v>30000</v>
      </c>
      <c r="H90" s="755">
        <f>G90*(1+Inputs!$E$535)</f>
        <v>30900</v>
      </c>
      <c r="I90" s="755">
        <f>H90*(1+Inputs!$E$535)</f>
        <v>31827</v>
      </c>
      <c r="J90" s="755">
        <f>I90*(1+Inputs!$E$535)</f>
        <v>32781.81</v>
      </c>
      <c r="K90" s="755">
        <f>J90*(1+Inputs!$E$535)</f>
        <v>33765.264299999995</v>
      </c>
      <c r="L90" s="755">
        <f>K90*(1+Inputs!$E$535)</f>
        <v>34778.222228999999</v>
      </c>
      <c r="M90" s="755">
        <f>L90*(1+Inputs!$E$535)</f>
        <v>35821.568895869998</v>
      </c>
      <c r="N90" s="755">
        <f>M90*(1+Inputs!$E$535)</f>
        <v>36896.215962746101</v>
      </c>
      <c r="O90" s="755">
        <f>N90*(1+Inputs!$E$535)</f>
        <v>38003.102441628485</v>
      </c>
      <c r="P90" s="755">
        <f>O90*(1+Inputs!$E$535)</f>
        <v>39143.195514877341</v>
      </c>
      <c r="Q90" s="755">
        <f>P90*(1+Inputs!$E$535)</f>
        <v>40317.491380323663</v>
      </c>
      <c r="R90" s="755">
        <f>Q90*(1+Inputs!$E$535)</f>
        <v>41527.016121733373</v>
      </c>
      <c r="S90" s="782"/>
      <c r="T90" s="782"/>
      <c r="U90" s="782"/>
    </row>
    <row r="91" spans="1:21" ht="15.75" customHeight="1">
      <c r="A91" s="782"/>
      <c r="B91" s="782"/>
      <c r="C91" s="805" t="s">
        <v>1595</v>
      </c>
      <c r="D91" s="806"/>
      <c r="E91" s="807"/>
      <c r="F91" s="808"/>
      <c r="G91" s="809">
        <f t="shared" ref="G91:R91" si="28">SUBTOTAL(109,G84:G90)</f>
        <v>188000</v>
      </c>
      <c r="H91" s="808">
        <f t="shared" si="28"/>
        <v>193640</v>
      </c>
      <c r="I91" s="808">
        <f t="shared" si="28"/>
        <v>199449.2</v>
      </c>
      <c r="J91" s="808">
        <f t="shared" si="28"/>
        <v>205432.67600000001</v>
      </c>
      <c r="K91" s="808">
        <f t="shared" si="28"/>
        <v>211595.65628</v>
      </c>
      <c r="L91" s="808">
        <f t="shared" si="28"/>
        <v>217943.5259684</v>
      </c>
      <c r="M91" s="808">
        <f t="shared" si="28"/>
        <v>224481.831747452</v>
      </c>
      <c r="N91" s="808">
        <f t="shared" si="28"/>
        <v>231216.28669987558</v>
      </c>
      <c r="O91" s="808">
        <f t="shared" si="28"/>
        <v>238152.77530087184</v>
      </c>
      <c r="P91" s="808">
        <f t="shared" si="28"/>
        <v>245297.35855989798</v>
      </c>
      <c r="Q91" s="808">
        <f t="shared" si="28"/>
        <v>252656.27931669494</v>
      </c>
      <c r="R91" s="808">
        <f t="shared" si="28"/>
        <v>260235.96769619579</v>
      </c>
      <c r="S91" s="782"/>
      <c r="T91" s="782"/>
      <c r="U91" s="782"/>
    </row>
    <row r="92" spans="1:21" ht="15.75" customHeight="1">
      <c r="A92" s="782"/>
      <c r="B92" s="782"/>
      <c r="C92" s="801"/>
      <c r="D92" s="802"/>
      <c r="E92" s="803"/>
      <c r="F92" s="755"/>
      <c r="G92" s="804"/>
      <c r="H92" s="755"/>
      <c r="I92" s="755"/>
      <c r="J92" s="755"/>
      <c r="K92" s="755"/>
      <c r="L92" s="755"/>
      <c r="M92" s="755"/>
      <c r="N92" s="755"/>
      <c r="O92" s="755"/>
      <c r="P92" s="755"/>
      <c r="Q92" s="755"/>
      <c r="R92" s="755"/>
      <c r="S92" s="782"/>
      <c r="T92" s="782"/>
      <c r="U92" s="782"/>
    </row>
    <row r="93" spans="1:21" ht="15.75" customHeight="1">
      <c r="A93" s="782"/>
      <c r="B93" s="800" t="s">
        <v>1598</v>
      </c>
      <c r="C93" s="801" t="s">
        <v>1237</v>
      </c>
      <c r="D93" s="802"/>
      <c r="E93" s="803"/>
      <c r="F93" s="755">
        <v>0</v>
      </c>
      <c r="G93" s="804">
        <f>Inputs!E431</f>
        <v>250000</v>
      </c>
      <c r="H93" s="755">
        <f>G93*(1+Inputs!$E$535)</f>
        <v>257500</v>
      </c>
      <c r="I93" s="755">
        <f>H93*(1+Inputs!$E$535)</f>
        <v>265225</v>
      </c>
      <c r="J93" s="755">
        <f>I93*(1+Inputs!$E$535)</f>
        <v>273181.75</v>
      </c>
      <c r="K93" s="755">
        <f>J93*(1+Inputs!$E$535)</f>
        <v>281377.20250000001</v>
      </c>
      <c r="L93" s="755">
        <f>K93*(1+Inputs!$E$535)</f>
        <v>289818.51857499999</v>
      </c>
      <c r="M93" s="755">
        <f>L93*(1+Inputs!$E$535)</f>
        <v>298513.07413224998</v>
      </c>
      <c r="N93" s="755">
        <f>M93*(1+Inputs!$E$535)</f>
        <v>307468.46635621751</v>
      </c>
      <c r="O93" s="755">
        <f>N93*(1+Inputs!$E$535)</f>
        <v>316692.52034690406</v>
      </c>
      <c r="P93" s="755">
        <f>O93*(1+Inputs!$E$535)</f>
        <v>326193.29595731117</v>
      </c>
      <c r="Q93" s="755">
        <f>P93*(1+Inputs!$E$535)</f>
        <v>335979.0948360305</v>
      </c>
      <c r="R93" s="755">
        <f>Q93*(1+Inputs!$E$535)</f>
        <v>346058.46768111142</v>
      </c>
      <c r="S93" s="782"/>
      <c r="T93" s="782"/>
      <c r="U93" s="782"/>
    </row>
    <row r="94" spans="1:21" ht="15.75" customHeight="1">
      <c r="A94" s="782"/>
      <c r="B94" s="782" t="s">
        <v>1599</v>
      </c>
      <c r="C94" s="801" t="s">
        <v>1238</v>
      </c>
      <c r="D94" s="802"/>
      <c r="E94" s="803"/>
      <c r="F94" s="755">
        <v>0</v>
      </c>
      <c r="G94" s="804">
        <f>Inputs!E432</f>
        <v>160000</v>
      </c>
      <c r="H94" s="755">
        <f>G94*(1+Inputs!$E$535)</f>
        <v>164800</v>
      </c>
      <c r="I94" s="755">
        <f>H94*(1+Inputs!$E$535)</f>
        <v>169744</v>
      </c>
      <c r="J94" s="755">
        <f>I94*(1+Inputs!$E$535)</f>
        <v>174836.32</v>
      </c>
      <c r="K94" s="755">
        <f>J94*(1+Inputs!$E$535)</f>
        <v>180081.40960000001</v>
      </c>
      <c r="L94" s="755">
        <f>K94*(1+Inputs!$E$535)</f>
        <v>185483.851888</v>
      </c>
      <c r="M94" s="755">
        <f>L94*(1+Inputs!$E$535)</f>
        <v>191048.36744464</v>
      </c>
      <c r="N94" s="755">
        <f>M94*(1+Inputs!$E$535)</f>
        <v>196779.8184679792</v>
      </c>
      <c r="O94" s="755">
        <f>N94*(1+Inputs!$E$535)</f>
        <v>202683.21302201858</v>
      </c>
      <c r="P94" s="755">
        <f>O94*(1+Inputs!$E$535)</f>
        <v>208763.70941267913</v>
      </c>
      <c r="Q94" s="755">
        <f>P94*(1+Inputs!$E$535)</f>
        <v>215026.62069505951</v>
      </c>
      <c r="R94" s="755">
        <f>Q94*(1+Inputs!$E$535)</f>
        <v>221477.41931591131</v>
      </c>
      <c r="S94" s="782"/>
      <c r="T94" s="782"/>
      <c r="U94" s="782"/>
    </row>
    <row r="95" spans="1:21" ht="15.75" customHeight="1">
      <c r="A95" s="782"/>
      <c r="B95" s="782" t="s">
        <v>1594</v>
      </c>
      <c r="C95" s="805" t="s">
        <v>1595</v>
      </c>
      <c r="D95" s="802"/>
      <c r="E95" s="803"/>
      <c r="F95" s="755"/>
      <c r="G95" s="809">
        <f>G94+G93</f>
        <v>410000</v>
      </c>
      <c r="H95" s="808">
        <f t="shared" ref="H95:R95" si="29">SUBTOTAL(109,H93:H94)</f>
        <v>422300</v>
      </c>
      <c r="I95" s="808">
        <f t="shared" si="29"/>
        <v>434969</v>
      </c>
      <c r="J95" s="808">
        <f t="shared" si="29"/>
        <v>448018.07</v>
      </c>
      <c r="K95" s="808">
        <f t="shared" si="29"/>
        <v>461458.61210000003</v>
      </c>
      <c r="L95" s="808">
        <f t="shared" si="29"/>
        <v>475302.37046300003</v>
      </c>
      <c r="M95" s="808">
        <f t="shared" si="29"/>
        <v>489561.44157688995</v>
      </c>
      <c r="N95" s="808">
        <f t="shared" si="29"/>
        <v>504248.28482419671</v>
      </c>
      <c r="O95" s="808">
        <f t="shared" si="29"/>
        <v>519375.73336892261</v>
      </c>
      <c r="P95" s="808">
        <f t="shared" si="29"/>
        <v>534957.00536999037</v>
      </c>
      <c r="Q95" s="808">
        <f t="shared" si="29"/>
        <v>551005.71553109004</v>
      </c>
      <c r="R95" s="808">
        <f t="shared" si="29"/>
        <v>567535.88699702267</v>
      </c>
      <c r="S95" s="782"/>
      <c r="T95" s="782"/>
      <c r="U95" s="782"/>
    </row>
    <row r="96" spans="1:21" ht="15.75" customHeight="1">
      <c r="A96" s="782"/>
      <c r="B96" s="782"/>
      <c r="C96" s="801"/>
      <c r="D96" s="802"/>
      <c r="E96" s="803"/>
      <c r="F96" s="755"/>
      <c r="G96" s="804"/>
      <c r="H96" s="755"/>
      <c r="I96" s="755"/>
      <c r="J96" s="755"/>
      <c r="K96" s="755"/>
      <c r="L96" s="755"/>
      <c r="M96" s="755"/>
      <c r="N96" s="755"/>
      <c r="O96" s="755"/>
      <c r="P96" s="755"/>
      <c r="Q96" s="755"/>
      <c r="R96" s="755"/>
      <c r="S96" s="782"/>
      <c r="T96" s="782"/>
      <c r="U96" s="782"/>
    </row>
    <row r="97" spans="1:18" ht="15.75" customHeight="1">
      <c r="B97" s="800" t="s">
        <v>305</v>
      </c>
      <c r="C97" s="801" t="s">
        <v>1239</v>
      </c>
      <c r="D97" s="802"/>
      <c r="E97" s="803"/>
      <c r="F97" s="755"/>
      <c r="G97" s="804">
        <f>Inputs!E433</f>
        <v>60000</v>
      </c>
      <c r="H97" s="755">
        <f>G97*(1+Inputs!$E$535)</f>
        <v>61800</v>
      </c>
      <c r="I97" s="755">
        <f>H97*(1+Inputs!$E$535)</f>
        <v>63654</v>
      </c>
      <c r="J97" s="755">
        <f>I97*(1+Inputs!$E$535)</f>
        <v>65563.62</v>
      </c>
      <c r="K97" s="755">
        <f>J97*(1+Inputs!$E$535)</f>
        <v>67530.528599999991</v>
      </c>
      <c r="L97" s="755">
        <f>K97*(1+Inputs!$E$535)</f>
        <v>69556.444457999998</v>
      </c>
      <c r="M97" s="755">
        <f>L97*(1+Inputs!$E$535)</f>
        <v>71643.137791739995</v>
      </c>
      <c r="N97" s="755">
        <f>M97*(1+Inputs!$E$535)</f>
        <v>73792.431925492201</v>
      </c>
      <c r="O97" s="755">
        <f>N97*(1+Inputs!$E$535)</f>
        <v>76006.204883256971</v>
      </c>
      <c r="P97" s="755">
        <f>O97*(1+Inputs!$E$535)</f>
        <v>78286.391029754683</v>
      </c>
      <c r="Q97" s="755">
        <f>P97*(1+Inputs!$E$535)</f>
        <v>80634.982760647326</v>
      </c>
      <c r="R97" s="755">
        <f>Q97*(1+Inputs!$E$535)</f>
        <v>83054.032243466747</v>
      </c>
    </row>
    <row r="98" spans="1:18" ht="15.75" customHeight="1">
      <c r="B98" s="782" t="s">
        <v>1600</v>
      </c>
      <c r="C98" s="801" t="s">
        <v>1240</v>
      </c>
      <c r="D98" s="802"/>
      <c r="E98" s="803"/>
      <c r="F98" s="755"/>
      <c r="G98" s="804">
        <f>Inputs!E434</f>
        <v>60000</v>
      </c>
      <c r="H98" s="755">
        <f>G98*(1+Inputs!$E$535)</f>
        <v>61800</v>
      </c>
      <c r="I98" s="755">
        <f>H98*(1+Inputs!$E$535)</f>
        <v>63654</v>
      </c>
      <c r="J98" s="755">
        <f>I98*(1+Inputs!$E$535)</f>
        <v>65563.62</v>
      </c>
      <c r="K98" s="755">
        <f>J98*(1+Inputs!$E$535)</f>
        <v>67530.528599999991</v>
      </c>
      <c r="L98" s="755">
        <f>K98*(1+Inputs!$E$535)</f>
        <v>69556.444457999998</v>
      </c>
      <c r="M98" s="755">
        <f>L98*(1+Inputs!$E$535)</f>
        <v>71643.137791739995</v>
      </c>
      <c r="N98" s="755">
        <f>M98*(1+Inputs!$E$535)</f>
        <v>73792.431925492201</v>
      </c>
      <c r="O98" s="755">
        <f>N98*(1+Inputs!$E$535)</f>
        <v>76006.204883256971</v>
      </c>
      <c r="P98" s="755">
        <f>O98*(1+Inputs!$E$535)</f>
        <v>78286.391029754683</v>
      </c>
      <c r="Q98" s="755">
        <f>P98*(1+Inputs!$E$535)</f>
        <v>80634.982760647326</v>
      </c>
      <c r="R98" s="755">
        <f>Q98*(1+Inputs!$E$535)</f>
        <v>83054.032243466747</v>
      </c>
    </row>
    <row r="99" spans="1:18" ht="15.75" customHeight="1">
      <c r="B99" s="782"/>
      <c r="C99" s="801" t="s">
        <v>1241</v>
      </c>
      <c r="D99" s="802"/>
      <c r="E99" s="803"/>
      <c r="F99" s="755"/>
      <c r="G99" s="804">
        <f>Inputs!E435</f>
        <v>35000</v>
      </c>
      <c r="H99" s="755">
        <f>G99*(1+Inputs!$E$535)</f>
        <v>36050</v>
      </c>
      <c r="I99" s="755">
        <f>H99*(1+Inputs!$E$535)</f>
        <v>37131.5</v>
      </c>
      <c r="J99" s="755">
        <f>I99*(1+Inputs!$E$535)</f>
        <v>38245.445</v>
      </c>
      <c r="K99" s="755">
        <f>J99*(1+Inputs!$E$535)</f>
        <v>39392.808349999999</v>
      </c>
      <c r="L99" s="755">
        <f>K99*(1+Inputs!$E$535)</f>
        <v>40574.5926005</v>
      </c>
      <c r="M99" s="755">
        <f>L99*(1+Inputs!$E$535)</f>
        <v>41791.830378514998</v>
      </c>
      <c r="N99" s="755">
        <f>M99*(1+Inputs!$E$535)</f>
        <v>43045.585289870447</v>
      </c>
      <c r="O99" s="755">
        <f>N99*(1+Inputs!$E$535)</f>
        <v>44336.952848566565</v>
      </c>
      <c r="P99" s="755">
        <f>O99*(1+Inputs!$E$535)</f>
        <v>45667.061434023562</v>
      </c>
      <c r="Q99" s="755">
        <f>P99*(1+Inputs!$E$535)</f>
        <v>47037.07327704427</v>
      </c>
      <c r="R99" s="755">
        <f>Q99*(1+Inputs!$E$535)</f>
        <v>48448.185475355596</v>
      </c>
    </row>
    <row r="100" spans="1:18" ht="15.75" customHeight="1">
      <c r="B100" s="782"/>
      <c r="C100" s="801" t="s">
        <v>1242</v>
      </c>
      <c r="D100" s="802"/>
      <c r="E100" s="803"/>
      <c r="F100" s="755"/>
      <c r="G100" s="804">
        <f>Inputs!E436</f>
        <v>80000</v>
      </c>
      <c r="H100" s="755">
        <f>G100*(1+Inputs!$E$535)</f>
        <v>82400</v>
      </c>
      <c r="I100" s="755">
        <f>H100*(1+Inputs!$E$535)</f>
        <v>84872</v>
      </c>
      <c r="J100" s="755">
        <f>I100*(1+Inputs!$E$535)</f>
        <v>87418.16</v>
      </c>
      <c r="K100" s="755">
        <f>J100*(1+Inputs!$E$535)</f>
        <v>90040.704800000007</v>
      </c>
      <c r="L100" s="755">
        <f>K100*(1+Inputs!$E$535)</f>
        <v>92741.925944000002</v>
      </c>
      <c r="M100" s="755">
        <f>L100*(1+Inputs!$E$535)</f>
        <v>95524.183722319998</v>
      </c>
      <c r="N100" s="755">
        <f>M100*(1+Inputs!$E$535)</f>
        <v>98389.909233989601</v>
      </c>
      <c r="O100" s="755">
        <f>N100*(1+Inputs!$E$535)</f>
        <v>101341.60651100929</v>
      </c>
      <c r="P100" s="755">
        <f>O100*(1+Inputs!$E$535)</f>
        <v>104381.85470633957</v>
      </c>
      <c r="Q100" s="755">
        <f>P100*(1+Inputs!$E$535)</f>
        <v>107513.31034752975</v>
      </c>
      <c r="R100" s="755">
        <f>Q100*(1+Inputs!$E$535)</f>
        <v>110738.70965795565</v>
      </c>
    </row>
    <row r="101" spans="1:18" ht="15.75" customHeight="1">
      <c r="B101" s="782" t="s">
        <v>1594</v>
      </c>
      <c r="C101" s="805" t="s">
        <v>770</v>
      </c>
      <c r="D101" s="802"/>
      <c r="E101" s="803"/>
      <c r="F101" s="755"/>
      <c r="G101" s="809">
        <f t="shared" ref="G101:R101" si="30">SUBTOTAL(109,G97:G100)</f>
        <v>235000</v>
      </c>
      <c r="H101" s="808">
        <f t="shared" si="30"/>
        <v>242050</v>
      </c>
      <c r="I101" s="808">
        <f t="shared" si="30"/>
        <v>249311.5</v>
      </c>
      <c r="J101" s="808">
        <f t="shared" si="30"/>
        <v>256790.845</v>
      </c>
      <c r="K101" s="808">
        <f t="shared" si="30"/>
        <v>264494.57034999999</v>
      </c>
      <c r="L101" s="808">
        <f t="shared" si="30"/>
        <v>272429.40746050002</v>
      </c>
      <c r="M101" s="808">
        <f t="shared" si="30"/>
        <v>280602.28968431498</v>
      </c>
      <c r="N101" s="808">
        <f t="shared" si="30"/>
        <v>289020.35837484442</v>
      </c>
      <c r="O101" s="808">
        <f t="shared" si="30"/>
        <v>297690.96912608977</v>
      </c>
      <c r="P101" s="808">
        <f t="shared" si="30"/>
        <v>306621.69819987251</v>
      </c>
      <c r="Q101" s="808">
        <f t="shared" si="30"/>
        <v>315820.34914586868</v>
      </c>
      <c r="R101" s="808">
        <f t="shared" si="30"/>
        <v>325294.95962024474</v>
      </c>
    </row>
    <row r="102" spans="1:18" ht="15.75" customHeight="1">
      <c r="B102" s="782"/>
      <c r="C102" s="801"/>
      <c r="D102" s="802"/>
      <c r="E102" s="803"/>
      <c r="F102" s="755"/>
      <c r="G102" s="804"/>
      <c r="H102" s="755"/>
      <c r="I102" s="755"/>
      <c r="J102" s="755"/>
      <c r="K102" s="755"/>
      <c r="L102" s="755"/>
      <c r="M102" s="755"/>
      <c r="N102" s="755"/>
      <c r="O102" s="755"/>
      <c r="P102" s="755"/>
      <c r="Q102" s="755"/>
      <c r="R102" s="755"/>
    </row>
    <row r="103" spans="1:18" ht="15.75" customHeight="1">
      <c r="A103" s="782" t="s">
        <v>1594</v>
      </c>
      <c r="B103" s="800" t="s">
        <v>1601</v>
      </c>
      <c r="C103" s="801" t="s">
        <v>1243</v>
      </c>
      <c r="D103" s="802"/>
      <c r="E103" s="803"/>
      <c r="F103" s="755"/>
      <c r="G103" s="804">
        <f>Inputs!E437</f>
        <v>100000</v>
      </c>
      <c r="H103" s="755">
        <f>G103*(1+Inputs!$E$535)</f>
        <v>103000</v>
      </c>
      <c r="I103" s="755">
        <f>H103*(1+Inputs!$E$535)</f>
        <v>106090</v>
      </c>
      <c r="J103" s="755">
        <f>I103*(1+Inputs!$E$535)</f>
        <v>109272.7</v>
      </c>
      <c r="K103" s="755">
        <f>J103*(1+Inputs!$E$535)</f>
        <v>112550.88099999999</v>
      </c>
      <c r="L103" s="755">
        <f>K103*(1+Inputs!$E$535)</f>
        <v>115927.40742999999</v>
      </c>
      <c r="M103" s="755">
        <f>L103*(1+Inputs!$E$535)</f>
        <v>119405.2296529</v>
      </c>
      <c r="N103" s="755">
        <f>M103*(1+Inputs!$E$535)</f>
        <v>122987.386542487</v>
      </c>
      <c r="O103" s="755">
        <f>N103*(1+Inputs!$E$535)</f>
        <v>126677.00813876161</v>
      </c>
      <c r="P103" s="755">
        <f>O103*(1+Inputs!$E$535)</f>
        <v>130477.31838292447</v>
      </c>
      <c r="Q103" s="755">
        <f>P103*(1+Inputs!$E$535)</f>
        <v>134391.6379344122</v>
      </c>
      <c r="R103" s="755">
        <f>Q103*(1+Inputs!$E$535)</f>
        <v>138423.38707244457</v>
      </c>
    </row>
    <row r="104" spans="1:18" ht="15.75" customHeight="1">
      <c r="B104" s="782" t="s">
        <v>1594</v>
      </c>
      <c r="C104" s="801" t="s">
        <v>1244</v>
      </c>
      <c r="D104" s="802"/>
      <c r="E104" s="803"/>
      <c r="F104" s="755"/>
      <c r="G104" s="804">
        <f>Inputs!E438</f>
        <v>80000</v>
      </c>
      <c r="H104" s="755">
        <f>G104*(1+Inputs!$E$535)</f>
        <v>82400</v>
      </c>
      <c r="I104" s="755">
        <f>H104*(1+Inputs!$E$535)</f>
        <v>84872</v>
      </c>
      <c r="J104" s="755">
        <f>I104*(1+Inputs!$E$535)</f>
        <v>87418.16</v>
      </c>
      <c r="K104" s="755">
        <f>J104*(1+Inputs!$E$535)</f>
        <v>90040.704800000007</v>
      </c>
      <c r="L104" s="755">
        <f>K104*(1+Inputs!$E$535)</f>
        <v>92741.925944000002</v>
      </c>
      <c r="M104" s="755">
        <f>L104*(1+Inputs!$E$535)</f>
        <v>95524.183722319998</v>
      </c>
      <c r="N104" s="755">
        <f>M104*(1+Inputs!$E$535)</f>
        <v>98389.909233989601</v>
      </c>
      <c r="O104" s="755">
        <f>N104*(1+Inputs!$E$535)</f>
        <v>101341.60651100929</v>
      </c>
      <c r="P104" s="755">
        <f>O104*(1+Inputs!$E$535)</f>
        <v>104381.85470633957</v>
      </c>
      <c r="Q104" s="755">
        <f>P104*(1+Inputs!$E$535)</f>
        <v>107513.31034752975</v>
      </c>
      <c r="R104" s="755">
        <f>Q104*(1+Inputs!$E$535)</f>
        <v>110738.70965795565</v>
      </c>
    </row>
    <row r="105" spans="1:18" ht="15.75" customHeight="1">
      <c r="B105" s="782" t="s">
        <v>1594</v>
      </c>
      <c r="C105" s="801" t="s">
        <v>1245</v>
      </c>
      <c r="D105" s="802"/>
      <c r="E105" s="803"/>
      <c r="F105" s="755"/>
      <c r="G105" s="804">
        <f>Inputs!E439</f>
        <v>120000</v>
      </c>
      <c r="H105" s="755">
        <f>G105*(1+Inputs!$E$535)</f>
        <v>123600</v>
      </c>
      <c r="I105" s="755">
        <f>H105*(1+Inputs!$E$535)</f>
        <v>127308</v>
      </c>
      <c r="J105" s="755">
        <f>I105*(1+Inputs!$E$535)</f>
        <v>131127.24</v>
      </c>
      <c r="K105" s="755">
        <f>J105*(1+Inputs!$E$535)</f>
        <v>135061.05719999998</v>
      </c>
      <c r="L105" s="755">
        <f>K105*(1+Inputs!$E$535)</f>
        <v>139112.888916</v>
      </c>
      <c r="M105" s="755">
        <f>L105*(1+Inputs!$E$535)</f>
        <v>143286.27558347999</v>
      </c>
      <c r="N105" s="755">
        <f>M105*(1+Inputs!$E$535)</f>
        <v>147584.8638509844</v>
      </c>
      <c r="O105" s="755">
        <f>N105*(1+Inputs!$E$535)</f>
        <v>152012.40976651394</v>
      </c>
      <c r="P105" s="755">
        <f>O105*(1+Inputs!$E$535)</f>
        <v>156572.78205950937</v>
      </c>
      <c r="Q105" s="755">
        <f>P105*(1+Inputs!$E$535)</f>
        <v>161269.96552129465</v>
      </c>
      <c r="R105" s="755">
        <f>Q105*(1+Inputs!$E$535)</f>
        <v>166108.06448693349</v>
      </c>
    </row>
    <row r="106" spans="1:18" ht="15.75" customHeight="1">
      <c r="B106" s="782"/>
      <c r="C106" s="801" t="s">
        <v>1246</v>
      </c>
      <c r="D106" s="802"/>
      <c r="E106" s="803"/>
      <c r="F106" s="755"/>
      <c r="G106" s="804">
        <f>Inputs!E440</f>
        <v>0</v>
      </c>
      <c r="H106" s="755">
        <f>G106*(1+Inputs!$E$535)</f>
        <v>0</v>
      </c>
      <c r="I106" s="755">
        <f>H106*(1+Inputs!$E$535)</f>
        <v>0</v>
      </c>
      <c r="J106" s="755">
        <f>I106*(1+Inputs!$E$535)</f>
        <v>0</v>
      </c>
      <c r="K106" s="755">
        <f>J106*(1+Inputs!$E$535)</f>
        <v>0</v>
      </c>
      <c r="L106" s="755">
        <f>K106*(1+Inputs!$E$535)</f>
        <v>0</v>
      </c>
      <c r="M106" s="755">
        <f>L106*(1+Inputs!$E$535)</f>
        <v>0</v>
      </c>
      <c r="N106" s="755">
        <f>M106*(1+Inputs!$E$535)</f>
        <v>0</v>
      </c>
      <c r="O106" s="755">
        <f>N106*(1+Inputs!$E$535)</f>
        <v>0</v>
      </c>
      <c r="P106" s="755">
        <f>O106*(1+Inputs!$E$535)</f>
        <v>0</v>
      </c>
      <c r="Q106" s="755">
        <f>P106*(1+Inputs!$E$535)</f>
        <v>0</v>
      </c>
      <c r="R106" s="755">
        <f>Q106*(1+Inputs!$E$535)</f>
        <v>0</v>
      </c>
    </row>
    <row r="107" spans="1:18" ht="15.75" customHeight="1">
      <c r="B107" s="782" t="s">
        <v>1594</v>
      </c>
      <c r="C107" s="801" t="s">
        <v>1247</v>
      </c>
      <c r="D107" s="802"/>
      <c r="E107" s="803"/>
      <c r="F107" s="755"/>
      <c r="G107" s="804">
        <f>Inputs!E441</f>
        <v>80000</v>
      </c>
      <c r="H107" s="755">
        <f>G107*(1+Inputs!$E$535)</f>
        <v>82400</v>
      </c>
      <c r="I107" s="755">
        <f>H107*(1+Inputs!$E$535)</f>
        <v>84872</v>
      </c>
      <c r="J107" s="755">
        <f>I107*(1+Inputs!$E$535)</f>
        <v>87418.16</v>
      </c>
      <c r="K107" s="755">
        <f>J107*(1+Inputs!$E$535)</f>
        <v>90040.704800000007</v>
      </c>
      <c r="L107" s="755">
        <f>K107*(1+Inputs!$E$535)</f>
        <v>92741.925944000002</v>
      </c>
      <c r="M107" s="755">
        <f>L107*(1+Inputs!$E$535)</f>
        <v>95524.183722319998</v>
      </c>
      <c r="N107" s="755">
        <f>M107*(1+Inputs!$E$535)</f>
        <v>98389.909233989601</v>
      </c>
      <c r="O107" s="755">
        <f>N107*(1+Inputs!$E$535)</f>
        <v>101341.60651100929</v>
      </c>
      <c r="P107" s="755">
        <f>O107*(1+Inputs!$E$535)</f>
        <v>104381.85470633957</v>
      </c>
      <c r="Q107" s="755">
        <f>P107*(1+Inputs!$E$535)</f>
        <v>107513.31034752975</v>
      </c>
      <c r="R107" s="755">
        <f>Q107*(1+Inputs!$E$535)</f>
        <v>110738.70965795565</v>
      </c>
    </row>
    <row r="108" spans="1:18" ht="15.75" customHeight="1">
      <c r="B108" s="782" t="s">
        <v>1594</v>
      </c>
      <c r="C108" s="801" t="s">
        <v>1248</v>
      </c>
      <c r="D108" s="802"/>
      <c r="E108" s="803"/>
      <c r="F108" s="755"/>
      <c r="G108" s="804">
        <f>Inputs!E442</f>
        <v>10000</v>
      </c>
      <c r="H108" s="755">
        <f>G108*(1+Inputs!$E$535)</f>
        <v>10300</v>
      </c>
      <c r="I108" s="755">
        <f>H108*(1+Inputs!$E$535)</f>
        <v>10609</v>
      </c>
      <c r="J108" s="755">
        <f>I108*(1+Inputs!$E$535)</f>
        <v>10927.27</v>
      </c>
      <c r="K108" s="755">
        <f>J108*(1+Inputs!$E$535)</f>
        <v>11255.088100000001</v>
      </c>
      <c r="L108" s="755">
        <f>K108*(1+Inputs!$E$535)</f>
        <v>11592.740743</v>
      </c>
      <c r="M108" s="755">
        <f>L108*(1+Inputs!$E$535)</f>
        <v>11940.52296529</v>
      </c>
      <c r="N108" s="755">
        <f>M108*(1+Inputs!$E$535)</f>
        <v>12298.7386542487</v>
      </c>
      <c r="O108" s="755">
        <f>N108*(1+Inputs!$E$535)</f>
        <v>12667.700813876161</v>
      </c>
      <c r="P108" s="755">
        <f>O108*(1+Inputs!$E$535)</f>
        <v>13047.731838292446</v>
      </c>
      <c r="Q108" s="755">
        <f>P108*(1+Inputs!$E$535)</f>
        <v>13439.163793441219</v>
      </c>
      <c r="R108" s="755">
        <f>Q108*(1+Inputs!$E$535)</f>
        <v>13842.338707244457</v>
      </c>
    </row>
    <row r="109" spans="1:18" ht="15.75" customHeight="1">
      <c r="B109" s="782" t="s">
        <v>1594</v>
      </c>
      <c r="C109" s="801" t="s">
        <v>1249</v>
      </c>
      <c r="D109" s="802"/>
      <c r="E109" s="803"/>
      <c r="F109" s="755"/>
      <c r="G109" s="804">
        <f>Inputs!E443</f>
        <v>25000</v>
      </c>
      <c r="H109" s="755">
        <f>G109*(1+Inputs!$E$535)</f>
        <v>25750</v>
      </c>
      <c r="I109" s="755">
        <f>H109*(1+Inputs!$E$535)</f>
        <v>26522.5</v>
      </c>
      <c r="J109" s="755">
        <f>I109*(1+Inputs!$E$535)</f>
        <v>27318.174999999999</v>
      </c>
      <c r="K109" s="755">
        <f>J109*(1+Inputs!$E$535)</f>
        <v>28137.720249999998</v>
      </c>
      <c r="L109" s="755">
        <f>K109*(1+Inputs!$E$535)</f>
        <v>28981.851857499998</v>
      </c>
      <c r="M109" s="755">
        <f>L109*(1+Inputs!$E$535)</f>
        <v>29851.307413225</v>
      </c>
      <c r="N109" s="755">
        <f>M109*(1+Inputs!$E$535)</f>
        <v>30746.84663562175</v>
      </c>
      <c r="O109" s="755">
        <f>N109*(1+Inputs!$E$535)</f>
        <v>31669.252034690402</v>
      </c>
      <c r="P109" s="755">
        <f>O109*(1+Inputs!$E$535)</f>
        <v>32619.329595731117</v>
      </c>
      <c r="Q109" s="755">
        <f>P109*(1+Inputs!$E$535)</f>
        <v>33597.909483603049</v>
      </c>
      <c r="R109" s="755">
        <f>Q109*(1+Inputs!$E$535)</f>
        <v>34605.846768111143</v>
      </c>
    </row>
    <row r="110" spans="1:18" ht="15.75" customHeight="1">
      <c r="B110" s="782" t="s">
        <v>1594</v>
      </c>
      <c r="C110" s="801" t="s">
        <v>1250</v>
      </c>
      <c r="D110" s="802"/>
      <c r="E110" s="803"/>
      <c r="F110" s="755"/>
      <c r="G110" s="804">
        <f>Inputs!E444</f>
        <v>50000</v>
      </c>
      <c r="H110" s="755">
        <f>G110*(1+Inputs!$E$535)</f>
        <v>51500</v>
      </c>
      <c r="I110" s="755">
        <f>H110*(1+Inputs!$E$535)</f>
        <v>53045</v>
      </c>
      <c r="J110" s="755">
        <f>I110*(1+Inputs!$E$535)</f>
        <v>54636.35</v>
      </c>
      <c r="K110" s="755">
        <f>J110*(1+Inputs!$E$535)</f>
        <v>56275.440499999997</v>
      </c>
      <c r="L110" s="755">
        <f>K110*(1+Inputs!$E$535)</f>
        <v>57963.703714999996</v>
      </c>
      <c r="M110" s="755">
        <f>L110*(1+Inputs!$E$535)</f>
        <v>59702.614826450001</v>
      </c>
      <c r="N110" s="755">
        <f>M110*(1+Inputs!$E$535)</f>
        <v>61493.693271243501</v>
      </c>
      <c r="O110" s="755">
        <f>N110*(1+Inputs!$E$535)</f>
        <v>63338.504069380804</v>
      </c>
      <c r="P110" s="755">
        <f>O110*(1+Inputs!$E$535)</f>
        <v>65238.659191462233</v>
      </c>
      <c r="Q110" s="755">
        <f>P110*(1+Inputs!$E$535)</f>
        <v>67195.818967206098</v>
      </c>
      <c r="R110" s="755">
        <f>Q110*(1+Inputs!$E$535)</f>
        <v>69211.693536222287</v>
      </c>
    </row>
    <row r="111" spans="1:18" ht="15.75" customHeight="1">
      <c r="B111" s="782" t="s">
        <v>1594</v>
      </c>
      <c r="C111" s="801" t="s">
        <v>1251</v>
      </c>
      <c r="D111" s="802"/>
      <c r="E111" s="803"/>
      <c r="F111" s="755"/>
      <c r="G111" s="804">
        <f>Inputs!E445</f>
        <v>6500</v>
      </c>
      <c r="H111" s="755">
        <f>G111*(1+Inputs!$E$535)</f>
        <v>6695</v>
      </c>
      <c r="I111" s="755">
        <f>H111*(1+Inputs!$E$535)</f>
        <v>6895.85</v>
      </c>
      <c r="J111" s="755">
        <f>I111*(1+Inputs!$E$535)</f>
        <v>7102.7255000000005</v>
      </c>
      <c r="K111" s="755">
        <f>J111*(1+Inputs!$E$535)</f>
        <v>7315.8072650000004</v>
      </c>
      <c r="L111" s="755">
        <f>K111*(1+Inputs!$E$535)</f>
        <v>7535.2814829500003</v>
      </c>
      <c r="M111" s="755">
        <f>L111*(1+Inputs!$E$535)</f>
        <v>7761.3399274385001</v>
      </c>
      <c r="N111" s="755">
        <f>M111*(1+Inputs!$E$535)</f>
        <v>7994.1801252616551</v>
      </c>
      <c r="O111" s="755">
        <f>N111*(1+Inputs!$E$535)</f>
        <v>8234.005529019505</v>
      </c>
      <c r="P111" s="755">
        <f>O111*(1+Inputs!$E$535)</f>
        <v>8481.0256948900897</v>
      </c>
      <c r="Q111" s="755">
        <f>P111*(1+Inputs!$E$535)</f>
        <v>8735.4564657367919</v>
      </c>
      <c r="R111" s="755">
        <f>Q111*(1+Inputs!$E$535)</f>
        <v>8997.5201597088962</v>
      </c>
    </row>
    <row r="112" spans="1:18" ht="15.75" customHeight="1">
      <c r="B112" s="782" t="s">
        <v>1594</v>
      </c>
      <c r="C112" s="801" t="s">
        <v>1223</v>
      </c>
      <c r="D112" s="802"/>
      <c r="E112" s="803"/>
      <c r="F112" s="755"/>
      <c r="G112" s="804">
        <f>Inputs!E446</f>
        <v>20000</v>
      </c>
      <c r="H112" s="755">
        <f>G112*(1+Inputs!$E$535)</f>
        <v>20600</v>
      </c>
      <c r="I112" s="755">
        <f>H112*(1+Inputs!$E$535)</f>
        <v>21218</v>
      </c>
      <c r="J112" s="755">
        <f>I112*(1+Inputs!$E$535)</f>
        <v>21854.54</v>
      </c>
      <c r="K112" s="755">
        <f>J112*(1+Inputs!$E$535)</f>
        <v>22510.176200000002</v>
      </c>
      <c r="L112" s="755">
        <f>K112*(1+Inputs!$E$535)</f>
        <v>23185.481486000001</v>
      </c>
      <c r="M112" s="755">
        <f>L112*(1+Inputs!$E$535)</f>
        <v>23881.04593058</v>
      </c>
      <c r="N112" s="755">
        <f>M112*(1+Inputs!$E$535)</f>
        <v>24597.4773084974</v>
      </c>
      <c r="O112" s="755">
        <f>N112*(1+Inputs!$E$535)</f>
        <v>25335.401627752322</v>
      </c>
      <c r="P112" s="755">
        <f>O112*(1+Inputs!$E$535)</f>
        <v>26095.463676584892</v>
      </c>
      <c r="Q112" s="755">
        <f>P112*(1+Inputs!$E$535)</f>
        <v>26878.327586882438</v>
      </c>
      <c r="R112" s="755">
        <f>Q112*(1+Inputs!$E$535)</f>
        <v>27684.677414488913</v>
      </c>
    </row>
    <row r="113" spans="2:18" ht="15.75" customHeight="1">
      <c r="B113" s="782" t="s">
        <v>1594</v>
      </c>
      <c r="C113" s="801" t="s">
        <v>1253</v>
      </c>
      <c r="D113" s="810"/>
      <c r="E113" s="810"/>
      <c r="F113" s="811"/>
      <c r="G113" s="804">
        <f>Inputs!E447</f>
        <v>80000</v>
      </c>
      <c r="H113" s="755">
        <f>G113*(1+Inputs!$E$535)</f>
        <v>82400</v>
      </c>
      <c r="I113" s="755">
        <f>H113*(1+Inputs!$E$535)</f>
        <v>84872</v>
      </c>
      <c r="J113" s="755">
        <f>I113*(1+Inputs!$E$535)</f>
        <v>87418.16</v>
      </c>
      <c r="K113" s="755">
        <f>J113*(1+Inputs!$E$535)</f>
        <v>90040.704800000007</v>
      </c>
      <c r="L113" s="755">
        <f>K113*(1+Inputs!$E$535)</f>
        <v>92741.925944000002</v>
      </c>
      <c r="M113" s="755">
        <f>L113*(1+Inputs!$E$535)</f>
        <v>95524.183722319998</v>
      </c>
      <c r="N113" s="755">
        <f>M113*(1+Inputs!$E$535)</f>
        <v>98389.909233989601</v>
      </c>
      <c r="O113" s="755">
        <f>N113*(1+Inputs!$E$535)</f>
        <v>101341.60651100929</v>
      </c>
      <c r="P113" s="755">
        <f>O113*(1+Inputs!$E$535)</f>
        <v>104381.85470633957</v>
      </c>
      <c r="Q113" s="755">
        <f>P113*(1+Inputs!$E$535)</f>
        <v>107513.31034752975</v>
      </c>
      <c r="R113" s="755">
        <f>Q113*(1+Inputs!$E$535)</f>
        <v>110738.70965795565</v>
      </c>
    </row>
    <row r="114" spans="2:18" ht="15.75" customHeight="1">
      <c r="B114" s="782" t="s">
        <v>1594</v>
      </c>
      <c r="C114" s="801" t="s">
        <v>420</v>
      </c>
      <c r="D114" s="802"/>
      <c r="E114" s="803"/>
      <c r="F114" s="755"/>
      <c r="G114" s="804">
        <f>Inputs!E448</f>
        <v>150000</v>
      </c>
      <c r="H114" s="755">
        <f>G114*(1+Inputs!$E$535)</f>
        <v>154500</v>
      </c>
      <c r="I114" s="755">
        <f>H114*(1+Inputs!$E$535)</f>
        <v>159135</v>
      </c>
      <c r="J114" s="755">
        <f>I114*(1+Inputs!$E$535)</f>
        <v>163909.05000000002</v>
      </c>
      <c r="K114" s="755">
        <f>J114*(1+Inputs!$E$535)</f>
        <v>168826.32150000002</v>
      </c>
      <c r="L114" s="755">
        <f>K114*(1+Inputs!$E$535)</f>
        <v>173891.11114500003</v>
      </c>
      <c r="M114" s="755">
        <f>L114*(1+Inputs!$E$535)</f>
        <v>179107.84447935002</v>
      </c>
      <c r="N114" s="755">
        <f>M114*(1+Inputs!$E$535)</f>
        <v>184481.07981373052</v>
      </c>
      <c r="O114" s="755">
        <f>N114*(1+Inputs!$E$535)</f>
        <v>190015.51220814243</v>
      </c>
      <c r="P114" s="755">
        <f>O114*(1+Inputs!$E$535)</f>
        <v>195715.97757438672</v>
      </c>
      <c r="Q114" s="755">
        <f>P114*(1+Inputs!$E$535)</f>
        <v>201587.45690161834</v>
      </c>
      <c r="R114" s="755">
        <f>Q114*(1+Inputs!$E$535)</f>
        <v>207635.0806086669</v>
      </c>
    </row>
    <row r="115" spans="2:18" ht="15.75" customHeight="1">
      <c r="B115" s="782"/>
      <c r="C115" s="805" t="s">
        <v>1595</v>
      </c>
      <c r="D115" s="802"/>
      <c r="E115" s="803"/>
      <c r="F115" s="755"/>
      <c r="G115" s="809">
        <f t="shared" ref="G115:R115" si="31">SUBTOTAL(109,G103:G114)</f>
        <v>721500</v>
      </c>
      <c r="H115" s="808">
        <f t="shared" si="31"/>
        <v>743145</v>
      </c>
      <c r="I115" s="808">
        <f t="shared" si="31"/>
        <v>765439.35</v>
      </c>
      <c r="J115" s="808">
        <f t="shared" si="31"/>
        <v>788402.53050000011</v>
      </c>
      <c r="K115" s="808">
        <f t="shared" si="31"/>
        <v>812054.60641500005</v>
      </c>
      <c r="L115" s="808">
        <f t="shared" si="31"/>
        <v>836416.24460744997</v>
      </c>
      <c r="M115" s="808">
        <f t="shared" si="31"/>
        <v>861508.73194567359</v>
      </c>
      <c r="N115" s="808">
        <f t="shared" si="31"/>
        <v>887353.9939040438</v>
      </c>
      <c r="O115" s="808">
        <f t="shared" si="31"/>
        <v>913974.61372116511</v>
      </c>
      <c r="P115" s="808">
        <f t="shared" si="31"/>
        <v>941393.85213279992</v>
      </c>
      <c r="Q115" s="808">
        <f t="shared" si="31"/>
        <v>969635.66769678402</v>
      </c>
      <c r="R115" s="808">
        <f t="shared" si="31"/>
        <v>998724.73772768769</v>
      </c>
    </row>
    <row r="116" spans="2:18" ht="15.75" customHeight="1">
      <c r="B116" s="782"/>
      <c r="C116" s="801"/>
      <c r="D116" s="802"/>
      <c r="E116" s="803"/>
      <c r="F116" s="755"/>
      <c r="G116" s="804"/>
      <c r="H116" s="755"/>
      <c r="I116" s="755"/>
      <c r="J116" s="755"/>
      <c r="K116" s="755"/>
      <c r="L116" s="755"/>
      <c r="M116" s="755"/>
      <c r="N116" s="755"/>
      <c r="O116" s="755"/>
      <c r="P116" s="755"/>
      <c r="Q116" s="755"/>
      <c r="R116" s="755"/>
    </row>
    <row r="117" spans="2:18" ht="15.75" customHeight="1">
      <c r="B117" s="800" t="s">
        <v>1602</v>
      </c>
      <c r="C117" s="801" t="s">
        <v>1254</v>
      </c>
      <c r="D117" s="802"/>
      <c r="E117" s="803"/>
      <c r="F117" s="755">
        <v>0</v>
      </c>
      <c r="G117" s="804">
        <f>Inputs!E449</f>
        <v>80000</v>
      </c>
      <c r="H117" s="755">
        <f>G117*(1+Inputs!$E$535)</f>
        <v>82400</v>
      </c>
      <c r="I117" s="755">
        <f>H117*(1+Inputs!$E$535)</f>
        <v>84872</v>
      </c>
      <c r="J117" s="755">
        <f>I117*(1+Inputs!$E$535)</f>
        <v>87418.16</v>
      </c>
      <c r="K117" s="755">
        <f>J117*(1+Inputs!$E$535)</f>
        <v>90040.704800000007</v>
      </c>
      <c r="L117" s="755">
        <f>K117*(1+Inputs!$E$535)</f>
        <v>92741.925944000002</v>
      </c>
      <c r="M117" s="755">
        <f>L117*(1+Inputs!$E$535)</f>
        <v>95524.183722319998</v>
      </c>
      <c r="N117" s="755">
        <f>M117*(1+Inputs!$E$535)</f>
        <v>98389.909233989601</v>
      </c>
      <c r="O117" s="755">
        <f>N117*(1+Inputs!$E$535)</f>
        <v>101341.60651100929</v>
      </c>
      <c r="P117" s="755">
        <f>O117*(1+Inputs!$E$535)</f>
        <v>104381.85470633957</v>
      </c>
      <c r="Q117" s="755">
        <f>P117*(1+Inputs!$E$535)</f>
        <v>107513.31034752975</v>
      </c>
      <c r="R117" s="755">
        <f>Q117*(1+Inputs!$E$535)</f>
        <v>110738.70965795565</v>
      </c>
    </row>
    <row r="118" spans="2:18" ht="15.75" customHeight="1">
      <c r="B118" s="782" t="s">
        <v>1597</v>
      </c>
      <c r="C118" s="801" t="s">
        <v>983</v>
      </c>
      <c r="D118" s="802"/>
      <c r="E118" s="803"/>
      <c r="F118" s="755">
        <v>0</v>
      </c>
      <c r="G118" s="804">
        <f>Inputs!E450</f>
        <v>90000</v>
      </c>
      <c r="H118" s="755">
        <f>G118*(1+Inputs!$E$535)</f>
        <v>92700</v>
      </c>
      <c r="I118" s="755">
        <f>H118*(1+Inputs!$E$535)</f>
        <v>95481</v>
      </c>
      <c r="J118" s="755">
        <f>I118*(1+Inputs!$E$535)</f>
        <v>98345.430000000008</v>
      </c>
      <c r="K118" s="755">
        <f>J118*(1+Inputs!$E$535)</f>
        <v>101295.79290000001</v>
      </c>
      <c r="L118" s="755">
        <f>K118*(1+Inputs!$E$535)</f>
        <v>104334.66668700002</v>
      </c>
      <c r="M118" s="755">
        <f>L118*(1+Inputs!$E$535)</f>
        <v>107464.70668761003</v>
      </c>
      <c r="N118" s="755">
        <f>M118*(1+Inputs!$E$535)</f>
        <v>110688.64788823834</v>
      </c>
      <c r="O118" s="755">
        <f>N118*(1+Inputs!$E$535)</f>
        <v>114009.30732488549</v>
      </c>
      <c r="P118" s="755">
        <f>O118*(1+Inputs!$E$535)</f>
        <v>117429.58654463205</v>
      </c>
      <c r="Q118" s="755">
        <f>P118*(1+Inputs!$E$535)</f>
        <v>120952.47414097101</v>
      </c>
      <c r="R118" s="755">
        <f>Q118*(1+Inputs!$E$535)</f>
        <v>124581.04836520014</v>
      </c>
    </row>
    <row r="119" spans="2:18" ht="15.75" customHeight="1">
      <c r="B119" s="782"/>
      <c r="C119" s="801" t="s">
        <v>1255</v>
      </c>
      <c r="D119" s="802"/>
      <c r="E119" s="803"/>
      <c r="F119" s="755">
        <v>0</v>
      </c>
      <c r="G119" s="804">
        <f>Inputs!E451</f>
        <v>80000</v>
      </c>
      <c r="H119" s="755">
        <f>G119*(1+Inputs!$E$535)</f>
        <v>82400</v>
      </c>
      <c r="I119" s="755">
        <f>H119*(1+Inputs!$E$535)</f>
        <v>84872</v>
      </c>
      <c r="J119" s="755">
        <f>I119*(1+Inputs!$E$535)</f>
        <v>87418.16</v>
      </c>
      <c r="K119" s="755">
        <f>J119*(1+Inputs!$E$535)</f>
        <v>90040.704800000007</v>
      </c>
      <c r="L119" s="755">
        <f>K119*(1+Inputs!$E$535)</f>
        <v>92741.925944000002</v>
      </c>
      <c r="M119" s="755">
        <f>L119*(1+Inputs!$E$535)</f>
        <v>95524.183722319998</v>
      </c>
      <c r="N119" s="755">
        <f>M119*(1+Inputs!$E$535)</f>
        <v>98389.909233989601</v>
      </c>
      <c r="O119" s="755">
        <f>N119*(1+Inputs!$E$535)</f>
        <v>101341.60651100929</v>
      </c>
      <c r="P119" s="755">
        <f>O119*(1+Inputs!$E$535)</f>
        <v>104381.85470633957</v>
      </c>
      <c r="Q119" s="755">
        <f>P119*(1+Inputs!$E$535)</f>
        <v>107513.31034752975</v>
      </c>
      <c r="R119" s="755">
        <f>Q119*(1+Inputs!$E$535)</f>
        <v>110738.70965795565</v>
      </c>
    </row>
    <row r="120" spans="2:18" ht="15.75" customHeight="1">
      <c r="B120" s="782"/>
      <c r="C120" s="801" t="s">
        <v>1256</v>
      </c>
      <c r="D120" s="802"/>
      <c r="E120" s="803"/>
      <c r="F120" s="755">
        <v>0</v>
      </c>
      <c r="G120" s="804">
        <f>Inputs!E452</f>
        <v>120000</v>
      </c>
      <c r="H120" s="755">
        <f>G120*(1+Inputs!$E$535)</f>
        <v>123600</v>
      </c>
      <c r="I120" s="755">
        <f>H120*(1+Inputs!$E$535)</f>
        <v>127308</v>
      </c>
      <c r="J120" s="755">
        <f>I120*(1+Inputs!$E$535)</f>
        <v>131127.24</v>
      </c>
      <c r="K120" s="755">
        <f>J120*(1+Inputs!$E$535)</f>
        <v>135061.05719999998</v>
      </c>
      <c r="L120" s="755">
        <f>K120*(1+Inputs!$E$535)</f>
        <v>139112.888916</v>
      </c>
      <c r="M120" s="755">
        <f>L120*(1+Inputs!$E$535)</f>
        <v>143286.27558347999</v>
      </c>
      <c r="N120" s="755">
        <f>M120*(1+Inputs!$E$535)</f>
        <v>147584.8638509844</v>
      </c>
      <c r="O120" s="755">
        <f>N120*(1+Inputs!$E$535)</f>
        <v>152012.40976651394</v>
      </c>
      <c r="P120" s="755">
        <f>O120*(1+Inputs!$E$535)</f>
        <v>156572.78205950937</v>
      </c>
      <c r="Q120" s="755">
        <f>P120*(1+Inputs!$E$535)</f>
        <v>161269.96552129465</v>
      </c>
      <c r="R120" s="755">
        <f>Q120*(1+Inputs!$E$535)</f>
        <v>166108.06448693349</v>
      </c>
    </row>
    <row r="121" spans="2:18" ht="15.75" customHeight="1">
      <c r="B121" s="782"/>
      <c r="C121" s="801" t="s">
        <v>1257</v>
      </c>
      <c r="D121" s="802"/>
      <c r="E121" s="803"/>
      <c r="F121" s="755">
        <v>0</v>
      </c>
      <c r="G121" s="804">
        <f>Inputs!E453</f>
        <v>100000</v>
      </c>
      <c r="H121" s="755">
        <f>G121*(1+Inputs!$E$535)</f>
        <v>103000</v>
      </c>
      <c r="I121" s="755">
        <f>H121*(1+Inputs!$E$535)</f>
        <v>106090</v>
      </c>
      <c r="J121" s="755">
        <f>I121*(1+Inputs!$E$535)</f>
        <v>109272.7</v>
      </c>
      <c r="K121" s="755">
        <f>J121*(1+Inputs!$E$535)</f>
        <v>112550.88099999999</v>
      </c>
      <c r="L121" s="755">
        <f>K121*(1+Inputs!$E$535)</f>
        <v>115927.40742999999</v>
      </c>
      <c r="M121" s="755">
        <f>L121*(1+Inputs!$E$535)</f>
        <v>119405.2296529</v>
      </c>
      <c r="N121" s="755">
        <f>M121*(1+Inputs!$E$535)</f>
        <v>122987.386542487</v>
      </c>
      <c r="O121" s="755">
        <f>N121*(1+Inputs!$E$535)</f>
        <v>126677.00813876161</v>
      </c>
      <c r="P121" s="755">
        <f>O121*(1+Inputs!$E$535)</f>
        <v>130477.31838292447</v>
      </c>
      <c r="Q121" s="755">
        <f>P121*(1+Inputs!$E$535)</f>
        <v>134391.6379344122</v>
      </c>
      <c r="R121" s="755">
        <f>Q121*(1+Inputs!$E$535)</f>
        <v>138423.38707244457</v>
      </c>
    </row>
    <row r="122" spans="2:18" ht="15.75" customHeight="1">
      <c r="B122" s="799"/>
      <c r="C122" s="801" t="s">
        <v>1258</v>
      </c>
      <c r="D122" s="802"/>
      <c r="E122" s="803"/>
      <c r="F122" s="755">
        <v>0</v>
      </c>
      <c r="G122" s="804">
        <f>Inputs!E454</f>
        <v>30000</v>
      </c>
      <c r="H122" s="755">
        <f>G122*(1+Inputs!$E$535)</f>
        <v>30900</v>
      </c>
      <c r="I122" s="755">
        <f>H122*(1+Inputs!$E$535)</f>
        <v>31827</v>
      </c>
      <c r="J122" s="755">
        <f>I122*(1+Inputs!$E$535)</f>
        <v>32781.81</v>
      </c>
      <c r="K122" s="755">
        <f>J122*(1+Inputs!$E$535)</f>
        <v>33765.264299999995</v>
      </c>
      <c r="L122" s="755">
        <f>K122*(1+Inputs!$E$535)</f>
        <v>34778.222228999999</v>
      </c>
      <c r="M122" s="755">
        <f>L122*(1+Inputs!$E$535)</f>
        <v>35821.568895869998</v>
      </c>
      <c r="N122" s="755">
        <f>M122*(1+Inputs!$E$535)</f>
        <v>36896.215962746101</v>
      </c>
      <c r="O122" s="755">
        <f>N122*(1+Inputs!$E$535)</f>
        <v>38003.102441628485</v>
      </c>
      <c r="P122" s="755">
        <f>O122*(1+Inputs!$E$535)</f>
        <v>39143.195514877341</v>
      </c>
      <c r="Q122" s="755">
        <f>P122*(1+Inputs!$E$535)</f>
        <v>40317.491380323663</v>
      </c>
      <c r="R122" s="755">
        <f>Q122*(1+Inputs!$E$535)</f>
        <v>41527.016121733373</v>
      </c>
    </row>
    <row r="123" spans="2:18" ht="15.75" customHeight="1">
      <c r="B123" s="782"/>
      <c r="C123" s="801" t="s">
        <v>1259</v>
      </c>
      <c r="D123" s="802"/>
      <c r="E123" s="803"/>
      <c r="F123" s="755"/>
      <c r="G123" s="804">
        <f>Inputs!E455</f>
        <v>75000</v>
      </c>
      <c r="H123" s="755">
        <f>G123*(1+Inputs!$E$535)</f>
        <v>77250</v>
      </c>
      <c r="I123" s="755">
        <f>H123*(1+Inputs!$E$535)</f>
        <v>79567.5</v>
      </c>
      <c r="J123" s="755">
        <f>I123*(1+Inputs!$E$535)</f>
        <v>81954.525000000009</v>
      </c>
      <c r="K123" s="755">
        <f>J123*(1+Inputs!$E$535)</f>
        <v>84413.16075000001</v>
      </c>
      <c r="L123" s="755">
        <f>K123*(1+Inputs!$E$535)</f>
        <v>86945.555572500016</v>
      </c>
      <c r="M123" s="755">
        <f>L123*(1+Inputs!$E$535)</f>
        <v>89553.922239675012</v>
      </c>
      <c r="N123" s="755">
        <f>M123*(1+Inputs!$E$535)</f>
        <v>92240.539906865262</v>
      </c>
      <c r="O123" s="755">
        <f>N123*(1+Inputs!$E$535)</f>
        <v>95007.756104071217</v>
      </c>
      <c r="P123" s="755">
        <f>O123*(1+Inputs!$E$535)</f>
        <v>97857.988787193361</v>
      </c>
      <c r="Q123" s="755">
        <f>P123*(1+Inputs!$E$535)</f>
        <v>100793.72845080917</v>
      </c>
      <c r="R123" s="755">
        <f>Q123*(1+Inputs!$E$535)</f>
        <v>103817.54030433345</v>
      </c>
    </row>
    <row r="124" spans="2:18" ht="15.75" customHeight="1">
      <c r="B124" s="782"/>
      <c r="C124" s="801" t="s">
        <v>1219</v>
      </c>
      <c r="D124" s="802"/>
      <c r="E124" s="803"/>
      <c r="F124" s="755"/>
      <c r="G124" s="804">
        <f>Inputs!E456</f>
        <v>25000</v>
      </c>
      <c r="H124" s="755">
        <f>G124*(1+Inputs!$E$535)</f>
        <v>25750</v>
      </c>
      <c r="I124" s="755">
        <f>H124*(1+Inputs!$E$535)</f>
        <v>26522.5</v>
      </c>
      <c r="J124" s="755">
        <f>I124*(1+Inputs!$E$535)</f>
        <v>27318.174999999999</v>
      </c>
      <c r="K124" s="755">
        <f>J124*(1+Inputs!$E$535)</f>
        <v>28137.720249999998</v>
      </c>
      <c r="L124" s="755">
        <f>K124*(1+Inputs!$E$535)</f>
        <v>28981.851857499998</v>
      </c>
      <c r="M124" s="755">
        <f>L124*(1+Inputs!$E$535)</f>
        <v>29851.307413225</v>
      </c>
      <c r="N124" s="755">
        <f>M124*(1+Inputs!$E$535)</f>
        <v>30746.84663562175</v>
      </c>
      <c r="O124" s="755">
        <f>N124*(1+Inputs!$E$535)</f>
        <v>31669.252034690402</v>
      </c>
      <c r="P124" s="755">
        <f>O124*(1+Inputs!$E$535)</f>
        <v>32619.329595731117</v>
      </c>
      <c r="Q124" s="755">
        <f>P124*(1+Inputs!$E$535)</f>
        <v>33597.909483603049</v>
      </c>
      <c r="R124" s="755">
        <f>Q124*(1+Inputs!$E$535)</f>
        <v>34605.846768111143</v>
      </c>
    </row>
    <row r="125" spans="2:18" ht="15.75" customHeight="1">
      <c r="B125" s="782"/>
      <c r="C125" s="801" t="s">
        <v>1260</v>
      </c>
      <c r="D125" s="802"/>
      <c r="E125" s="803"/>
      <c r="F125" s="755">
        <v>0</v>
      </c>
      <c r="G125" s="804">
        <f>Inputs!E457</f>
        <v>50000</v>
      </c>
      <c r="H125" s="755">
        <f>G125*(1+Inputs!$E$535)</f>
        <v>51500</v>
      </c>
      <c r="I125" s="755">
        <f>H125*(1+Inputs!$E$535)</f>
        <v>53045</v>
      </c>
      <c r="J125" s="755">
        <f>I125*(1+Inputs!$E$535)</f>
        <v>54636.35</v>
      </c>
      <c r="K125" s="755">
        <f>J125*(1+Inputs!$E$535)</f>
        <v>56275.440499999997</v>
      </c>
      <c r="L125" s="755">
        <f>K125*(1+Inputs!$E$535)</f>
        <v>57963.703714999996</v>
      </c>
      <c r="M125" s="755">
        <f>L125*(1+Inputs!$E$535)</f>
        <v>59702.614826450001</v>
      </c>
      <c r="N125" s="755">
        <f>M125*(1+Inputs!$E$535)</f>
        <v>61493.693271243501</v>
      </c>
      <c r="O125" s="755">
        <f>N125*(1+Inputs!$E$535)</f>
        <v>63338.504069380804</v>
      </c>
      <c r="P125" s="755">
        <f>O125*(1+Inputs!$E$535)</f>
        <v>65238.659191462233</v>
      </c>
      <c r="Q125" s="755">
        <f>P125*(1+Inputs!$E$535)</f>
        <v>67195.818967206098</v>
      </c>
      <c r="R125" s="755">
        <f>Q125*(1+Inputs!$E$535)</f>
        <v>69211.693536222287</v>
      </c>
    </row>
    <row r="126" spans="2:18" ht="15.75" customHeight="1">
      <c r="B126" s="782"/>
      <c r="C126" s="812" t="s">
        <v>770</v>
      </c>
      <c r="D126" s="812"/>
      <c r="E126" s="813"/>
      <c r="F126" s="814">
        <v>0</v>
      </c>
      <c r="G126" s="814">
        <f t="shared" ref="G126:R126" si="32">SUM(G117:G125)</f>
        <v>650000</v>
      </c>
      <c r="H126" s="814">
        <f t="shared" si="32"/>
        <v>669500</v>
      </c>
      <c r="I126" s="814">
        <f t="shared" si="32"/>
        <v>689585</v>
      </c>
      <c r="J126" s="814">
        <f t="shared" si="32"/>
        <v>710272.55</v>
      </c>
      <c r="K126" s="814">
        <f t="shared" si="32"/>
        <v>731580.72650000011</v>
      </c>
      <c r="L126" s="814">
        <f t="shared" si="32"/>
        <v>753528.14829499996</v>
      </c>
      <c r="M126" s="814">
        <f t="shared" si="32"/>
        <v>776133.99274384999</v>
      </c>
      <c r="N126" s="814">
        <f t="shared" si="32"/>
        <v>799418.01252616534</v>
      </c>
      <c r="O126" s="814">
        <f t="shared" si="32"/>
        <v>823400.55290195043</v>
      </c>
      <c r="P126" s="814">
        <f t="shared" si="32"/>
        <v>848102.56948900898</v>
      </c>
      <c r="Q126" s="814">
        <f t="shared" si="32"/>
        <v>873545.64657367929</v>
      </c>
      <c r="R126" s="814">
        <f t="shared" si="32"/>
        <v>899752.01597088971</v>
      </c>
    </row>
    <row r="127" spans="2:18" ht="15.75" customHeight="1"/>
    <row r="128" spans="2:18" ht="15.75" customHeight="1">
      <c r="C128" s="815" t="s">
        <v>1603</v>
      </c>
      <c r="G128" s="287">
        <f t="shared" ref="G128:R128" si="33">G126+G91</f>
        <v>838000</v>
      </c>
      <c r="H128" s="287">
        <f t="shared" si="33"/>
        <v>863140</v>
      </c>
      <c r="I128" s="287">
        <f t="shared" si="33"/>
        <v>889034.2</v>
      </c>
      <c r="J128" s="287">
        <f t="shared" si="33"/>
        <v>915705.22600000002</v>
      </c>
      <c r="K128" s="287">
        <f t="shared" si="33"/>
        <v>943176.3827800001</v>
      </c>
      <c r="L128" s="287">
        <f t="shared" si="33"/>
        <v>971471.67426340003</v>
      </c>
      <c r="M128" s="287">
        <f t="shared" si="33"/>
        <v>1000615.824491302</v>
      </c>
      <c r="N128" s="287">
        <f t="shared" si="33"/>
        <v>1030634.299226041</v>
      </c>
      <c r="O128" s="287">
        <f t="shared" si="33"/>
        <v>1061553.3282028222</v>
      </c>
      <c r="P128" s="287">
        <f t="shared" si="33"/>
        <v>1093399.9280489068</v>
      </c>
      <c r="Q128" s="287">
        <f t="shared" si="33"/>
        <v>1126201.9258903742</v>
      </c>
      <c r="R128" s="287">
        <f t="shared" si="33"/>
        <v>1159987.9836670854</v>
      </c>
    </row>
    <row r="129" spans="1:19" ht="15.75" customHeight="1"/>
    <row r="130" spans="1:19" ht="15.75" customHeight="1">
      <c r="A130" s="816" t="s">
        <v>1604</v>
      </c>
      <c r="B130" s="817"/>
    </row>
    <row r="131" spans="1:19" ht="15.75" customHeight="1">
      <c r="B131" s="818"/>
      <c r="C131" s="818"/>
      <c r="D131" s="818"/>
      <c r="E131" s="819" t="s">
        <v>192</v>
      </c>
      <c r="F131" s="820" t="s">
        <v>152</v>
      </c>
      <c r="G131" s="820" t="s">
        <v>153</v>
      </c>
      <c r="H131" s="820" t="s">
        <v>154</v>
      </c>
      <c r="I131" s="820" t="s">
        <v>155</v>
      </c>
      <c r="J131" s="820" t="s">
        <v>201</v>
      </c>
      <c r="K131" s="820" t="s">
        <v>202</v>
      </c>
      <c r="L131" s="820" t="s">
        <v>203</v>
      </c>
      <c r="M131" s="820" t="s">
        <v>204</v>
      </c>
      <c r="N131" s="820" t="s">
        <v>205</v>
      </c>
      <c r="O131" s="820" t="s">
        <v>206</v>
      </c>
      <c r="P131" s="820" t="s">
        <v>207</v>
      </c>
      <c r="Q131" s="820" t="s">
        <v>208</v>
      </c>
      <c r="R131" s="820" t="s">
        <v>1583</v>
      </c>
      <c r="S131" s="818"/>
    </row>
    <row r="132" spans="1:19" ht="15.75" customHeight="1">
      <c r="B132" s="818"/>
      <c r="C132" s="818"/>
      <c r="D132" s="818"/>
      <c r="E132" s="821" t="s">
        <v>1584</v>
      </c>
      <c r="F132" s="819">
        <v>2027</v>
      </c>
      <c r="G132" s="819">
        <v>2028</v>
      </c>
      <c r="H132" s="819">
        <v>2029</v>
      </c>
      <c r="I132" s="819">
        <v>2030</v>
      </c>
      <c r="J132" s="819">
        <v>2031</v>
      </c>
      <c r="K132" s="819">
        <v>2032</v>
      </c>
      <c r="L132" s="819">
        <v>2033</v>
      </c>
      <c r="M132" s="819">
        <v>2034</v>
      </c>
      <c r="N132" s="819">
        <v>2035</v>
      </c>
      <c r="O132" s="819">
        <v>2036</v>
      </c>
      <c r="P132" s="819">
        <v>2037</v>
      </c>
      <c r="Q132" s="819">
        <v>2038</v>
      </c>
      <c r="R132" s="819">
        <v>2039</v>
      </c>
      <c r="S132" s="818"/>
    </row>
    <row r="133" spans="1:19" ht="15.75" customHeight="1">
      <c r="B133" s="822" t="s">
        <v>441</v>
      </c>
      <c r="C133" s="818"/>
      <c r="D133" s="818"/>
      <c r="E133" s="818"/>
      <c r="F133" s="818"/>
      <c r="G133" s="818"/>
      <c r="H133" s="818"/>
      <c r="I133" s="818"/>
      <c r="J133" s="818"/>
      <c r="K133" s="818"/>
      <c r="L133" s="818"/>
      <c r="M133" s="818"/>
      <c r="N133" s="818"/>
      <c r="O133" s="818"/>
      <c r="P133" s="818"/>
      <c r="Q133" s="818"/>
      <c r="R133" s="818"/>
      <c r="S133" s="818"/>
    </row>
    <row r="134" spans="1:19" ht="15.75" customHeight="1">
      <c r="B134" s="818"/>
      <c r="C134" s="818"/>
      <c r="D134" s="818"/>
      <c r="E134" s="818"/>
      <c r="F134" s="818"/>
      <c r="G134" s="818"/>
      <c r="H134" s="818"/>
      <c r="I134" s="818"/>
      <c r="J134" s="818"/>
      <c r="K134" s="818"/>
      <c r="L134" s="818"/>
      <c r="M134" s="818"/>
      <c r="N134" s="818"/>
      <c r="O134" s="818"/>
      <c r="P134" s="818"/>
      <c r="Q134" s="818"/>
      <c r="R134" s="818"/>
      <c r="S134" s="818"/>
    </row>
    <row r="135" spans="1:19" ht="15.75" customHeight="1">
      <c r="B135" s="822" t="s">
        <v>437</v>
      </c>
      <c r="C135" s="818"/>
      <c r="D135" s="818"/>
      <c r="E135" s="818"/>
      <c r="F135" s="823">
        <f t="shared" ref="F135:S135" si="34">F35</f>
        <v>496999</v>
      </c>
      <c r="G135" s="823">
        <f t="shared" si="34"/>
        <v>1530000</v>
      </c>
      <c r="H135" s="823">
        <f t="shared" si="34"/>
        <v>1577430</v>
      </c>
      <c r="I135" s="823">
        <f t="shared" si="34"/>
        <v>1626330.3299999998</v>
      </c>
      <c r="J135" s="823">
        <f t="shared" si="34"/>
        <v>1676746.5702299997</v>
      </c>
      <c r="K135" s="823">
        <f t="shared" si="34"/>
        <v>1728725.7139071294</v>
      </c>
      <c r="L135" s="823">
        <f t="shared" si="34"/>
        <v>1782316.2110382502</v>
      </c>
      <c r="M135" s="823">
        <f t="shared" si="34"/>
        <v>1837568.0135804359</v>
      </c>
      <c r="N135" s="823">
        <f t="shared" si="34"/>
        <v>1894532.6220014289</v>
      </c>
      <c r="O135" s="823">
        <f t="shared" si="34"/>
        <v>1953263.1332834736</v>
      </c>
      <c r="P135" s="823">
        <f t="shared" si="34"/>
        <v>2013814.2904152612</v>
      </c>
      <c r="Q135" s="823">
        <f t="shared" si="34"/>
        <v>2076242.5334181343</v>
      </c>
      <c r="R135" s="823">
        <f t="shared" si="34"/>
        <v>2140606.0519540957</v>
      </c>
      <c r="S135" s="823">
        <f t="shared" si="34"/>
        <v>0</v>
      </c>
    </row>
    <row r="136" spans="1:19" ht="15.75" customHeight="1">
      <c r="B136" s="824" t="s">
        <v>1605</v>
      </c>
      <c r="C136" s="818"/>
      <c r="D136" s="818"/>
      <c r="E136" s="818"/>
      <c r="F136" s="823">
        <f t="shared" ref="F136:S136" si="35">F51</f>
        <v>93384.09</v>
      </c>
      <c r="G136" s="823">
        <f t="shared" si="35"/>
        <v>274350</v>
      </c>
      <c r="H136" s="823">
        <f t="shared" si="35"/>
        <v>282854.84999999998</v>
      </c>
      <c r="I136" s="823">
        <f t="shared" si="35"/>
        <v>291623.35034999991</v>
      </c>
      <c r="J136" s="823">
        <f t="shared" si="35"/>
        <v>300663.67421084997</v>
      </c>
      <c r="K136" s="823">
        <f t="shared" si="35"/>
        <v>309984.2481113862</v>
      </c>
      <c r="L136" s="823">
        <f t="shared" si="35"/>
        <v>319593.75980283914</v>
      </c>
      <c r="M136" s="823">
        <f t="shared" si="35"/>
        <v>329501.16635672719</v>
      </c>
      <c r="N136" s="823">
        <f t="shared" si="35"/>
        <v>339715.70251378568</v>
      </c>
      <c r="O136" s="823">
        <f t="shared" si="35"/>
        <v>350246.88929171301</v>
      </c>
      <c r="P136" s="823">
        <f t="shared" si="35"/>
        <v>361104.54285975615</v>
      </c>
      <c r="Q136" s="823">
        <f t="shared" si="35"/>
        <v>372298.78368840856</v>
      </c>
      <c r="R136" s="823">
        <f t="shared" si="35"/>
        <v>383840.0459827492</v>
      </c>
      <c r="S136" s="823">
        <f t="shared" si="35"/>
        <v>0</v>
      </c>
    </row>
    <row r="137" spans="1:19" ht="15.75" customHeight="1">
      <c r="B137" s="822" t="s">
        <v>1589</v>
      </c>
      <c r="C137" s="818"/>
      <c r="D137" s="818"/>
      <c r="E137" s="818"/>
      <c r="F137" s="823">
        <f t="shared" ref="F137:R137" si="36">F66</f>
        <v>0</v>
      </c>
      <c r="G137" s="823">
        <f t="shared" si="36"/>
        <v>0</v>
      </c>
      <c r="H137" s="823">
        <f t="shared" si="36"/>
        <v>431681.25</v>
      </c>
      <c r="I137" s="823">
        <f t="shared" si="36"/>
        <v>486033.84375</v>
      </c>
      <c r="J137" s="823">
        <f t="shared" si="36"/>
        <v>503045.02828124992</v>
      </c>
      <c r="K137" s="823">
        <f t="shared" si="36"/>
        <v>520651.6042710935</v>
      </c>
      <c r="L137" s="823">
        <f t="shared" si="36"/>
        <v>1034238.5737341326</v>
      </c>
      <c r="M137" s="823">
        <f t="shared" si="36"/>
        <v>1115470.0295706044</v>
      </c>
      <c r="N137" s="823">
        <f t="shared" si="36"/>
        <v>1154511.4806055757</v>
      </c>
      <c r="O137" s="823">
        <f t="shared" si="36"/>
        <v>1194919.3824267704</v>
      </c>
      <c r="P137" s="823">
        <f t="shared" si="36"/>
        <v>1236741.5608117073</v>
      </c>
      <c r="Q137" s="823">
        <f t="shared" si="36"/>
        <v>531234.67334373842</v>
      </c>
      <c r="R137" s="823">
        <f t="shared" si="36"/>
        <v>0</v>
      </c>
      <c r="S137" s="818"/>
    </row>
    <row r="138" spans="1:19" ht="15.75" customHeight="1">
      <c r="B138" s="825" t="s">
        <v>1606</v>
      </c>
      <c r="C138" s="818"/>
      <c r="D138" s="818"/>
      <c r="E138" s="818"/>
      <c r="F138" s="818"/>
      <c r="G138" s="826">
        <f t="shared" ref="G138:S138" si="37">G128</f>
        <v>838000</v>
      </c>
      <c r="H138" s="826">
        <f t="shared" si="37"/>
        <v>863140</v>
      </c>
      <c r="I138" s="826">
        <f t="shared" si="37"/>
        <v>889034.2</v>
      </c>
      <c r="J138" s="826">
        <f t="shared" si="37"/>
        <v>915705.22600000002</v>
      </c>
      <c r="K138" s="826">
        <f t="shared" si="37"/>
        <v>943176.3827800001</v>
      </c>
      <c r="L138" s="826">
        <f t="shared" si="37"/>
        <v>971471.67426340003</v>
      </c>
      <c r="M138" s="826">
        <f t="shared" si="37"/>
        <v>1000615.824491302</v>
      </c>
      <c r="N138" s="826">
        <f t="shared" si="37"/>
        <v>1030634.299226041</v>
      </c>
      <c r="O138" s="826">
        <f t="shared" si="37"/>
        <v>1061553.3282028222</v>
      </c>
      <c r="P138" s="826">
        <f t="shared" si="37"/>
        <v>1093399.9280489068</v>
      </c>
      <c r="Q138" s="826">
        <f t="shared" si="37"/>
        <v>1126201.9258903742</v>
      </c>
      <c r="R138" s="826">
        <f t="shared" si="37"/>
        <v>1159987.9836670854</v>
      </c>
      <c r="S138" s="826">
        <f t="shared" si="37"/>
        <v>0</v>
      </c>
    </row>
    <row r="139" spans="1:19" ht="15.75" customHeight="1">
      <c r="B139" s="824" t="s">
        <v>1607</v>
      </c>
      <c r="C139" s="818"/>
      <c r="D139" s="818"/>
      <c r="E139" s="818"/>
      <c r="F139" s="827">
        <f>F57</f>
        <v>330000</v>
      </c>
      <c r="G139" s="826">
        <f t="shared" ref="G139:R139" si="38">G115+G101+G95+G82</f>
        <v>2078528</v>
      </c>
      <c r="H139" s="826">
        <f t="shared" si="38"/>
        <v>2140824</v>
      </c>
      <c r="I139" s="826">
        <f t="shared" si="38"/>
        <v>2204988.85</v>
      </c>
      <c r="J139" s="826">
        <f t="shared" si="38"/>
        <v>2271078.6155000003</v>
      </c>
      <c r="K139" s="826">
        <f t="shared" si="38"/>
        <v>2339151.0439650002</v>
      </c>
      <c r="L139" s="826">
        <f t="shared" si="38"/>
        <v>2409265.6152839502</v>
      </c>
      <c r="M139" s="826">
        <f t="shared" si="38"/>
        <v>2481483.5937424689</v>
      </c>
      <c r="N139" s="826">
        <f t="shared" si="38"/>
        <v>2555868.0815547425</v>
      </c>
      <c r="O139" s="826">
        <f t="shared" si="38"/>
        <v>2632484.0740013849</v>
      </c>
      <c r="P139" s="826">
        <f t="shared" si="38"/>
        <v>2711398.5162214264</v>
      </c>
      <c r="Q139" s="826">
        <f t="shared" si="38"/>
        <v>2792680.3617080692</v>
      </c>
      <c r="R139" s="826">
        <f t="shared" si="38"/>
        <v>2876400.6325593116</v>
      </c>
      <c r="S139" s="818"/>
    </row>
    <row r="140" spans="1:19" ht="15.75" customHeight="1">
      <c r="B140" s="818"/>
      <c r="C140" s="818"/>
      <c r="D140" s="818"/>
      <c r="E140" s="818"/>
      <c r="F140" s="818"/>
      <c r="G140" s="818"/>
      <c r="H140" s="818"/>
      <c r="I140" s="818"/>
      <c r="J140" s="818"/>
      <c r="K140" s="818"/>
      <c r="L140" s="818"/>
      <c r="M140" s="818"/>
      <c r="N140" s="818"/>
      <c r="O140" s="818"/>
      <c r="P140" s="818"/>
      <c r="Q140" s="818"/>
      <c r="R140" s="818"/>
      <c r="S140" s="818"/>
    </row>
    <row r="141" spans="1:19" ht="15.75" customHeight="1">
      <c r="B141" s="818"/>
      <c r="C141" s="818"/>
      <c r="D141" s="818"/>
      <c r="E141" s="818"/>
      <c r="F141" s="818"/>
      <c r="G141" s="818"/>
      <c r="H141" s="818"/>
      <c r="I141" s="818"/>
      <c r="J141" s="818"/>
      <c r="K141" s="818"/>
      <c r="L141" s="818"/>
      <c r="M141" s="818"/>
      <c r="N141" s="818"/>
      <c r="O141" s="818"/>
      <c r="P141" s="818"/>
      <c r="Q141" s="818"/>
      <c r="R141" s="818"/>
      <c r="S141" s="818"/>
    </row>
    <row r="142" spans="1:19" ht="15.75" customHeight="1">
      <c r="B142" s="822" t="s">
        <v>770</v>
      </c>
      <c r="C142" s="818"/>
      <c r="D142" s="818"/>
      <c r="E142" s="818"/>
      <c r="F142" s="828">
        <f t="shared" ref="F142:R142" si="39">SUM(F135:F139)</f>
        <v>920383.09</v>
      </c>
      <c r="G142" s="828">
        <f t="shared" si="39"/>
        <v>4720878</v>
      </c>
      <c r="H142" s="828">
        <f t="shared" si="39"/>
        <v>5295930.0999999996</v>
      </c>
      <c r="I142" s="828">
        <f t="shared" si="39"/>
        <v>5498010.5741000008</v>
      </c>
      <c r="J142" s="828">
        <f t="shared" si="39"/>
        <v>5667239.1142221</v>
      </c>
      <c r="K142" s="828">
        <f t="shared" si="39"/>
        <v>5841688.9930346087</v>
      </c>
      <c r="L142" s="828">
        <f t="shared" si="39"/>
        <v>6516885.8341225721</v>
      </c>
      <c r="M142" s="828">
        <f t="shared" si="39"/>
        <v>6764638.627741538</v>
      </c>
      <c r="N142" s="828">
        <f t="shared" si="39"/>
        <v>6975262.1859015739</v>
      </c>
      <c r="O142" s="828">
        <f t="shared" si="39"/>
        <v>7192466.8072061641</v>
      </c>
      <c r="P142" s="828">
        <f t="shared" si="39"/>
        <v>7416458.8383570574</v>
      </c>
      <c r="Q142" s="828">
        <f t="shared" si="39"/>
        <v>6898658.2780487249</v>
      </c>
      <c r="R142" s="828">
        <f t="shared" si="39"/>
        <v>6560834.7141632419</v>
      </c>
      <c r="S142" s="818"/>
    </row>
    <row r="143" spans="1:19" ht="15.75" customHeight="1">
      <c r="B143" s="818"/>
      <c r="C143" s="818"/>
      <c r="D143" s="818"/>
      <c r="E143" s="818"/>
      <c r="F143" s="818"/>
      <c r="G143" s="818"/>
      <c r="H143" s="818"/>
      <c r="I143" s="818"/>
      <c r="J143" s="818"/>
      <c r="K143" s="818"/>
      <c r="L143" s="818"/>
      <c r="M143" s="818"/>
      <c r="N143" s="818"/>
      <c r="O143" s="818"/>
      <c r="P143" s="818"/>
      <c r="Q143" s="818"/>
      <c r="R143" s="818"/>
      <c r="S143" s="818"/>
    </row>
    <row r="144" spans="1:19" ht="15.75" customHeight="1">
      <c r="A144" s="829" t="s">
        <v>1569</v>
      </c>
      <c r="B144" s="822" t="s">
        <v>1608</v>
      </c>
      <c r="C144" s="818"/>
      <c r="D144" s="818"/>
      <c r="E144" s="818"/>
      <c r="F144" s="830">
        <f>'P&amp;L'!I74</f>
        <v>920383.09</v>
      </c>
      <c r="G144" s="830">
        <f>'P&amp;L'!J74</f>
        <v>5428826.6670749998</v>
      </c>
      <c r="H144" s="830">
        <f>'P&amp;L'!K74</f>
        <v>6176768.3084447002</v>
      </c>
      <c r="I144" s="830">
        <f>'P&amp;L'!L74</f>
        <v>6400358.5071193147</v>
      </c>
      <c r="J144" s="830">
        <f>'P&amp;L'!M74</f>
        <v>6668534.5031332374</v>
      </c>
      <c r="K144" s="830">
        <f>'P&amp;L'!N74</f>
        <v>6864499.8596675787</v>
      </c>
      <c r="L144" s="830">
        <f>'P&amp;L'!O74</f>
        <v>7631363.8749076193</v>
      </c>
      <c r="M144" s="830">
        <f>'P&amp;L'!P74</f>
        <v>7995628.56795925</v>
      </c>
      <c r="N144" s="830">
        <f>'P&amp;L'!Q74</f>
        <v>8233544.0284722419</v>
      </c>
      <c r="O144" s="830">
        <f>'P&amp;L'!R74</f>
        <v>8478805.2593023404</v>
      </c>
      <c r="P144" s="830">
        <f>'P&amp;L'!S74</f>
        <v>8822974.3280485645</v>
      </c>
      <c r="Q144" s="830">
        <f>'P&amp;L'!T74</f>
        <v>8450200.2067563329</v>
      </c>
      <c r="R144" s="818"/>
      <c r="S144" s="818"/>
    </row>
    <row r="145" spans="1:26" ht="15.75" customHeight="1">
      <c r="B145" s="818"/>
      <c r="C145" s="818"/>
      <c r="D145" s="818"/>
      <c r="E145" s="818"/>
      <c r="F145" s="818"/>
      <c r="G145" s="818"/>
      <c r="H145" s="818"/>
      <c r="I145" s="818"/>
      <c r="J145" s="818"/>
      <c r="K145" s="818"/>
      <c r="L145" s="818"/>
      <c r="M145" s="818"/>
      <c r="N145" s="818"/>
      <c r="O145" s="818"/>
      <c r="P145" s="818"/>
      <c r="Q145" s="818"/>
      <c r="R145" s="818"/>
      <c r="S145" s="818"/>
    </row>
    <row r="146" spans="1:26" ht="15.75" customHeight="1">
      <c r="B146" s="824" t="s">
        <v>491</v>
      </c>
      <c r="C146" s="818"/>
      <c r="D146" s="818"/>
      <c r="E146" s="818"/>
      <c r="F146" s="830">
        <f t="shared" ref="F146:R146" si="40">F142-F144</f>
        <v>0</v>
      </c>
      <c r="G146" s="830">
        <f t="shared" si="40"/>
        <v>-707948.66707499977</v>
      </c>
      <c r="H146" s="830">
        <f t="shared" si="40"/>
        <v>-880838.20844470058</v>
      </c>
      <c r="I146" s="830">
        <f t="shared" si="40"/>
        <v>-902347.93301931396</v>
      </c>
      <c r="J146" s="830">
        <f t="shared" si="40"/>
        <v>-1001295.3889111374</v>
      </c>
      <c r="K146" s="830">
        <f t="shared" si="40"/>
        <v>-1022810.86663297</v>
      </c>
      <c r="L146" s="830">
        <f t="shared" si="40"/>
        <v>-1114478.0407850472</v>
      </c>
      <c r="M146" s="830">
        <f t="shared" si="40"/>
        <v>-1230989.940217712</v>
      </c>
      <c r="N146" s="830">
        <f t="shared" si="40"/>
        <v>-1258281.8425706681</v>
      </c>
      <c r="O146" s="830">
        <f t="shared" si="40"/>
        <v>-1286338.4520961763</v>
      </c>
      <c r="P146" s="830">
        <f t="shared" si="40"/>
        <v>-1406515.4896915071</v>
      </c>
      <c r="Q146" s="830">
        <f t="shared" si="40"/>
        <v>-1551541.928707608</v>
      </c>
      <c r="R146" s="830">
        <f t="shared" si="40"/>
        <v>6560834.7141632419</v>
      </c>
      <c r="S146" s="818"/>
    </row>
    <row r="147" spans="1:26" ht="15.75" customHeight="1">
      <c r="B147" s="824"/>
      <c r="C147" s="818"/>
      <c r="D147" s="818"/>
      <c r="E147" s="818"/>
      <c r="F147" s="830"/>
      <c r="G147" s="830"/>
      <c r="H147" s="830"/>
      <c r="I147" s="830"/>
      <c r="J147" s="830"/>
      <c r="K147" s="830"/>
      <c r="L147" s="830"/>
      <c r="M147" s="830"/>
      <c r="N147" s="830"/>
      <c r="O147" s="830"/>
      <c r="P147" s="830"/>
      <c r="Q147" s="830"/>
      <c r="R147" s="830"/>
      <c r="S147" s="818"/>
    </row>
    <row r="148" spans="1:26" ht="15.75" customHeight="1">
      <c r="B148" s="824" t="s">
        <v>1609</v>
      </c>
      <c r="C148" s="818"/>
      <c r="D148" s="818"/>
      <c r="E148" s="818"/>
      <c r="F148" s="830">
        <f>'P&amp;L'!I72</f>
        <v>0</v>
      </c>
      <c r="G148" s="830">
        <f>'P&amp;L'!J72</f>
        <v>208000</v>
      </c>
      <c r="H148" s="830">
        <f>'P&amp;L'!K72</f>
        <v>366000</v>
      </c>
      <c r="I148" s="830">
        <f>'P&amp;L'!L72</f>
        <v>372180</v>
      </c>
      <c r="J148" s="830">
        <f>'P&amp;L'!M72</f>
        <v>454254.48</v>
      </c>
      <c r="K148" s="830">
        <f>'P&amp;L'!N72</f>
        <v>462122.11440000002</v>
      </c>
      <c r="L148" s="830">
        <f>'P&amp;L'!O72</f>
        <v>539782.22229000006</v>
      </c>
      <c r="M148" s="830">
        <f>'P&amp;L'!P72</f>
        <v>641918.30378515006</v>
      </c>
      <c r="N148" s="830">
        <f>'P&amp;L'!Q72</f>
        <v>654455.85289870459</v>
      </c>
      <c r="O148" s="830">
        <f>'P&amp;L'!R72</f>
        <v>667369.52848566568</v>
      </c>
      <c r="P148" s="830">
        <f>'P&amp;L'!S72</f>
        <v>772004.73720828281</v>
      </c>
      <c r="Q148" s="830">
        <f>'P&amp;L'!T72</f>
        <v>901079.86208517849</v>
      </c>
      <c r="R148" s="830">
        <f>'P&amp;L'!U72</f>
        <v>0</v>
      </c>
      <c r="S148" s="818"/>
    </row>
    <row r="149" spans="1:26" ht="15.75" customHeight="1">
      <c r="B149" s="824" t="s">
        <v>1610</v>
      </c>
      <c r="C149" s="818"/>
      <c r="D149" s="818"/>
      <c r="E149" s="818"/>
      <c r="F149" s="830">
        <f>'P&amp;L'!I70</f>
        <v>0</v>
      </c>
      <c r="G149" s="830">
        <f>'P&amp;L'!J70</f>
        <v>36087</v>
      </c>
      <c r="H149" s="830">
        <f>'P&amp;L'!K70</f>
        <v>37205.697</v>
      </c>
      <c r="I149" s="830">
        <f>'P&amp;L'!L70</f>
        <v>38359.073606999998</v>
      </c>
      <c r="J149" s="830">
        <f>'P&amp;L'!M70</f>
        <v>39548.204888816996</v>
      </c>
      <c r="K149" s="830">
        <f>'P&amp;L'!N70</f>
        <v>40774.199240370312</v>
      </c>
      <c r="L149" s="830">
        <f>'P&amp;L'!O70</f>
        <v>42038.199416821786</v>
      </c>
      <c r="M149" s="830">
        <f>'P&amp;L'!P70</f>
        <v>43341.383598743261</v>
      </c>
      <c r="N149" s="830">
        <f>'P&amp;L'!Q70</f>
        <v>44684.966490304294</v>
      </c>
      <c r="O149" s="830">
        <f>'P&amp;L'!R70</f>
        <v>46070.200451503733</v>
      </c>
      <c r="P149" s="830">
        <f>'P&amp;L'!S70</f>
        <v>47498.376665500349</v>
      </c>
      <c r="Q149" s="830">
        <f>'P&amp;L'!T70</f>
        <v>48970.826342130866</v>
      </c>
      <c r="R149" s="830"/>
      <c r="S149" s="818"/>
    </row>
    <row r="150" spans="1:26" ht="15.75" customHeight="1">
      <c r="B150" s="824" t="s">
        <v>1611</v>
      </c>
      <c r="C150" s="818"/>
      <c r="D150" s="818"/>
      <c r="E150" s="818"/>
      <c r="F150" s="830">
        <f>'P&amp;L'!I63</f>
        <v>0</v>
      </c>
      <c r="G150" s="830">
        <f>'P&amp;L'!J63</f>
        <v>93861.66707499999</v>
      </c>
      <c r="H150" s="830">
        <f>'P&amp;L'!K63</f>
        <v>98382.511444699994</v>
      </c>
      <c r="I150" s="830">
        <f>'P&amp;L'!L63</f>
        <v>103077.60941231452</v>
      </c>
      <c r="J150" s="830">
        <f>'P&amp;L'!M63</f>
        <v>109043.17277232</v>
      </c>
      <c r="K150" s="830">
        <f>'P&amp;L'!N63</f>
        <v>111503.783461349</v>
      </c>
      <c r="L150" s="830">
        <f>'P&amp;L'!O63</f>
        <v>114036.58030869531</v>
      </c>
      <c r="M150" s="830">
        <f>'P&amp;L'!P63</f>
        <v>116643.68809504967</v>
      </c>
      <c r="N150" s="830">
        <f>'P&amp;L'!Q63</f>
        <v>119327.29432442199</v>
      </c>
      <c r="O150" s="830">
        <f>'P&amp;L'!R63</f>
        <v>122089.65108033853</v>
      </c>
      <c r="P150" s="830">
        <f>'P&amp;L'!S63</f>
        <v>124933.07693708719</v>
      </c>
      <c r="Q150" s="830">
        <f>'P&amp;L'!T63</f>
        <v>127859.95892764669</v>
      </c>
      <c r="R150" s="830">
        <f>'P&amp;L'!U63</f>
        <v>0</v>
      </c>
      <c r="S150" s="818"/>
    </row>
    <row r="151" spans="1:26" ht="15.75" customHeight="1">
      <c r="B151" s="824" t="s">
        <v>486</v>
      </c>
      <c r="C151" s="818"/>
      <c r="D151" s="818"/>
      <c r="E151" s="818"/>
      <c r="F151" s="830">
        <f>'P&amp;L'!I55</f>
        <v>0</v>
      </c>
      <c r="G151" s="830">
        <f>'P&amp;L'!J55</f>
        <v>277500</v>
      </c>
      <c r="H151" s="830">
        <f>'P&amp;L'!K55</f>
        <v>284437.5</v>
      </c>
      <c r="I151" s="830">
        <f>'P&amp;L'!L55</f>
        <v>291548.4375</v>
      </c>
      <c r="J151" s="830">
        <f>'P&amp;L'!M55</f>
        <v>298837.14843749994</v>
      </c>
      <c r="K151" s="830">
        <f>'P&amp;L'!N55</f>
        <v>306308.07714843744</v>
      </c>
      <c r="L151" s="830">
        <f>'P&amp;L'!O55</f>
        <v>313965.7790771483</v>
      </c>
      <c r="M151" s="830">
        <f>'P&amp;L'!P55</f>
        <v>321814.92355407699</v>
      </c>
      <c r="N151" s="830">
        <f>'P&amp;L'!Q55</f>
        <v>329860.29664292891</v>
      </c>
      <c r="O151" s="830">
        <f>'P&amp;L'!R55</f>
        <v>338106.80405900208</v>
      </c>
      <c r="P151" s="830">
        <f>'P&amp;L'!S55</f>
        <v>346559.47416047717</v>
      </c>
      <c r="Q151" s="830">
        <f>'P&amp;L'!T55</f>
        <v>355223.46101448912</v>
      </c>
      <c r="R151" s="830">
        <f>'P&amp;L'!U55</f>
        <v>0</v>
      </c>
      <c r="S151" s="818"/>
    </row>
    <row r="152" spans="1:26" ht="15.75" customHeight="1">
      <c r="B152" s="824" t="s">
        <v>487</v>
      </c>
      <c r="C152" s="818"/>
      <c r="D152" s="818"/>
      <c r="E152" s="818"/>
      <c r="F152" s="830">
        <f>'P&amp;L'!I56</f>
        <v>0</v>
      </c>
      <c r="G152" s="830">
        <f>'P&amp;L'!J56</f>
        <v>92500</v>
      </c>
      <c r="H152" s="830">
        <f>'P&amp;L'!K56</f>
        <v>94812.5</v>
      </c>
      <c r="I152" s="830">
        <f>'P&amp;L'!L56</f>
        <v>97182.8125</v>
      </c>
      <c r="J152" s="830">
        <f>'P&amp;L'!M56</f>
        <v>99612.3828125</v>
      </c>
      <c r="K152" s="830">
        <f>'P&amp;L'!N56</f>
        <v>102102.69238281249</v>
      </c>
      <c r="L152" s="830">
        <f>'P&amp;L'!O56</f>
        <v>104655.25969238278</v>
      </c>
      <c r="M152" s="830">
        <f>'P&amp;L'!P56</f>
        <v>107271.64118469234</v>
      </c>
      <c r="N152" s="830">
        <f>'P&amp;L'!Q56</f>
        <v>109953.43221430965</v>
      </c>
      <c r="O152" s="830">
        <f>'P&amp;L'!R56</f>
        <v>112702.26801966736</v>
      </c>
      <c r="P152" s="830">
        <f>'P&amp;L'!S56</f>
        <v>115519.82472015906</v>
      </c>
      <c r="Q152" s="830">
        <f>'P&amp;L'!T56</f>
        <v>118407.82033816304</v>
      </c>
      <c r="R152" s="830">
        <f>'P&amp;L'!U56</f>
        <v>0</v>
      </c>
      <c r="S152" s="818"/>
    </row>
    <row r="153" spans="1:26" ht="15.75" customHeight="1">
      <c r="B153" s="824"/>
      <c r="C153" s="818"/>
      <c r="D153" s="818"/>
      <c r="E153" s="818"/>
      <c r="F153" s="830"/>
      <c r="G153" s="830"/>
      <c r="H153" s="830"/>
      <c r="I153" s="830"/>
      <c r="J153" s="830"/>
      <c r="K153" s="830"/>
      <c r="L153" s="830"/>
      <c r="M153" s="830"/>
      <c r="N153" s="830"/>
      <c r="O153" s="830"/>
      <c r="P153" s="830"/>
      <c r="Q153" s="830"/>
      <c r="R153" s="830"/>
      <c r="S153" s="818"/>
    </row>
    <row r="154" spans="1:26" ht="15.75" customHeight="1">
      <c r="B154" s="824"/>
      <c r="C154" s="818"/>
      <c r="D154" s="818"/>
      <c r="E154" s="818"/>
      <c r="F154" s="830"/>
      <c r="G154" s="830"/>
      <c r="H154" s="830"/>
      <c r="I154" s="830"/>
      <c r="J154" s="830"/>
      <c r="K154" s="830"/>
      <c r="L154" s="830"/>
      <c r="M154" s="830"/>
      <c r="N154" s="830"/>
      <c r="O154" s="830"/>
      <c r="P154" s="830"/>
      <c r="Q154" s="830"/>
      <c r="R154" s="830"/>
      <c r="S154" s="818"/>
    </row>
    <row r="155" spans="1:26" ht="15.75" customHeight="1">
      <c r="A155" s="829"/>
      <c r="B155" s="822" t="s">
        <v>1612</v>
      </c>
      <c r="C155" s="822"/>
      <c r="D155" s="822"/>
      <c r="E155" s="822"/>
      <c r="F155" s="831">
        <f>F146+F148</f>
        <v>0</v>
      </c>
      <c r="G155" s="831">
        <f t="shared" ref="G155:Q155" si="41">SUM(G146:G152)</f>
        <v>2.3283064365386963E-10</v>
      </c>
      <c r="H155" s="831">
        <f t="shared" si="41"/>
        <v>-5.8207660913467407E-10</v>
      </c>
      <c r="I155" s="831">
        <f t="shared" si="41"/>
        <v>5.8207660913467407E-10</v>
      </c>
      <c r="J155" s="831">
        <f t="shared" si="41"/>
        <v>-4.6566128730773926E-10</v>
      </c>
      <c r="K155" s="831">
        <f t="shared" si="41"/>
        <v>-7.7125150710344315E-10</v>
      </c>
      <c r="L155" s="831">
        <f t="shared" si="41"/>
        <v>1.0622898116707802E-9</v>
      </c>
      <c r="M155" s="831">
        <f t="shared" si="41"/>
        <v>3.637978807091713E-10</v>
      </c>
      <c r="N155" s="831">
        <f t="shared" si="41"/>
        <v>1.4115357771515846E-9</v>
      </c>
      <c r="O155" s="831">
        <f t="shared" si="41"/>
        <v>1.0477378964424133E-9</v>
      </c>
      <c r="P155" s="831">
        <f t="shared" si="41"/>
        <v>-5.2386894822120667E-10</v>
      </c>
      <c r="Q155" s="831">
        <f t="shared" si="41"/>
        <v>2.1827872842550278E-10</v>
      </c>
      <c r="R155" s="831"/>
      <c r="S155" s="822"/>
      <c r="T155" s="829"/>
      <c r="U155" s="829"/>
      <c r="V155" s="829"/>
      <c r="W155" s="829"/>
      <c r="X155" s="829"/>
      <c r="Y155" s="829"/>
      <c r="Z155" s="829"/>
    </row>
    <row r="156" spans="1:26" ht="15.75" customHeight="1">
      <c r="B156" s="818"/>
      <c r="C156" s="818"/>
      <c r="D156" s="818"/>
      <c r="E156" s="818"/>
      <c r="F156" s="818"/>
      <c r="G156" s="818"/>
      <c r="H156" s="818"/>
      <c r="I156" s="818"/>
      <c r="J156" s="818"/>
      <c r="K156" s="818"/>
      <c r="L156" s="818"/>
      <c r="M156" s="818"/>
      <c r="N156" s="818"/>
      <c r="O156" s="818"/>
      <c r="P156" s="818"/>
      <c r="Q156" s="818"/>
      <c r="R156" s="818"/>
      <c r="S156" s="818"/>
    </row>
    <row r="157" spans="1:26" ht="15.75" customHeight="1">
      <c r="B157" s="822" t="s">
        <v>369</v>
      </c>
      <c r="C157" s="818"/>
      <c r="D157" s="818"/>
      <c r="E157" s="818"/>
      <c r="F157" s="818"/>
      <c r="G157" s="818"/>
      <c r="H157" s="818"/>
      <c r="I157" s="818"/>
      <c r="J157" s="818"/>
      <c r="K157" s="818"/>
      <c r="L157" s="818"/>
      <c r="M157" s="818"/>
      <c r="N157" s="818"/>
      <c r="O157" s="818"/>
      <c r="P157" s="818"/>
      <c r="Q157" s="818"/>
      <c r="R157" s="818"/>
      <c r="S157" s="818"/>
    </row>
    <row r="158" spans="1:26" ht="15.75" customHeight="1">
      <c r="B158" s="824" t="s">
        <v>287</v>
      </c>
      <c r="C158" s="818"/>
      <c r="D158" s="818"/>
      <c r="E158" s="818"/>
      <c r="F158" s="823">
        <f t="shared" ref="F158:R158" si="42">F74</f>
        <v>0</v>
      </c>
      <c r="G158" s="823">
        <f t="shared" si="42"/>
        <v>2168980.59</v>
      </c>
      <c r="H158" s="823">
        <f t="shared" si="42"/>
        <v>2325901.7123999991</v>
      </c>
      <c r="I158" s="823">
        <f t="shared" si="42"/>
        <v>2489948.7060000002</v>
      </c>
      <c r="J158" s="823">
        <f t="shared" si="42"/>
        <v>2536926.42</v>
      </c>
      <c r="K158" s="823">
        <f t="shared" si="42"/>
        <v>2611117.7526000002</v>
      </c>
      <c r="L158" s="823">
        <f t="shared" si="42"/>
        <v>2687534.8251780006</v>
      </c>
      <c r="M158" s="823">
        <f t="shared" si="42"/>
        <v>2766244.4099333407</v>
      </c>
      <c r="N158" s="823">
        <f t="shared" si="42"/>
        <v>2847315.2822313411</v>
      </c>
      <c r="O158" s="823">
        <f t="shared" si="42"/>
        <v>2930818.2806982808</v>
      </c>
      <c r="P158" s="823">
        <f t="shared" si="42"/>
        <v>3016826.3691192307</v>
      </c>
      <c r="Q158" s="823">
        <f t="shared" si="42"/>
        <v>3105414.7001928072</v>
      </c>
      <c r="R158" s="823">
        <f t="shared" si="42"/>
        <v>0</v>
      </c>
      <c r="S158" s="818"/>
    </row>
    <row r="159" spans="1:26" ht="15.75" customHeight="1"/>
    <row r="160" spans="1:26"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E699"/>
  </sheetPr>
  <dimension ref="A1:AE1004"/>
  <sheetViews>
    <sheetView showGridLines="0" topLeftCell="A20" workbookViewId="0"/>
  </sheetViews>
  <sheetFormatPr defaultColWidth="12.6328125" defaultRowHeight="15" customHeight="1" outlineLevelCol="1"/>
  <cols>
    <col min="1" max="1" width="62.6328125" customWidth="1"/>
    <col min="2" max="2" width="33.90625" customWidth="1"/>
    <col min="3" max="3" width="36.36328125" customWidth="1"/>
    <col min="4" max="4" width="30.453125" customWidth="1"/>
    <col min="5" max="5" width="16.36328125" customWidth="1"/>
    <col min="6" max="7" width="13" customWidth="1"/>
    <col min="8" max="8" width="16.7265625" customWidth="1"/>
    <col min="9" max="11" width="13" customWidth="1" outlineLevel="1"/>
    <col min="12" max="12" width="16.453125" customWidth="1" outlineLevel="1"/>
    <col min="13" max="13" width="19.453125" customWidth="1" outlineLevel="1"/>
    <col min="14" max="15" width="15.453125" customWidth="1" outlineLevel="1"/>
    <col min="16" max="16" width="24.90625" customWidth="1" outlineLevel="1"/>
    <col min="17" max="17" width="14.36328125" customWidth="1" outlineLevel="1"/>
    <col min="18" max="20" width="13" customWidth="1" outlineLevel="1"/>
    <col min="21" max="21" width="11.453125" customWidth="1" outlineLevel="1"/>
    <col min="22" max="26" width="16.36328125" customWidth="1" outlineLevel="1"/>
    <col min="27" max="27" width="13" customWidth="1" outlineLevel="1"/>
    <col min="28" max="28" width="39.08984375" customWidth="1" outlineLevel="1"/>
    <col min="29" max="29" width="25.26953125" customWidth="1" outlineLevel="1"/>
    <col min="30" max="30" width="13.08984375" customWidth="1" outlineLevel="1"/>
  </cols>
  <sheetData>
    <row r="1" spans="1:30" ht="18" customHeight="1"/>
    <row r="2" spans="1:30" ht="15.75" customHeight="1">
      <c r="A2" s="832" t="s">
        <v>1613</v>
      </c>
      <c r="B2" s="833"/>
      <c r="C2" s="409"/>
      <c r="D2" s="409"/>
      <c r="E2" s="409"/>
      <c r="F2" s="409"/>
      <c r="I2" s="26"/>
      <c r="J2" s="26"/>
      <c r="K2" s="26"/>
      <c r="L2" s="26"/>
      <c r="M2" s="26"/>
      <c r="N2" s="26"/>
      <c r="O2" s="26"/>
      <c r="P2" s="26"/>
      <c r="Q2" s="26"/>
      <c r="R2" s="26"/>
      <c r="S2" s="26"/>
      <c r="T2" s="26"/>
      <c r="U2" s="26"/>
      <c r="V2" s="834"/>
      <c r="W2" s="834"/>
      <c r="X2" s="834"/>
      <c r="Y2" s="834"/>
      <c r="Z2" s="176"/>
      <c r="AA2" s="176"/>
      <c r="AB2" s="26"/>
    </row>
    <row r="3" spans="1:30" ht="15" customHeight="1">
      <c r="A3" s="140"/>
      <c r="B3" s="409"/>
      <c r="C3" s="409"/>
      <c r="D3" s="409"/>
      <c r="E3" s="409"/>
      <c r="F3" s="409"/>
      <c r="I3" s="26"/>
      <c r="J3" s="26"/>
      <c r="K3" s="26"/>
      <c r="L3" s="26"/>
      <c r="M3" s="26"/>
      <c r="N3" s="26"/>
      <c r="O3" s="26"/>
      <c r="P3" s="26"/>
      <c r="Q3" s="26"/>
      <c r="R3" s="26"/>
      <c r="S3" s="26"/>
      <c r="T3" s="26"/>
      <c r="U3" s="26"/>
      <c r="V3" s="834"/>
      <c r="W3" s="834"/>
      <c r="X3" s="834"/>
      <c r="Y3" s="834"/>
      <c r="Z3" s="176"/>
      <c r="AA3" s="176"/>
      <c r="AB3" s="26"/>
    </row>
    <row r="4" spans="1:30" ht="15" customHeight="1">
      <c r="A4" s="150"/>
      <c r="B4" s="140"/>
      <c r="C4" s="557"/>
      <c r="D4" s="557"/>
      <c r="E4" s="557"/>
      <c r="F4" s="557"/>
      <c r="I4" s="557"/>
      <c r="J4" s="557"/>
      <c r="K4" s="557"/>
      <c r="L4" s="557"/>
      <c r="M4" s="557"/>
      <c r="N4" s="557"/>
      <c r="O4" s="557"/>
      <c r="P4" s="557"/>
      <c r="Q4" s="557"/>
      <c r="R4" s="557"/>
      <c r="S4" s="557"/>
      <c r="T4" s="835"/>
      <c r="U4" s="835"/>
      <c r="V4" s="836"/>
      <c r="W4" s="836"/>
      <c r="X4" s="836"/>
      <c r="Y4" s="836"/>
      <c r="Z4" s="835"/>
      <c r="AA4" s="835"/>
      <c r="AB4" s="26"/>
    </row>
    <row r="5" spans="1:30" ht="18" customHeight="1">
      <c r="A5" s="627"/>
      <c r="B5" s="278" t="s">
        <v>1614</v>
      </c>
      <c r="C5" s="837"/>
      <c r="D5" s="837"/>
      <c r="E5" s="180"/>
      <c r="F5" s="180"/>
      <c r="I5" s="180"/>
      <c r="J5" s="180"/>
      <c r="K5" s="180"/>
      <c r="L5" s="180"/>
      <c r="M5" s="180"/>
      <c r="N5" s="180"/>
      <c r="O5" s="180"/>
      <c r="P5" s="180"/>
      <c r="Q5" s="180"/>
      <c r="R5" s="180"/>
      <c r="S5" s="180"/>
      <c r="T5" s="180"/>
      <c r="U5" s="180"/>
      <c r="V5" s="278"/>
      <c r="W5" s="278"/>
      <c r="X5" s="278"/>
      <c r="Y5" s="278"/>
      <c r="Z5" s="148"/>
      <c r="AA5" s="148"/>
      <c r="AB5" s="180"/>
    </row>
    <row r="6" spans="1:30" ht="18" customHeight="1">
      <c r="A6" s="627"/>
      <c r="B6" s="837" t="s">
        <v>1615</v>
      </c>
      <c r="C6" s="837"/>
      <c r="D6" s="148"/>
      <c r="E6" s="838">
        <f>E36</f>
        <v>2045000</v>
      </c>
      <c r="F6" s="180"/>
      <c r="I6" s="180"/>
      <c r="J6" s="180"/>
      <c r="K6" s="180"/>
      <c r="L6" s="180"/>
      <c r="M6" s="180"/>
      <c r="N6" s="180"/>
      <c r="O6" s="180"/>
      <c r="P6" s="180"/>
      <c r="Q6" s="180"/>
      <c r="R6" s="180"/>
      <c r="S6" s="180"/>
      <c r="T6" s="180"/>
      <c r="U6" s="180"/>
      <c r="V6" s="278"/>
      <c r="W6" s="278"/>
      <c r="X6" s="278"/>
      <c r="Y6" s="278"/>
      <c r="Z6" s="148"/>
      <c r="AB6" s="1428"/>
    </row>
    <row r="7" spans="1:30" ht="18" customHeight="1">
      <c r="A7" s="627"/>
      <c r="B7" s="837" t="s">
        <v>944</v>
      </c>
      <c r="C7" s="837"/>
      <c r="D7" s="148"/>
      <c r="E7" s="838">
        <f>E48</f>
        <v>6580000</v>
      </c>
      <c r="F7" s="180"/>
      <c r="I7" s="180"/>
      <c r="J7" s="180"/>
      <c r="K7" s="180"/>
      <c r="L7" s="180"/>
      <c r="M7" s="180"/>
      <c r="N7" s="180"/>
      <c r="O7" s="180"/>
      <c r="P7" s="180"/>
      <c r="Q7" s="180"/>
      <c r="R7" s="180"/>
      <c r="S7" s="180"/>
      <c r="T7" s="148"/>
      <c r="U7" s="180"/>
      <c r="V7" s="278"/>
      <c r="W7" s="278"/>
      <c r="X7" s="278"/>
      <c r="Y7" s="278"/>
      <c r="Z7" s="148"/>
      <c r="AB7" s="1305"/>
    </row>
    <row r="8" spans="1:30" ht="18" customHeight="1">
      <c r="A8" s="627"/>
      <c r="B8" s="837" t="s">
        <v>946</v>
      </c>
      <c r="C8" s="837"/>
      <c r="D8" s="148"/>
      <c r="E8" s="838">
        <f>E58</f>
        <v>1500000</v>
      </c>
      <c r="F8" s="180"/>
      <c r="I8" s="180"/>
      <c r="J8" s="180"/>
      <c r="K8" s="180"/>
      <c r="L8" s="180"/>
      <c r="M8" s="180"/>
      <c r="N8" s="180"/>
      <c r="O8" s="180"/>
      <c r="P8" s="180"/>
      <c r="Q8" s="180"/>
      <c r="R8" s="180"/>
      <c r="S8" s="180"/>
      <c r="T8" s="148"/>
      <c r="U8" s="180"/>
      <c r="V8" s="278"/>
      <c r="W8" s="278"/>
      <c r="X8" s="278"/>
      <c r="Y8" s="278"/>
      <c r="Z8" s="148"/>
      <c r="AB8" s="1305"/>
    </row>
    <row r="9" spans="1:30" ht="18" customHeight="1">
      <c r="A9" s="627"/>
      <c r="B9" s="837" t="s">
        <v>948</v>
      </c>
      <c r="C9" s="837"/>
      <c r="D9" s="148"/>
      <c r="E9" s="838">
        <f>E72</f>
        <v>490000</v>
      </c>
      <c r="F9" s="180"/>
      <c r="I9" s="180"/>
      <c r="J9" s="180"/>
      <c r="K9" s="180"/>
      <c r="L9" s="180"/>
      <c r="M9" s="180"/>
      <c r="N9" s="180"/>
      <c r="O9" s="180"/>
      <c r="P9" s="180"/>
      <c r="Q9" s="180"/>
      <c r="R9" s="180"/>
      <c r="S9" s="180"/>
      <c r="T9" s="148"/>
      <c r="U9" s="837"/>
      <c r="V9" s="278"/>
      <c r="W9" s="278"/>
      <c r="X9" s="278"/>
      <c r="Y9" s="278"/>
      <c r="Z9" s="148"/>
      <c r="AB9" s="1305"/>
    </row>
    <row r="10" spans="1:30" ht="18" customHeight="1">
      <c r="A10" s="627"/>
      <c r="B10" s="837" t="s">
        <v>950</v>
      </c>
      <c r="C10" s="837"/>
      <c r="D10" s="148"/>
      <c r="E10" s="838">
        <f>E103</f>
        <v>1900000</v>
      </c>
      <c r="F10" s="180"/>
      <c r="I10" s="180"/>
      <c r="J10" s="180"/>
      <c r="K10" s="180"/>
      <c r="L10" s="180"/>
      <c r="M10" s="180"/>
      <c r="N10" s="180"/>
      <c r="O10" s="180"/>
      <c r="P10" s="180"/>
      <c r="Q10" s="180"/>
      <c r="R10" s="180"/>
      <c r="S10" s="180"/>
      <c r="T10" s="148"/>
      <c r="U10" s="180"/>
      <c r="V10" s="278"/>
      <c r="W10" s="278"/>
      <c r="X10" s="278"/>
      <c r="Y10" s="278"/>
      <c r="Z10" s="148"/>
      <c r="AB10" s="1305"/>
    </row>
    <row r="11" spans="1:30" ht="18" customHeight="1">
      <c r="A11" s="627"/>
      <c r="B11" s="837" t="s">
        <v>952</v>
      </c>
      <c r="C11" s="837"/>
      <c r="D11" s="148"/>
      <c r="E11" s="838">
        <f>E116</f>
        <v>5000000</v>
      </c>
      <c r="F11" s="180"/>
      <c r="I11" s="180"/>
      <c r="J11" s="180"/>
      <c r="K11" s="180"/>
      <c r="L11" s="180"/>
      <c r="M11" s="180"/>
      <c r="N11" s="180"/>
      <c r="O11" s="180"/>
      <c r="P11" s="180"/>
      <c r="Q11" s="180"/>
      <c r="R11" s="180"/>
      <c r="S11" s="180"/>
      <c r="T11" s="148"/>
      <c r="U11" s="180"/>
      <c r="V11" s="278"/>
      <c r="W11" s="278"/>
      <c r="X11" s="278"/>
      <c r="Y11" s="278"/>
      <c r="Z11" s="148"/>
      <c r="AB11" s="1305"/>
    </row>
    <row r="12" spans="1:30" ht="15" customHeight="1">
      <c r="A12" s="627"/>
      <c r="B12" s="837" t="s">
        <v>1616</v>
      </c>
      <c r="C12" s="837"/>
      <c r="D12" s="148"/>
      <c r="E12" s="838">
        <f>E122</f>
        <v>520000</v>
      </c>
      <c r="F12" s="180"/>
      <c r="I12" s="180"/>
      <c r="J12" s="180"/>
      <c r="K12" s="180"/>
      <c r="L12" s="180"/>
      <c r="M12" s="180"/>
      <c r="N12" s="180"/>
      <c r="O12" s="180"/>
      <c r="P12" s="180"/>
      <c r="Q12" s="180"/>
      <c r="R12" s="180"/>
      <c r="S12" s="180"/>
      <c r="T12" s="148"/>
      <c r="U12" s="180"/>
      <c r="V12" s="278"/>
      <c r="W12" s="278"/>
      <c r="X12" s="278"/>
      <c r="Y12" s="278"/>
      <c r="Z12" s="148"/>
      <c r="AB12" s="1305"/>
    </row>
    <row r="13" spans="1:30" ht="15" customHeight="1">
      <c r="A13" s="627"/>
      <c r="B13" s="837" t="s">
        <v>1617</v>
      </c>
      <c r="C13" s="837"/>
      <c r="D13" s="148"/>
      <c r="E13" s="838">
        <f>E129</f>
        <v>0</v>
      </c>
      <c r="F13" s="180"/>
      <c r="I13" s="180"/>
      <c r="J13" s="180"/>
      <c r="K13" s="180"/>
      <c r="L13" s="180"/>
      <c r="M13" s="180"/>
      <c r="N13" s="180"/>
      <c r="O13" s="180"/>
      <c r="P13" s="180"/>
      <c r="Q13" s="180"/>
      <c r="R13" s="180"/>
      <c r="S13" s="180"/>
      <c r="T13" s="148"/>
      <c r="U13" s="180"/>
      <c r="V13" s="278"/>
      <c r="W13" s="278"/>
      <c r="X13" s="278"/>
      <c r="Y13" s="278"/>
      <c r="Z13" s="148"/>
      <c r="AB13" s="1305"/>
    </row>
    <row r="14" spans="1:30" ht="15" customHeight="1">
      <c r="A14" s="627"/>
      <c r="B14" s="837" t="s">
        <v>1618</v>
      </c>
      <c r="C14" s="837"/>
      <c r="D14" s="148"/>
      <c r="E14" s="838">
        <f>E160</f>
        <v>785500</v>
      </c>
      <c r="F14" s="180"/>
      <c r="I14" s="180"/>
      <c r="J14" s="180"/>
      <c r="K14" s="180"/>
      <c r="L14" s="180"/>
      <c r="M14" s="180"/>
      <c r="N14" s="180"/>
      <c r="O14" s="180"/>
      <c r="P14" s="180"/>
      <c r="Q14" s="180"/>
      <c r="R14" s="180"/>
      <c r="S14" s="180"/>
      <c r="T14" s="148"/>
      <c r="U14" s="180"/>
      <c r="V14" s="278"/>
      <c r="W14" s="278"/>
      <c r="X14" s="278"/>
      <c r="Y14" s="278"/>
      <c r="Z14" s="148"/>
    </row>
    <row r="15" spans="1:30" ht="15" customHeight="1">
      <c r="A15" s="176"/>
      <c r="B15" s="278" t="s">
        <v>770</v>
      </c>
      <c r="C15" s="839" t="s">
        <v>336</v>
      </c>
      <c r="D15" s="837"/>
      <c r="E15" s="840">
        <f>SUM(E6:E14)</f>
        <v>18820500</v>
      </c>
      <c r="F15" s="278"/>
      <c r="I15" s="278"/>
      <c r="J15" s="278"/>
      <c r="K15" s="278"/>
      <c r="L15" s="278"/>
      <c r="M15" s="278"/>
      <c r="N15" s="278"/>
      <c r="O15" s="278"/>
      <c r="P15" s="278"/>
      <c r="Q15" s="278"/>
      <c r="R15" s="278"/>
      <c r="S15" s="278"/>
      <c r="T15" s="180"/>
      <c r="U15" s="837"/>
      <c r="V15" s="278"/>
      <c r="W15" s="278"/>
      <c r="X15" s="278"/>
      <c r="Y15" s="278"/>
      <c r="Z15" s="148"/>
      <c r="AA15" s="148"/>
      <c r="AB15" s="180"/>
    </row>
    <row r="16" spans="1:30" ht="15" customHeight="1">
      <c r="A16" s="176"/>
      <c r="B16" s="180"/>
      <c r="C16" s="837"/>
      <c r="D16" s="837"/>
      <c r="E16" s="180"/>
      <c r="F16" s="180"/>
      <c r="I16" s="180"/>
      <c r="J16" s="180"/>
      <c r="K16" s="180"/>
      <c r="L16" s="180"/>
      <c r="M16" s="180"/>
      <c r="N16" s="180"/>
      <c r="O16" s="180"/>
      <c r="P16" s="180"/>
      <c r="Q16" s="180"/>
      <c r="R16" s="180"/>
      <c r="S16" s="180"/>
      <c r="T16" s="180"/>
      <c r="U16" s="837"/>
      <c r="V16" s="278"/>
      <c r="W16" s="278"/>
      <c r="X16" s="278"/>
      <c r="Y16" s="278"/>
      <c r="Z16" s="148"/>
      <c r="AA16" s="148"/>
      <c r="AB16" s="180"/>
      <c r="AD16" s="841"/>
    </row>
    <row r="17" spans="1:31" ht="15" customHeight="1">
      <c r="A17" s="176"/>
      <c r="B17" s="180" t="s">
        <v>1619</v>
      </c>
      <c r="C17" s="837" t="s">
        <v>336</v>
      </c>
      <c r="D17" s="837"/>
      <c r="E17" s="838">
        <f>Inputs!E158</f>
        <v>941025</v>
      </c>
      <c r="F17" s="180"/>
      <c r="I17" s="180"/>
      <c r="J17" s="180"/>
      <c r="K17" s="180"/>
      <c r="L17" s="180"/>
      <c r="M17" s="180"/>
      <c r="N17" s="180"/>
      <c r="O17" s="180"/>
      <c r="P17" s="180"/>
      <c r="Q17" s="180"/>
      <c r="R17" s="180"/>
      <c r="S17" s="180"/>
      <c r="T17" s="180"/>
      <c r="U17" s="837"/>
      <c r="V17" s="278"/>
      <c r="W17" s="278"/>
      <c r="X17" s="278"/>
      <c r="Y17" s="278"/>
      <c r="Z17" s="148"/>
      <c r="AA17" s="148"/>
      <c r="AB17" s="180"/>
      <c r="AD17" s="841"/>
    </row>
    <row r="18" spans="1:31" ht="15" customHeight="1">
      <c r="A18" s="150" t="s">
        <v>1620</v>
      </c>
      <c r="B18" s="278" t="s">
        <v>1621</v>
      </c>
      <c r="C18" s="839" t="s">
        <v>336</v>
      </c>
      <c r="D18" s="839"/>
      <c r="E18" s="840">
        <f>SUM(E17)</f>
        <v>941025</v>
      </c>
      <c r="F18" s="278">
        <f>E15+E18</f>
        <v>19761525</v>
      </c>
      <c r="I18" s="278"/>
      <c r="J18" s="278"/>
      <c r="K18" s="278"/>
      <c r="L18" s="278"/>
      <c r="M18" s="278"/>
      <c r="N18" s="278"/>
      <c r="O18" s="278"/>
      <c r="P18" s="278"/>
      <c r="Q18" s="278"/>
      <c r="R18" s="278"/>
      <c r="S18" s="278"/>
      <c r="T18" s="180"/>
      <c r="U18" s="278"/>
      <c r="V18" s="278"/>
      <c r="W18" s="278"/>
      <c r="X18" s="278"/>
      <c r="Y18" s="278"/>
      <c r="Z18" s="148"/>
      <c r="AA18" s="148"/>
      <c r="AB18" s="180"/>
      <c r="AD18" s="841"/>
    </row>
    <row r="19" spans="1:31" ht="15" customHeight="1">
      <c r="A19" s="150"/>
      <c r="B19" s="278"/>
      <c r="C19" s="839"/>
      <c r="D19" s="839"/>
      <c r="E19" s="278"/>
      <c r="F19" s="278"/>
      <c r="I19" s="278"/>
      <c r="J19" s="278"/>
      <c r="K19" s="278"/>
      <c r="L19" s="278"/>
      <c r="M19" s="278"/>
      <c r="N19" s="278"/>
      <c r="O19" s="278"/>
      <c r="P19" s="278"/>
      <c r="Q19" s="278"/>
      <c r="R19" s="278"/>
      <c r="S19" s="278"/>
      <c r="T19" s="180"/>
      <c r="U19" s="278"/>
      <c r="V19" s="278"/>
      <c r="W19" s="278"/>
      <c r="X19" s="278"/>
      <c r="Y19" s="278"/>
      <c r="Z19" s="148"/>
      <c r="AA19" s="148"/>
      <c r="AC19" s="842" t="s">
        <v>998</v>
      </c>
      <c r="AD19" s="841"/>
    </row>
    <row r="20" spans="1:31" ht="15" customHeight="1">
      <c r="A20" s="843" t="s">
        <v>1622</v>
      </c>
      <c r="B20" s="148"/>
      <c r="C20" s="148"/>
      <c r="D20" s="148"/>
      <c r="E20" s="148"/>
      <c r="F20" s="148"/>
      <c r="I20" s="148"/>
      <c r="J20" s="148"/>
      <c r="K20" s="148"/>
      <c r="L20" s="148"/>
      <c r="M20" s="148"/>
      <c r="N20" s="148"/>
      <c r="O20" s="148"/>
      <c r="P20" s="148"/>
      <c r="Q20" s="148"/>
      <c r="R20" s="148"/>
      <c r="S20" s="148"/>
      <c r="T20" s="148"/>
      <c r="U20" s="837"/>
      <c r="V20" s="278"/>
      <c r="W20" s="278"/>
      <c r="X20" s="278"/>
      <c r="Y20" s="278"/>
      <c r="Z20" s="148"/>
      <c r="AA20" s="148"/>
      <c r="AC20" s="842" t="s">
        <v>1623</v>
      </c>
      <c r="AD20" s="841"/>
    </row>
    <row r="21" spans="1:31" ht="15" customHeight="1">
      <c r="A21" s="832" t="s">
        <v>1624</v>
      </c>
      <c r="B21" s="844"/>
      <c r="C21" s="148"/>
      <c r="D21" s="148"/>
      <c r="E21" s="148"/>
      <c r="F21" s="148"/>
      <c r="I21" s="148"/>
      <c r="J21" s="148"/>
      <c r="K21" s="148"/>
      <c r="L21" s="148"/>
      <c r="M21" s="148"/>
      <c r="N21" s="148"/>
      <c r="O21" s="148"/>
      <c r="P21" s="148"/>
      <c r="Q21" s="148"/>
      <c r="R21" s="148"/>
      <c r="S21" s="148"/>
      <c r="T21" s="148"/>
      <c r="U21" s="837"/>
      <c r="V21" s="278"/>
      <c r="W21" s="278"/>
      <c r="X21" s="278"/>
      <c r="Y21" s="278"/>
      <c r="Z21" s="148"/>
      <c r="AA21" s="148"/>
      <c r="AC21" s="842" t="s">
        <v>1625</v>
      </c>
      <c r="AD21" s="841"/>
    </row>
    <row r="22" spans="1:31" ht="15.75" customHeight="1">
      <c r="A22" s="140"/>
      <c r="B22" s="148"/>
      <c r="C22" s="148"/>
      <c r="D22" s="148"/>
      <c r="E22" s="148"/>
      <c r="F22" s="148"/>
      <c r="I22" s="1427" t="s">
        <v>1626</v>
      </c>
      <c r="J22" s="1342"/>
      <c r="K22" s="1303"/>
      <c r="L22" s="1427" t="s">
        <v>1627</v>
      </c>
      <c r="M22" s="1342"/>
      <c r="N22" s="1342"/>
      <c r="O22" s="1303"/>
      <c r="P22" s="1427" t="s">
        <v>1628</v>
      </c>
      <c r="Q22" s="1342"/>
      <c r="R22" s="1342"/>
      <c r="S22" s="1342"/>
      <c r="T22" s="1303"/>
      <c r="U22" s="1427" t="s">
        <v>1629</v>
      </c>
      <c r="V22" s="1342"/>
      <c r="W22" s="1342"/>
      <c r="X22" s="1342"/>
      <c r="Y22" s="1303"/>
      <c r="Z22" s="845"/>
      <c r="AA22" s="148"/>
      <c r="AC22" s="842" t="s">
        <v>1630</v>
      </c>
      <c r="AD22" s="841"/>
    </row>
    <row r="23" spans="1:31" ht="15.75" customHeight="1">
      <c r="A23" s="846" t="s">
        <v>979</v>
      </c>
      <c r="B23" s="837"/>
      <c r="C23" s="839" t="s">
        <v>336</v>
      </c>
      <c r="D23" s="837"/>
      <c r="E23" s="837"/>
      <c r="F23" s="837"/>
      <c r="I23" s="847" t="s">
        <v>1631</v>
      </c>
      <c r="J23" s="847" t="s">
        <v>1632</v>
      </c>
      <c r="K23" s="847" t="s">
        <v>1633</v>
      </c>
      <c r="L23" s="847" t="s">
        <v>1634</v>
      </c>
      <c r="M23" s="847" t="s">
        <v>1635</v>
      </c>
      <c r="N23" s="847" t="s">
        <v>1636</v>
      </c>
      <c r="O23" s="847" t="s">
        <v>1637</v>
      </c>
      <c r="P23" s="847" t="s">
        <v>1638</v>
      </c>
      <c r="Q23" s="847" t="s">
        <v>1639</v>
      </c>
      <c r="R23" s="847" t="s">
        <v>1640</v>
      </c>
      <c r="S23" s="847" t="s">
        <v>1641</v>
      </c>
      <c r="T23" s="847" t="s">
        <v>1642</v>
      </c>
      <c r="U23" s="847" t="s">
        <v>1643</v>
      </c>
      <c r="V23" s="847" t="s">
        <v>1644</v>
      </c>
      <c r="W23" s="847" t="s">
        <v>1645</v>
      </c>
      <c r="X23" s="847" t="s">
        <v>1646</v>
      </c>
      <c r="Y23" s="847" t="s">
        <v>1647</v>
      </c>
      <c r="Z23" s="848" t="s">
        <v>1648</v>
      </c>
      <c r="AA23" s="148"/>
      <c r="AB23" s="849"/>
      <c r="AC23" s="850" t="s">
        <v>1649</v>
      </c>
      <c r="AD23" s="842" t="s">
        <v>1650</v>
      </c>
      <c r="AE23" s="841"/>
    </row>
    <row r="24" spans="1:31" ht="15.75" customHeight="1">
      <c r="A24" s="150"/>
      <c r="B24" s="837" t="s">
        <v>980</v>
      </c>
      <c r="C24" s="839"/>
      <c r="D24" s="837"/>
      <c r="E24" s="851">
        <f>Inputs!E173</f>
        <v>1300000</v>
      </c>
      <c r="F24" s="180"/>
      <c r="I24" s="852">
        <v>50000</v>
      </c>
      <c r="J24" s="852">
        <v>50000</v>
      </c>
      <c r="K24" s="852">
        <v>50000</v>
      </c>
      <c r="L24" s="853">
        <f t="shared" ref="L24:X24" si="0">50000+26429</f>
        <v>76429</v>
      </c>
      <c r="M24" s="853">
        <f t="shared" si="0"/>
        <v>76429</v>
      </c>
      <c r="N24" s="853">
        <f t="shared" si="0"/>
        <v>76429</v>
      </c>
      <c r="O24" s="854">
        <f t="shared" si="0"/>
        <v>76429</v>
      </c>
      <c r="P24" s="855">
        <f t="shared" si="0"/>
        <v>76429</v>
      </c>
      <c r="Q24" s="855">
        <f t="shared" si="0"/>
        <v>76429</v>
      </c>
      <c r="R24" s="855">
        <f t="shared" si="0"/>
        <v>76429</v>
      </c>
      <c r="S24" s="855">
        <f t="shared" si="0"/>
        <v>76429</v>
      </c>
      <c r="T24" s="855">
        <f t="shared" si="0"/>
        <v>76429</v>
      </c>
      <c r="U24" s="856">
        <f t="shared" si="0"/>
        <v>76429</v>
      </c>
      <c r="V24" s="856">
        <f t="shared" si="0"/>
        <v>76429</v>
      </c>
      <c r="W24" s="856">
        <f t="shared" si="0"/>
        <v>76429</v>
      </c>
      <c r="X24" s="856">
        <f t="shared" si="0"/>
        <v>76429</v>
      </c>
      <c r="Y24" s="856">
        <f>50000+26429+79994</f>
        <v>156423</v>
      </c>
      <c r="Z24" s="857">
        <f t="shared" ref="Z24:Z36" si="1">SUM(I24:Y24)</f>
        <v>1300000</v>
      </c>
      <c r="AA24" s="148" t="str">
        <f t="shared" ref="AA24:AA32" si="2">IF(ABS(Z24-E24)&lt;1,"OK","Check")</f>
        <v>OK</v>
      </c>
      <c r="AB24" s="148"/>
      <c r="AC24" s="850" t="s">
        <v>1651</v>
      </c>
      <c r="AD24" s="842" t="s">
        <v>1652</v>
      </c>
      <c r="AE24" s="841"/>
    </row>
    <row r="25" spans="1:31" ht="14.25" customHeight="1">
      <c r="A25" s="627"/>
      <c r="B25" s="837" t="s">
        <v>981</v>
      </c>
      <c r="C25" s="180"/>
      <c r="D25" s="837"/>
      <c r="E25" s="851">
        <f>Inputs!E174</f>
        <v>50000</v>
      </c>
      <c r="F25" s="180"/>
      <c r="I25" s="858">
        <v>0</v>
      </c>
      <c r="J25" s="859">
        <v>0</v>
      </c>
      <c r="K25" s="858">
        <v>0</v>
      </c>
      <c r="L25" s="854">
        <v>20000</v>
      </c>
      <c r="M25" s="854">
        <v>10000</v>
      </c>
      <c r="N25" s="854">
        <v>0</v>
      </c>
      <c r="O25" s="854">
        <v>0</v>
      </c>
      <c r="P25" s="860"/>
      <c r="Q25" s="860">
        <v>0</v>
      </c>
      <c r="R25" s="860">
        <v>0</v>
      </c>
      <c r="S25" s="860">
        <v>0</v>
      </c>
      <c r="T25" s="860">
        <v>0</v>
      </c>
      <c r="U25" s="861">
        <v>10000</v>
      </c>
      <c r="V25" s="861">
        <v>0</v>
      </c>
      <c r="W25" s="861">
        <v>0</v>
      </c>
      <c r="X25" s="861">
        <v>0</v>
      </c>
      <c r="Y25" s="861">
        <v>10000</v>
      </c>
      <c r="Z25" s="857">
        <f t="shared" si="1"/>
        <v>50000</v>
      </c>
      <c r="AA25" s="148" t="str">
        <f t="shared" si="2"/>
        <v>OK</v>
      </c>
      <c r="AB25" s="148"/>
      <c r="AC25" s="862"/>
      <c r="AD25" s="842" t="s">
        <v>1653</v>
      </c>
      <c r="AE25" s="841"/>
    </row>
    <row r="26" spans="1:31" ht="15.75" customHeight="1">
      <c r="A26" s="627"/>
      <c r="B26" s="837" t="s">
        <v>982</v>
      </c>
      <c r="C26" s="837"/>
      <c r="D26" s="837"/>
      <c r="E26" s="851">
        <f>Inputs!E175</f>
        <v>75000</v>
      </c>
      <c r="F26" s="180"/>
      <c r="I26" s="858">
        <v>0</v>
      </c>
      <c r="J26" s="859">
        <v>0</v>
      </c>
      <c r="K26" s="858">
        <v>0</v>
      </c>
      <c r="L26" s="854">
        <v>0</v>
      </c>
      <c r="M26" s="854">
        <v>0</v>
      </c>
      <c r="N26" s="854">
        <v>25000</v>
      </c>
      <c r="O26" s="854">
        <v>0</v>
      </c>
      <c r="P26" s="860">
        <v>10000</v>
      </c>
      <c r="Q26" s="860">
        <v>0</v>
      </c>
      <c r="R26" s="860">
        <v>0</v>
      </c>
      <c r="S26" s="860">
        <v>15000</v>
      </c>
      <c r="T26" s="860">
        <v>10000</v>
      </c>
      <c r="U26" s="861">
        <v>0</v>
      </c>
      <c r="V26" s="861">
        <v>0</v>
      </c>
      <c r="W26" s="861">
        <v>0</v>
      </c>
      <c r="X26" s="861">
        <v>15000</v>
      </c>
      <c r="Y26" s="861">
        <v>0</v>
      </c>
      <c r="Z26" s="857">
        <f t="shared" si="1"/>
        <v>75000</v>
      </c>
      <c r="AA26" s="148" t="str">
        <f t="shared" si="2"/>
        <v>OK</v>
      </c>
      <c r="AB26" s="148"/>
      <c r="AC26" s="862"/>
      <c r="AE26" s="841"/>
    </row>
    <row r="27" spans="1:31" ht="15.75" customHeight="1">
      <c r="A27" s="627"/>
      <c r="B27" s="837" t="s">
        <v>983</v>
      </c>
      <c r="C27" s="837"/>
      <c r="D27" s="837"/>
      <c r="E27" s="851">
        <f>Inputs!E176</f>
        <v>80000</v>
      </c>
      <c r="F27" s="180"/>
      <c r="I27" s="858">
        <v>0</v>
      </c>
      <c r="J27" s="858">
        <v>0</v>
      </c>
      <c r="K27" s="858">
        <v>0</v>
      </c>
      <c r="L27" s="854">
        <v>40000</v>
      </c>
      <c r="M27" s="854">
        <v>10000</v>
      </c>
      <c r="N27" s="854">
        <v>0</v>
      </c>
      <c r="O27" s="854">
        <v>0</v>
      </c>
      <c r="P27" s="860">
        <v>0</v>
      </c>
      <c r="Q27" s="860">
        <v>0</v>
      </c>
      <c r="R27" s="860">
        <v>0</v>
      </c>
      <c r="S27" s="860">
        <v>0</v>
      </c>
      <c r="T27" s="860">
        <v>0</v>
      </c>
      <c r="U27" s="861">
        <v>15000</v>
      </c>
      <c r="V27" s="861">
        <v>0</v>
      </c>
      <c r="W27" s="861">
        <v>0</v>
      </c>
      <c r="X27" s="861">
        <v>15000</v>
      </c>
      <c r="Y27" s="861">
        <v>0</v>
      </c>
      <c r="Z27" s="857">
        <f t="shared" si="1"/>
        <v>80000</v>
      </c>
      <c r="AA27" s="148" t="str">
        <f t="shared" si="2"/>
        <v>OK</v>
      </c>
      <c r="AB27" s="148"/>
      <c r="AC27" s="863"/>
      <c r="AE27" s="841"/>
    </row>
    <row r="28" spans="1:31" ht="15.75" customHeight="1">
      <c r="A28" s="627"/>
      <c r="B28" s="837" t="s">
        <v>1654</v>
      </c>
      <c r="C28" s="837"/>
      <c r="D28" s="837"/>
      <c r="E28" s="851">
        <f>Inputs!E177</f>
        <v>90000</v>
      </c>
      <c r="F28" s="180"/>
      <c r="I28" s="858">
        <v>0</v>
      </c>
      <c r="J28" s="858">
        <v>0</v>
      </c>
      <c r="K28" s="858">
        <v>0</v>
      </c>
      <c r="L28" s="854">
        <v>45000</v>
      </c>
      <c r="M28" s="854">
        <v>15000</v>
      </c>
      <c r="N28" s="854">
        <v>0</v>
      </c>
      <c r="O28" s="854">
        <v>0</v>
      </c>
      <c r="P28" s="860">
        <v>0</v>
      </c>
      <c r="Q28" s="860">
        <v>0</v>
      </c>
      <c r="R28" s="860">
        <v>0</v>
      </c>
      <c r="S28" s="860">
        <v>0</v>
      </c>
      <c r="T28" s="860">
        <v>0</v>
      </c>
      <c r="U28" s="861">
        <v>10000</v>
      </c>
      <c r="V28" s="861">
        <v>0</v>
      </c>
      <c r="W28" s="861">
        <v>10000</v>
      </c>
      <c r="X28" s="861">
        <v>0</v>
      </c>
      <c r="Y28" s="861">
        <v>10000</v>
      </c>
      <c r="Z28" s="857">
        <f t="shared" si="1"/>
        <v>90000</v>
      </c>
      <c r="AA28" s="148" t="str">
        <f t="shared" si="2"/>
        <v>OK</v>
      </c>
      <c r="AB28" s="148"/>
      <c r="AC28" s="863"/>
      <c r="AE28" s="841"/>
    </row>
    <row r="29" spans="1:31" ht="15.75" customHeight="1">
      <c r="A29" s="627"/>
      <c r="B29" s="837" t="s">
        <v>985</v>
      </c>
      <c r="C29" s="837"/>
      <c r="D29" s="837"/>
      <c r="E29" s="851">
        <f>Inputs!E178</f>
        <v>40000</v>
      </c>
      <c r="F29" s="180"/>
      <c r="I29" s="858">
        <v>0</v>
      </c>
      <c r="J29" s="858">
        <v>0</v>
      </c>
      <c r="K29" s="858">
        <v>0</v>
      </c>
      <c r="L29" s="854">
        <v>0</v>
      </c>
      <c r="M29" s="854">
        <v>30000</v>
      </c>
      <c r="N29" s="854">
        <v>0</v>
      </c>
      <c r="O29" s="854">
        <v>0</v>
      </c>
      <c r="P29" s="860">
        <v>0</v>
      </c>
      <c r="Q29" s="860">
        <v>0</v>
      </c>
      <c r="R29" s="860">
        <v>0</v>
      </c>
      <c r="S29" s="860">
        <v>0</v>
      </c>
      <c r="T29" s="860">
        <v>0</v>
      </c>
      <c r="U29" s="861">
        <v>0</v>
      </c>
      <c r="V29" s="861">
        <v>10000</v>
      </c>
      <c r="W29" s="861">
        <v>0</v>
      </c>
      <c r="X29" s="861">
        <v>0</v>
      </c>
      <c r="Y29" s="861">
        <v>0</v>
      </c>
      <c r="Z29" s="857">
        <f t="shared" si="1"/>
        <v>40000</v>
      </c>
      <c r="AA29" s="148" t="str">
        <f t="shared" si="2"/>
        <v>OK</v>
      </c>
      <c r="AB29" s="148"/>
      <c r="AC29" s="863"/>
      <c r="AE29" s="841"/>
    </row>
    <row r="30" spans="1:31" ht="15.75" customHeight="1">
      <c r="A30" s="627"/>
      <c r="B30" s="837" t="s">
        <v>986</v>
      </c>
      <c r="C30" s="837"/>
      <c r="D30" s="837"/>
      <c r="E30" s="851">
        <f>Inputs!E179</f>
        <v>30000</v>
      </c>
      <c r="F30" s="180"/>
      <c r="I30" s="858">
        <v>0</v>
      </c>
      <c r="J30" s="858">
        <v>0</v>
      </c>
      <c r="K30" s="858">
        <v>0</v>
      </c>
      <c r="L30" s="854">
        <v>0</v>
      </c>
      <c r="M30" s="854">
        <v>20000</v>
      </c>
      <c r="N30" s="854">
        <v>0</v>
      </c>
      <c r="O30" s="854">
        <v>0</v>
      </c>
      <c r="P30" s="860">
        <v>0</v>
      </c>
      <c r="Q30" s="860">
        <v>0</v>
      </c>
      <c r="R30" s="860">
        <v>0</v>
      </c>
      <c r="S30" s="860">
        <v>0</v>
      </c>
      <c r="T30" s="860">
        <v>0</v>
      </c>
      <c r="U30" s="861">
        <v>10000</v>
      </c>
      <c r="V30" s="861">
        <v>0</v>
      </c>
      <c r="W30" s="861">
        <v>0</v>
      </c>
      <c r="X30" s="861">
        <v>0</v>
      </c>
      <c r="Y30" s="861">
        <v>0</v>
      </c>
      <c r="Z30" s="857">
        <f t="shared" si="1"/>
        <v>30000</v>
      </c>
      <c r="AA30" s="148" t="str">
        <f t="shared" si="2"/>
        <v>OK</v>
      </c>
      <c r="AB30" s="148"/>
      <c r="AC30" s="863"/>
      <c r="AE30" s="841"/>
    </row>
    <row r="31" spans="1:31" ht="15.75" customHeight="1">
      <c r="A31" s="627"/>
      <c r="B31" s="837" t="s">
        <v>987</v>
      </c>
      <c r="C31" s="837"/>
      <c r="D31" s="837"/>
      <c r="E31" s="851">
        <f>Inputs!E180</f>
        <v>100000</v>
      </c>
      <c r="F31" s="180"/>
      <c r="I31" s="858">
        <v>0</v>
      </c>
      <c r="J31" s="858">
        <v>0</v>
      </c>
      <c r="K31" s="858">
        <v>0</v>
      </c>
      <c r="L31" s="854">
        <v>50000</v>
      </c>
      <c r="M31" s="854">
        <v>0</v>
      </c>
      <c r="N31" s="854">
        <v>10000</v>
      </c>
      <c r="O31" s="854">
        <v>15000</v>
      </c>
      <c r="P31" s="860">
        <v>15000</v>
      </c>
      <c r="Q31" s="860">
        <v>0</v>
      </c>
      <c r="R31" s="860">
        <v>0</v>
      </c>
      <c r="S31" s="860">
        <v>0</v>
      </c>
      <c r="T31" s="860">
        <v>0</v>
      </c>
      <c r="U31" s="861">
        <v>10000</v>
      </c>
      <c r="V31" s="861">
        <v>0</v>
      </c>
      <c r="W31" s="861">
        <v>0</v>
      </c>
      <c r="X31" s="861">
        <v>0</v>
      </c>
      <c r="Y31" s="861">
        <v>0</v>
      </c>
      <c r="Z31" s="857">
        <f t="shared" si="1"/>
        <v>100000</v>
      </c>
      <c r="AA31" s="148" t="str">
        <f t="shared" si="2"/>
        <v>OK</v>
      </c>
      <c r="AB31" s="148"/>
      <c r="AC31" s="863"/>
      <c r="AE31" s="841"/>
    </row>
    <row r="32" spans="1:31" ht="15.75" customHeight="1">
      <c r="A32" s="627"/>
      <c r="B32" s="837" t="s">
        <v>948</v>
      </c>
      <c r="C32" s="837"/>
      <c r="D32" s="837"/>
      <c r="E32" s="851">
        <f>Inputs!E181</f>
        <v>50000</v>
      </c>
      <c r="F32" s="180"/>
      <c r="I32" s="858">
        <v>0</v>
      </c>
      <c r="J32" s="858">
        <v>0</v>
      </c>
      <c r="K32" s="858">
        <v>0</v>
      </c>
      <c r="L32" s="854">
        <v>25000</v>
      </c>
      <c r="M32" s="854">
        <v>0</v>
      </c>
      <c r="N32" s="854">
        <v>0</v>
      </c>
      <c r="O32" s="854">
        <v>0</v>
      </c>
      <c r="P32" s="860">
        <v>0</v>
      </c>
      <c r="Q32" s="860">
        <v>5000</v>
      </c>
      <c r="R32" s="860">
        <v>0</v>
      </c>
      <c r="S32" s="860">
        <v>0</v>
      </c>
      <c r="T32" s="860">
        <v>10000</v>
      </c>
      <c r="U32" s="861">
        <v>0</v>
      </c>
      <c r="V32" s="861">
        <v>0</v>
      </c>
      <c r="W32" s="861">
        <v>0</v>
      </c>
      <c r="X32" s="861">
        <v>10000</v>
      </c>
      <c r="Y32" s="861">
        <v>0</v>
      </c>
      <c r="Z32" s="857">
        <f t="shared" si="1"/>
        <v>50000</v>
      </c>
      <c r="AA32" s="148" t="str">
        <f t="shared" si="2"/>
        <v>OK</v>
      </c>
      <c r="AB32" s="148"/>
      <c r="AC32" s="863"/>
      <c r="AE32" s="841"/>
    </row>
    <row r="33" spans="1:31" ht="15.75" customHeight="1">
      <c r="A33" s="627"/>
      <c r="B33" s="864" t="s">
        <v>988</v>
      </c>
      <c r="C33" s="865"/>
      <c r="D33" s="865"/>
      <c r="E33" s="851">
        <f>Inputs!E182</f>
        <v>50000</v>
      </c>
      <c r="F33" s="180"/>
      <c r="I33" s="858">
        <v>0</v>
      </c>
      <c r="J33" s="858">
        <v>0</v>
      </c>
      <c r="K33" s="858">
        <v>0</v>
      </c>
      <c r="L33" s="854">
        <v>30000</v>
      </c>
      <c r="M33" s="854">
        <v>20000</v>
      </c>
      <c r="N33" s="854">
        <v>0</v>
      </c>
      <c r="O33" s="854">
        <v>0</v>
      </c>
      <c r="P33" s="860">
        <v>0</v>
      </c>
      <c r="Q33" s="860">
        <v>0</v>
      </c>
      <c r="R33" s="860">
        <v>0</v>
      </c>
      <c r="S33" s="860">
        <v>0</v>
      </c>
      <c r="T33" s="860">
        <v>0</v>
      </c>
      <c r="U33" s="861">
        <v>0</v>
      </c>
      <c r="V33" s="861">
        <v>0</v>
      </c>
      <c r="W33" s="861">
        <v>0</v>
      </c>
      <c r="X33" s="861">
        <v>0</v>
      </c>
      <c r="Y33" s="861">
        <v>0</v>
      </c>
      <c r="Z33" s="857">
        <f t="shared" si="1"/>
        <v>50000</v>
      </c>
      <c r="AA33" s="148"/>
      <c r="AB33" s="148"/>
      <c r="AC33" s="863"/>
      <c r="AE33" s="841"/>
    </row>
    <row r="34" spans="1:31" ht="15.75" customHeight="1">
      <c r="A34" s="627"/>
      <c r="B34" s="864" t="s">
        <v>989</v>
      </c>
      <c r="C34" s="865"/>
      <c r="D34" s="865"/>
      <c r="E34" s="851">
        <f>Inputs!E183</f>
        <v>150000</v>
      </c>
      <c r="F34" s="180"/>
      <c r="I34" s="858">
        <v>0</v>
      </c>
      <c r="J34" s="858">
        <v>0</v>
      </c>
      <c r="K34" s="858">
        <v>0</v>
      </c>
      <c r="L34" s="854">
        <v>0</v>
      </c>
      <c r="M34" s="854">
        <v>50000</v>
      </c>
      <c r="N34" s="854">
        <v>50000</v>
      </c>
      <c r="O34" s="854">
        <v>25000</v>
      </c>
      <c r="P34" s="860">
        <v>0</v>
      </c>
      <c r="Q34" s="860">
        <v>0</v>
      </c>
      <c r="R34" s="860">
        <v>0</v>
      </c>
      <c r="S34" s="860">
        <v>10000</v>
      </c>
      <c r="T34" s="860">
        <v>0</v>
      </c>
      <c r="U34" s="861">
        <v>15000</v>
      </c>
      <c r="V34" s="861">
        <v>0</v>
      </c>
      <c r="W34" s="861">
        <v>0</v>
      </c>
      <c r="X34" s="861">
        <v>0</v>
      </c>
      <c r="Y34" s="861">
        <v>0</v>
      </c>
      <c r="Z34" s="857">
        <f t="shared" si="1"/>
        <v>150000</v>
      </c>
      <c r="AA34" s="148"/>
      <c r="AB34" s="148"/>
      <c r="AC34" s="863"/>
      <c r="AE34" s="841"/>
    </row>
    <row r="35" spans="1:31" ht="15" customHeight="1">
      <c r="A35" s="627"/>
      <c r="B35" s="837" t="s">
        <v>990</v>
      </c>
      <c r="C35" s="837"/>
      <c r="D35" s="837"/>
      <c r="E35" s="851">
        <f>Inputs!E184</f>
        <v>30000</v>
      </c>
      <c r="F35" s="180"/>
      <c r="I35" s="858">
        <v>0</v>
      </c>
      <c r="J35" s="858">
        <v>0</v>
      </c>
      <c r="K35" s="858">
        <v>0</v>
      </c>
      <c r="L35" s="854">
        <v>0</v>
      </c>
      <c r="M35" s="854">
        <v>0</v>
      </c>
      <c r="N35" s="854">
        <v>20000</v>
      </c>
      <c r="O35" s="854">
        <v>0</v>
      </c>
      <c r="P35" s="860">
        <v>0</v>
      </c>
      <c r="Q35" s="860">
        <v>0</v>
      </c>
      <c r="R35" s="860">
        <v>0</v>
      </c>
      <c r="S35" s="860">
        <v>0</v>
      </c>
      <c r="T35" s="860">
        <v>0</v>
      </c>
      <c r="U35" s="861">
        <v>10000</v>
      </c>
      <c r="V35" s="861">
        <v>0</v>
      </c>
      <c r="W35" s="861">
        <v>0</v>
      </c>
      <c r="X35" s="861">
        <v>0</v>
      </c>
      <c r="Y35" s="861">
        <v>0</v>
      </c>
      <c r="Z35" s="857">
        <f t="shared" si="1"/>
        <v>30000</v>
      </c>
      <c r="AA35" s="148" t="str">
        <f t="shared" ref="AA35:AA36" si="3">IF(ABS(Z35-E35)&lt;1,"OK","Check")</f>
        <v>OK</v>
      </c>
      <c r="AB35" s="148"/>
      <c r="AC35" s="863"/>
      <c r="AE35" s="841"/>
    </row>
    <row r="36" spans="1:31" ht="15" customHeight="1">
      <c r="A36" s="176"/>
      <c r="B36" s="278" t="s">
        <v>991</v>
      </c>
      <c r="C36" s="148"/>
      <c r="D36" s="148"/>
      <c r="E36" s="840">
        <f>SUM(E24:E35)</f>
        <v>2045000</v>
      </c>
      <c r="F36" s="278"/>
      <c r="I36" s="866">
        <f t="shared" ref="I36:Y36" si="4">SUM(I24:I35)</f>
        <v>50000</v>
      </c>
      <c r="J36" s="866">
        <f t="shared" si="4"/>
        <v>50000</v>
      </c>
      <c r="K36" s="866">
        <f t="shared" si="4"/>
        <v>50000</v>
      </c>
      <c r="L36" s="866">
        <f t="shared" si="4"/>
        <v>286429</v>
      </c>
      <c r="M36" s="866">
        <f t="shared" si="4"/>
        <v>231429</v>
      </c>
      <c r="N36" s="866">
        <f t="shared" si="4"/>
        <v>181429</v>
      </c>
      <c r="O36" s="866">
        <f t="shared" si="4"/>
        <v>116429</v>
      </c>
      <c r="P36" s="866">
        <f t="shared" si="4"/>
        <v>101429</v>
      </c>
      <c r="Q36" s="866">
        <f t="shared" si="4"/>
        <v>81429</v>
      </c>
      <c r="R36" s="866">
        <f t="shared" si="4"/>
        <v>76429</v>
      </c>
      <c r="S36" s="866">
        <f t="shared" si="4"/>
        <v>101429</v>
      </c>
      <c r="T36" s="866">
        <f t="shared" si="4"/>
        <v>96429</v>
      </c>
      <c r="U36" s="866">
        <f t="shared" si="4"/>
        <v>156429</v>
      </c>
      <c r="V36" s="866">
        <f t="shared" si="4"/>
        <v>86429</v>
      </c>
      <c r="W36" s="866">
        <f t="shared" si="4"/>
        <v>86429</v>
      </c>
      <c r="X36" s="866">
        <f t="shared" si="4"/>
        <v>116429</v>
      </c>
      <c r="Y36" s="866">
        <f t="shared" si="4"/>
        <v>176423</v>
      </c>
      <c r="Z36" s="866">
        <f t="shared" si="1"/>
        <v>2045000</v>
      </c>
      <c r="AA36" s="148" t="str">
        <f t="shared" si="3"/>
        <v>OK</v>
      </c>
      <c r="AB36" s="148"/>
      <c r="AE36" s="841"/>
    </row>
    <row r="37" spans="1:31" ht="15.75" customHeight="1">
      <c r="A37" s="176"/>
      <c r="B37" s="180"/>
      <c r="C37" s="148"/>
      <c r="D37" s="148"/>
      <c r="E37" s="148"/>
      <c r="F37" s="148"/>
      <c r="I37" s="148"/>
      <c r="J37" s="148"/>
      <c r="K37" s="148"/>
      <c r="L37" s="148"/>
      <c r="M37" s="148"/>
      <c r="N37" s="148"/>
      <c r="O37" s="148"/>
      <c r="P37" s="148"/>
      <c r="Q37" s="148"/>
      <c r="R37" s="148"/>
      <c r="S37" s="148"/>
      <c r="T37" s="148"/>
      <c r="U37" s="148"/>
      <c r="V37" s="180"/>
      <c r="W37" s="180"/>
      <c r="X37" s="180"/>
      <c r="Y37" s="180"/>
      <c r="Z37" s="278"/>
      <c r="AA37" s="148"/>
      <c r="AB37" s="148"/>
      <c r="AC37" s="148"/>
      <c r="AE37" s="841"/>
    </row>
    <row r="38" spans="1:31" ht="15.75" customHeight="1">
      <c r="A38" s="867" t="s">
        <v>992</v>
      </c>
      <c r="B38" s="180"/>
      <c r="C38" s="148"/>
      <c r="D38" s="148"/>
      <c r="E38" s="148"/>
      <c r="F38" s="148"/>
      <c r="I38" s="148"/>
      <c r="J38" s="148"/>
      <c r="K38" s="148"/>
      <c r="L38" s="148"/>
      <c r="M38" s="148"/>
      <c r="N38" s="148"/>
      <c r="O38" s="148"/>
      <c r="P38" s="148"/>
      <c r="Q38" s="148"/>
      <c r="R38" s="148"/>
      <c r="S38" s="148"/>
      <c r="T38" s="148"/>
      <c r="U38" s="180"/>
      <c r="V38" s="180"/>
      <c r="W38" s="180"/>
      <c r="X38" s="180"/>
      <c r="Y38" s="180"/>
      <c r="Z38" s="278"/>
      <c r="AA38" s="148"/>
      <c r="AB38" s="148"/>
      <c r="AC38" s="148"/>
      <c r="AE38" s="841"/>
    </row>
    <row r="39" spans="1:31" ht="15.75" customHeight="1">
      <c r="A39" s="176" t="s">
        <v>1655</v>
      </c>
      <c r="B39" s="837" t="s">
        <v>993</v>
      </c>
      <c r="C39" s="837"/>
      <c r="D39" s="837"/>
      <c r="E39" s="851">
        <f>Inputs!E188</f>
        <v>2700000</v>
      </c>
      <c r="F39" s="180"/>
      <c r="I39" s="858">
        <v>0</v>
      </c>
      <c r="J39" s="858">
        <v>0</v>
      </c>
      <c r="K39" s="858">
        <v>0</v>
      </c>
      <c r="L39" s="868">
        <v>0</v>
      </c>
      <c r="M39" s="868">
        <v>0</v>
      </c>
      <c r="N39" s="868">
        <v>0</v>
      </c>
      <c r="O39" s="868">
        <v>0</v>
      </c>
      <c r="P39" s="869">
        <v>1000000</v>
      </c>
      <c r="Q39" s="869">
        <v>1000000</v>
      </c>
      <c r="R39" s="869">
        <v>0</v>
      </c>
      <c r="S39" s="869">
        <v>0</v>
      </c>
      <c r="T39" s="870">
        <v>0</v>
      </c>
      <c r="U39" s="871">
        <v>500000</v>
      </c>
      <c r="V39" s="861">
        <v>500000</v>
      </c>
      <c r="W39" s="861">
        <v>0</v>
      </c>
      <c r="X39" s="861">
        <v>0</v>
      </c>
      <c r="Y39" s="861">
        <v>400000</v>
      </c>
      <c r="Z39" s="857">
        <f t="shared" ref="Z39:Z48" si="5">SUM(I39:Y39)</f>
        <v>3400000</v>
      </c>
      <c r="AA39" s="148" t="str">
        <f t="shared" ref="AA39:AA48" si="6">IF(ABS(Z39-E39)&lt;1,"OK","Check")</f>
        <v>Check</v>
      </c>
      <c r="AB39" s="148"/>
      <c r="AC39" s="872"/>
      <c r="AE39" s="841"/>
    </row>
    <row r="40" spans="1:31" ht="15.75" customHeight="1">
      <c r="A40" s="873" t="s">
        <v>1656</v>
      </c>
      <c r="B40" s="837" t="s">
        <v>994</v>
      </c>
      <c r="C40" s="837"/>
      <c r="D40" s="837"/>
      <c r="E40" s="851">
        <f>Inputs!E189</f>
        <v>2600000</v>
      </c>
      <c r="F40" s="180"/>
      <c r="I40" s="858">
        <v>0</v>
      </c>
      <c r="J40" s="858">
        <v>0</v>
      </c>
      <c r="K40" s="858">
        <v>0</v>
      </c>
      <c r="L40" s="854">
        <v>0</v>
      </c>
      <c r="M40" s="854">
        <v>0</v>
      </c>
      <c r="N40" s="854">
        <v>0</v>
      </c>
      <c r="O40" s="854">
        <v>0</v>
      </c>
      <c r="P40" s="860">
        <v>390000</v>
      </c>
      <c r="Q40" s="860">
        <v>0</v>
      </c>
      <c r="R40" s="860">
        <v>0</v>
      </c>
      <c r="S40" s="860">
        <v>280000</v>
      </c>
      <c r="T40" s="874">
        <v>1800000</v>
      </c>
      <c r="U40" s="875">
        <v>0</v>
      </c>
      <c r="V40" s="861">
        <v>0</v>
      </c>
      <c r="W40" s="861">
        <v>130000</v>
      </c>
      <c r="X40" s="861">
        <v>0</v>
      </c>
      <c r="Y40" s="861">
        <v>0</v>
      </c>
      <c r="Z40" s="857">
        <f t="shared" si="5"/>
        <v>2600000</v>
      </c>
      <c r="AA40" s="148" t="str">
        <f t="shared" si="6"/>
        <v>OK</v>
      </c>
      <c r="AB40" s="148"/>
      <c r="AC40" s="872"/>
    </row>
    <row r="41" spans="1:31" ht="15.75" customHeight="1">
      <c r="A41" s="1429" t="s">
        <v>1655</v>
      </c>
      <c r="B41" s="876" t="s">
        <v>995</v>
      </c>
      <c r="C41" s="837"/>
      <c r="D41" s="837"/>
      <c r="E41" s="851">
        <f>Inputs!E190</f>
        <v>250000</v>
      </c>
      <c r="F41" s="180"/>
      <c r="I41" s="858">
        <v>0</v>
      </c>
      <c r="J41" s="858">
        <v>0</v>
      </c>
      <c r="K41" s="858">
        <v>0</v>
      </c>
      <c r="L41" s="854">
        <v>20000</v>
      </c>
      <c r="M41" s="854">
        <v>30000</v>
      </c>
      <c r="N41" s="854">
        <v>0</v>
      </c>
      <c r="O41" s="854">
        <v>0</v>
      </c>
      <c r="P41" s="860">
        <v>0</v>
      </c>
      <c r="Q41" s="860">
        <v>100000</v>
      </c>
      <c r="R41" s="860">
        <v>25000</v>
      </c>
      <c r="S41" s="860">
        <v>25000</v>
      </c>
      <c r="T41" s="874">
        <v>25000</v>
      </c>
      <c r="U41" s="875">
        <v>15000</v>
      </c>
      <c r="V41" s="861">
        <v>0</v>
      </c>
      <c r="W41" s="861">
        <v>0</v>
      </c>
      <c r="X41" s="861">
        <v>0</v>
      </c>
      <c r="Y41" s="861">
        <v>10000</v>
      </c>
      <c r="Z41" s="857">
        <f t="shared" si="5"/>
        <v>250000</v>
      </c>
      <c r="AA41" s="148" t="str">
        <f t="shared" si="6"/>
        <v>OK</v>
      </c>
      <c r="AB41" s="148"/>
      <c r="AC41" s="872"/>
      <c r="AD41" s="140"/>
    </row>
    <row r="42" spans="1:31" ht="15.75" customHeight="1">
      <c r="A42" s="1305"/>
      <c r="B42" s="837" t="s">
        <v>996</v>
      </c>
      <c r="C42" s="837"/>
      <c r="D42" s="837"/>
      <c r="E42" s="851">
        <f>Inputs!E191</f>
        <v>200000</v>
      </c>
      <c r="F42" s="180"/>
      <c r="I42" s="858">
        <v>0</v>
      </c>
      <c r="J42" s="858">
        <v>0</v>
      </c>
      <c r="K42" s="858">
        <v>0</v>
      </c>
      <c r="L42" s="854">
        <v>20000</v>
      </c>
      <c r="M42" s="854">
        <v>0</v>
      </c>
      <c r="N42" s="854">
        <v>0</v>
      </c>
      <c r="O42" s="854">
        <v>0</v>
      </c>
      <c r="P42" s="860">
        <v>0</v>
      </c>
      <c r="Q42" s="860">
        <v>100000</v>
      </c>
      <c r="R42" s="860">
        <v>0</v>
      </c>
      <c r="S42" s="860">
        <v>0</v>
      </c>
      <c r="T42" s="874">
        <v>70000</v>
      </c>
      <c r="U42" s="875">
        <v>10000</v>
      </c>
      <c r="V42" s="861">
        <v>0</v>
      </c>
      <c r="W42" s="861">
        <v>0</v>
      </c>
      <c r="X42" s="861">
        <v>0</v>
      </c>
      <c r="Y42" s="861">
        <v>0</v>
      </c>
      <c r="Z42" s="857">
        <f t="shared" si="5"/>
        <v>200000</v>
      </c>
      <c r="AA42" s="148" t="str">
        <f t="shared" si="6"/>
        <v>OK</v>
      </c>
      <c r="AB42" s="148"/>
      <c r="AC42" s="872"/>
      <c r="AD42" s="140"/>
    </row>
    <row r="43" spans="1:31" ht="15.75" customHeight="1">
      <c r="A43" s="1305"/>
      <c r="B43" s="837" t="s">
        <v>997</v>
      </c>
      <c r="C43" s="837"/>
      <c r="D43" s="837"/>
      <c r="E43" s="851">
        <f>Inputs!E192</f>
        <v>200000</v>
      </c>
      <c r="F43" s="180"/>
      <c r="I43" s="858">
        <v>0</v>
      </c>
      <c r="J43" s="858">
        <v>0</v>
      </c>
      <c r="K43" s="858">
        <v>0</v>
      </c>
      <c r="L43" s="854">
        <v>20000</v>
      </c>
      <c r="M43" s="854">
        <v>0</v>
      </c>
      <c r="N43" s="854">
        <v>0</v>
      </c>
      <c r="O43" s="854">
        <v>0</v>
      </c>
      <c r="P43" s="860">
        <v>0</v>
      </c>
      <c r="Q43" s="860">
        <v>100000</v>
      </c>
      <c r="R43" s="860">
        <v>0</v>
      </c>
      <c r="S43" s="860">
        <v>0</v>
      </c>
      <c r="T43" s="874">
        <v>70000</v>
      </c>
      <c r="U43" s="875">
        <v>10000</v>
      </c>
      <c r="V43" s="861">
        <v>0</v>
      </c>
      <c r="W43" s="861">
        <v>0</v>
      </c>
      <c r="X43" s="861">
        <v>0</v>
      </c>
      <c r="Y43" s="861">
        <v>0</v>
      </c>
      <c r="Z43" s="857">
        <f t="shared" si="5"/>
        <v>200000</v>
      </c>
      <c r="AA43" s="148" t="str">
        <f t="shared" si="6"/>
        <v>OK</v>
      </c>
      <c r="AB43" s="148"/>
      <c r="AC43" s="872"/>
      <c r="AD43" s="140"/>
    </row>
    <row r="44" spans="1:31" ht="15.75" customHeight="1">
      <c r="A44" s="176" t="s">
        <v>1657</v>
      </c>
      <c r="B44" s="837" t="s">
        <v>998</v>
      </c>
      <c r="C44" s="837"/>
      <c r="D44" s="837"/>
      <c r="E44" s="851">
        <f>Inputs!E193</f>
        <v>230000</v>
      </c>
      <c r="F44" s="180"/>
      <c r="I44" s="858">
        <v>0</v>
      </c>
      <c r="J44" s="858">
        <v>0</v>
      </c>
      <c r="K44" s="858">
        <v>0</v>
      </c>
      <c r="L44" s="854">
        <v>20000</v>
      </c>
      <c r="M44" s="854">
        <v>0</v>
      </c>
      <c r="N44" s="854">
        <v>0</v>
      </c>
      <c r="O44" s="854">
        <v>0</v>
      </c>
      <c r="P44" s="860">
        <v>0</v>
      </c>
      <c r="Q44" s="860">
        <v>100000</v>
      </c>
      <c r="R44" s="860">
        <v>0</v>
      </c>
      <c r="S44" s="860">
        <v>0</v>
      </c>
      <c r="T44" s="874">
        <v>100000</v>
      </c>
      <c r="U44" s="875">
        <v>10000</v>
      </c>
      <c r="V44" s="861">
        <v>0</v>
      </c>
      <c r="W44" s="861">
        <v>0</v>
      </c>
      <c r="X44" s="861">
        <v>0</v>
      </c>
      <c r="Y44" s="861">
        <v>0</v>
      </c>
      <c r="Z44" s="857">
        <f t="shared" si="5"/>
        <v>230000</v>
      </c>
      <c r="AA44" s="148" t="str">
        <f t="shared" si="6"/>
        <v>OK</v>
      </c>
      <c r="AB44" s="148"/>
      <c r="AC44" s="872"/>
      <c r="AD44" s="140"/>
    </row>
    <row r="45" spans="1:31" ht="15.75" customHeight="1">
      <c r="A45" s="176"/>
      <c r="B45" s="837" t="s">
        <v>999</v>
      </c>
      <c r="C45" s="837"/>
      <c r="D45" s="837"/>
      <c r="E45" s="851">
        <f>Inputs!E194</f>
        <v>300000</v>
      </c>
      <c r="F45" s="180"/>
      <c r="I45" s="858">
        <v>0</v>
      </c>
      <c r="J45" s="858">
        <v>0</v>
      </c>
      <c r="K45" s="858">
        <v>0</v>
      </c>
      <c r="L45" s="854">
        <v>20000</v>
      </c>
      <c r="M45" s="854">
        <v>0</v>
      </c>
      <c r="N45" s="854">
        <v>0</v>
      </c>
      <c r="O45" s="854">
        <v>0</v>
      </c>
      <c r="P45" s="860">
        <v>0</v>
      </c>
      <c r="Q45" s="860">
        <v>200000</v>
      </c>
      <c r="R45" s="860">
        <v>0</v>
      </c>
      <c r="S45" s="860">
        <v>0</v>
      </c>
      <c r="T45" s="874">
        <v>70000</v>
      </c>
      <c r="U45" s="875">
        <v>10000</v>
      </c>
      <c r="V45" s="861">
        <v>0</v>
      </c>
      <c r="W45" s="861">
        <v>0</v>
      </c>
      <c r="X45" s="861">
        <v>0</v>
      </c>
      <c r="Y45" s="861">
        <v>0</v>
      </c>
      <c r="Z45" s="857">
        <f t="shared" si="5"/>
        <v>300000</v>
      </c>
      <c r="AA45" s="148" t="str">
        <f t="shared" si="6"/>
        <v>OK</v>
      </c>
      <c r="AB45" s="148"/>
      <c r="AC45" s="872"/>
      <c r="AD45" s="140"/>
    </row>
    <row r="46" spans="1:31" ht="15.75" customHeight="1">
      <c r="A46" s="176"/>
      <c r="B46" s="837" t="s">
        <v>1000</v>
      </c>
      <c r="C46" s="837"/>
      <c r="D46" s="837"/>
      <c r="E46" s="851">
        <f>Inputs!E195</f>
        <v>30000</v>
      </c>
      <c r="F46" s="180"/>
      <c r="I46" s="858">
        <v>0</v>
      </c>
      <c r="J46" s="858">
        <v>0</v>
      </c>
      <c r="K46" s="858">
        <v>0</v>
      </c>
      <c r="L46" s="854">
        <v>5000</v>
      </c>
      <c r="M46" s="854">
        <v>0</v>
      </c>
      <c r="N46" s="854">
        <v>0</v>
      </c>
      <c r="O46" s="854">
        <v>0</v>
      </c>
      <c r="P46" s="860">
        <v>0</v>
      </c>
      <c r="Q46" s="860">
        <v>5000</v>
      </c>
      <c r="R46" s="860">
        <v>0</v>
      </c>
      <c r="S46" s="860">
        <v>0</v>
      </c>
      <c r="T46" s="860">
        <v>10000</v>
      </c>
      <c r="U46" s="875">
        <v>10000</v>
      </c>
      <c r="V46" s="861">
        <v>0</v>
      </c>
      <c r="W46" s="861">
        <v>0</v>
      </c>
      <c r="X46" s="861">
        <v>0</v>
      </c>
      <c r="Y46" s="861">
        <v>0</v>
      </c>
      <c r="Z46" s="857">
        <f t="shared" si="5"/>
        <v>30000</v>
      </c>
      <c r="AA46" s="148" t="str">
        <f t="shared" si="6"/>
        <v>OK</v>
      </c>
      <c r="AB46" s="148"/>
      <c r="AC46" s="872"/>
      <c r="AD46" s="140"/>
    </row>
    <row r="47" spans="1:31" ht="15" customHeight="1">
      <c r="A47" s="176"/>
      <c r="B47" s="837" t="s">
        <v>1001</v>
      </c>
      <c r="C47" s="837"/>
      <c r="D47" s="837"/>
      <c r="E47" s="851">
        <f>Inputs!E196</f>
        <v>70000</v>
      </c>
      <c r="F47" s="180"/>
      <c r="I47" s="858">
        <v>0</v>
      </c>
      <c r="J47" s="858">
        <v>0</v>
      </c>
      <c r="K47" s="858">
        <v>0</v>
      </c>
      <c r="L47" s="854">
        <v>10000</v>
      </c>
      <c r="M47" s="854">
        <v>0</v>
      </c>
      <c r="N47" s="854">
        <v>0</v>
      </c>
      <c r="O47" s="854">
        <v>0</v>
      </c>
      <c r="P47" s="860">
        <v>0</v>
      </c>
      <c r="Q47" s="860">
        <v>0</v>
      </c>
      <c r="R47" s="860">
        <v>40000</v>
      </c>
      <c r="S47" s="860">
        <v>0</v>
      </c>
      <c r="T47" s="860">
        <v>0</v>
      </c>
      <c r="U47" s="875">
        <v>0</v>
      </c>
      <c r="V47" s="861">
        <v>0</v>
      </c>
      <c r="W47" s="861">
        <v>20000</v>
      </c>
      <c r="X47" s="861">
        <v>0</v>
      </c>
      <c r="Y47" s="861">
        <v>0</v>
      </c>
      <c r="Z47" s="857">
        <f t="shared" si="5"/>
        <v>70000</v>
      </c>
      <c r="AA47" s="148" t="str">
        <f t="shared" si="6"/>
        <v>OK</v>
      </c>
      <c r="AB47" s="148"/>
      <c r="AC47" s="872"/>
      <c r="AD47" s="877"/>
    </row>
    <row r="48" spans="1:31" ht="15" customHeight="1">
      <c r="A48" s="189"/>
      <c r="B48" s="278" t="s">
        <v>1658</v>
      </c>
      <c r="C48" s="839" t="s">
        <v>336</v>
      </c>
      <c r="D48" s="839"/>
      <c r="E48" s="840">
        <f>SUM(E39:E47)</f>
        <v>6580000</v>
      </c>
      <c r="F48" s="278"/>
      <c r="I48" s="866">
        <f t="shared" ref="I48:Y48" si="7">SUM(I39:I47)</f>
        <v>0</v>
      </c>
      <c r="J48" s="866">
        <f t="shared" si="7"/>
        <v>0</v>
      </c>
      <c r="K48" s="866">
        <f t="shared" si="7"/>
        <v>0</v>
      </c>
      <c r="L48" s="866">
        <f t="shared" si="7"/>
        <v>115000</v>
      </c>
      <c r="M48" s="866">
        <f t="shared" si="7"/>
        <v>30000</v>
      </c>
      <c r="N48" s="866">
        <f t="shared" si="7"/>
        <v>0</v>
      </c>
      <c r="O48" s="866">
        <f t="shared" si="7"/>
        <v>0</v>
      </c>
      <c r="P48" s="866">
        <f t="shared" si="7"/>
        <v>1390000</v>
      </c>
      <c r="Q48" s="866">
        <f t="shared" si="7"/>
        <v>1605000</v>
      </c>
      <c r="R48" s="866">
        <f t="shared" si="7"/>
        <v>65000</v>
      </c>
      <c r="S48" s="866">
        <f t="shared" si="7"/>
        <v>305000</v>
      </c>
      <c r="T48" s="866">
        <f t="shared" si="7"/>
        <v>2145000</v>
      </c>
      <c r="U48" s="866">
        <f t="shared" si="7"/>
        <v>565000</v>
      </c>
      <c r="V48" s="866">
        <f t="shared" si="7"/>
        <v>500000</v>
      </c>
      <c r="W48" s="866">
        <f t="shared" si="7"/>
        <v>150000</v>
      </c>
      <c r="X48" s="866">
        <f t="shared" si="7"/>
        <v>0</v>
      </c>
      <c r="Y48" s="866">
        <f t="shared" si="7"/>
        <v>410000</v>
      </c>
      <c r="Z48" s="866">
        <f t="shared" si="5"/>
        <v>7280000</v>
      </c>
      <c r="AA48" s="148" t="str">
        <f t="shared" si="6"/>
        <v>Check</v>
      </c>
      <c r="AB48" s="148"/>
      <c r="AC48" s="148"/>
      <c r="AD48" s="877"/>
    </row>
    <row r="49" spans="1:30" ht="15.75" customHeight="1">
      <c r="A49" s="176"/>
      <c r="B49" s="278"/>
      <c r="C49" s="837"/>
      <c r="D49" s="837"/>
      <c r="E49" s="837"/>
      <c r="F49" s="837"/>
      <c r="I49" s="837"/>
      <c r="J49" s="837"/>
      <c r="K49" s="837"/>
      <c r="L49" s="837"/>
      <c r="M49" s="837"/>
      <c r="N49" s="837"/>
      <c r="O49" s="837"/>
      <c r="P49" s="837"/>
      <c r="Q49" s="837"/>
      <c r="R49" s="837"/>
      <c r="S49" s="837"/>
      <c r="T49" s="837"/>
      <c r="U49" s="180"/>
      <c r="V49" s="180"/>
      <c r="W49" s="180"/>
      <c r="X49" s="180"/>
      <c r="Y49" s="180"/>
      <c r="Z49" s="278"/>
      <c r="AA49" s="148"/>
      <c r="AB49" s="148"/>
      <c r="AC49" s="148"/>
      <c r="AD49" s="877"/>
    </row>
    <row r="50" spans="1:30" ht="15.75" customHeight="1">
      <c r="A50" s="867" t="s">
        <v>1659</v>
      </c>
      <c r="B50" s="837"/>
      <c r="C50" s="148"/>
      <c r="D50" s="148"/>
      <c r="E50" s="148"/>
      <c r="F50" s="148"/>
      <c r="I50" s="148"/>
      <c r="J50" s="148"/>
      <c r="K50" s="148"/>
      <c r="L50" s="148"/>
      <c r="M50" s="148"/>
      <c r="N50" s="148"/>
      <c r="O50" s="148"/>
      <c r="P50" s="148"/>
      <c r="Q50" s="148"/>
      <c r="R50" s="148"/>
      <c r="S50" s="148"/>
      <c r="T50" s="148"/>
      <c r="U50" s="180"/>
      <c r="V50" s="180"/>
      <c r="W50" s="180"/>
      <c r="X50" s="180"/>
      <c r="Y50" s="180"/>
      <c r="Z50" s="278"/>
      <c r="AA50" s="148"/>
      <c r="AB50" s="148"/>
      <c r="AC50" s="148"/>
      <c r="AD50" s="877"/>
    </row>
    <row r="51" spans="1:30" ht="15.75" customHeight="1">
      <c r="A51" s="176"/>
      <c r="B51" s="837" t="s">
        <v>1003</v>
      </c>
      <c r="C51" s="180"/>
      <c r="D51" s="837"/>
      <c r="E51" s="851">
        <f>Inputs!E199</f>
        <v>80000</v>
      </c>
      <c r="F51" s="180"/>
      <c r="I51" s="858">
        <v>0</v>
      </c>
      <c r="J51" s="858">
        <v>0</v>
      </c>
      <c r="K51" s="858">
        <v>0</v>
      </c>
      <c r="L51" s="878">
        <v>5000</v>
      </c>
      <c r="M51" s="879">
        <v>0</v>
      </c>
      <c r="N51" s="879">
        <v>0</v>
      </c>
      <c r="O51" s="879">
        <v>0</v>
      </c>
      <c r="P51" s="880">
        <v>0</v>
      </c>
      <c r="Q51" s="880">
        <v>0</v>
      </c>
      <c r="R51" s="881">
        <v>0</v>
      </c>
      <c r="S51" s="880">
        <v>0</v>
      </c>
      <c r="T51" s="881">
        <v>20000</v>
      </c>
      <c r="U51" s="882">
        <v>20000</v>
      </c>
      <c r="V51" s="882">
        <v>20000</v>
      </c>
      <c r="W51" s="882">
        <v>15000</v>
      </c>
      <c r="X51" s="883">
        <v>0</v>
      </c>
      <c r="Y51" s="883">
        <v>0</v>
      </c>
      <c r="Z51" s="857">
        <f t="shared" ref="Z51:Z58" si="8">SUM(I51:Y51)</f>
        <v>80000</v>
      </c>
      <c r="AA51" s="148" t="str">
        <f t="shared" ref="AA51:AA59" si="9">IF(ABS(Z51-E51)&lt;1,"OK","Check")</f>
        <v>OK</v>
      </c>
      <c r="AB51" s="148"/>
      <c r="AC51" s="148"/>
      <c r="AD51" s="877"/>
    </row>
    <row r="52" spans="1:30" ht="15.75" customHeight="1">
      <c r="A52" s="176"/>
      <c r="B52" s="837" t="s">
        <v>1004</v>
      </c>
      <c r="C52" s="180"/>
      <c r="D52" s="837"/>
      <c r="E52" s="851">
        <f>Inputs!E200</f>
        <v>900000</v>
      </c>
      <c r="F52" s="180"/>
      <c r="I52" s="858">
        <v>0</v>
      </c>
      <c r="J52" s="858">
        <v>0</v>
      </c>
      <c r="K52" s="858">
        <v>0</v>
      </c>
      <c r="L52" s="878">
        <v>5000</v>
      </c>
      <c r="M52" s="879">
        <v>0</v>
      </c>
      <c r="N52" s="879">
        <v>0</v>
      </c>
      <c r="O52" s="879">
        <v>0</v>
      </c>
      <c r="P52" s="880">
        <v>0</v>
      </c>
      <c r="Q52" s="881">
        <v>0</v>
      </c>
      <c r="R52" s="880">
        <v>0</v>
      </c>
      <c r="S52" s="880">
        <v>0</v>
      </c>
      <c r="T52" s="881">
        <v>0</v>
      </c>
      <c r="U52" s="882">
        <v>100000</v>
      </c>
      <c r="V52" s="882">
        <v>95000</v>
      </c>
      <c r="W52" s="882">
        <v>0</v>
      </c>
      <c r="X52" s="882">
        <v>0</v>
      </c>
      <c r="Y52" s="882">
        <v>0</v>
      </c>
      <c r="Z52" s="857">
        <f t="shared" si="8"/>
        <v>200000</v>
      </c>
      <c r="AA52" s="148" t="str">
        <f t="shared" si="9"/>
        <v>Check</v>
      </c>
      <c r="AB52" s="148"/>
      <c r="AC52" s="148"/>
      <c r="AD52" s="877"/>
    </row>
    <row r="53" spans="1:30" ht="15.75" customHeight="1">
      <c r="A53" s="176"/>
      <c r="B53" s="837" t="s">
        <v>1005</v>
      </c>
      <c r="C53" s="180"/>
      <c r="D53" s="837"/>
      <c r="E53" s="851">
        <f>Inputs!E201</f>
        <v>70000</v>
      </c>
      <c r="F53" s="180"/>
      <c r="I53" s="858">
        <v>0</v>
      </c>
      <c r="J53" s="858">
        <v>0</v>
      </c>
      <c r="K53" s="858">
        <v>0</v>
      </c>
      <c r="L53" s="878">
        <v>5000</v>
      </c>
      <c r="M53" s="879">
        <v>0</v>
      </c>
      <c r="N53" s="879">
        <v>0</v>
      </c>
      <c r="O53" s="879">
        <v>0</v>
      </c>
      <c r="P53" s="880">
        <v>0</v>
      </c>
      <c r="Q53" s="880">
        <v>0</v>
      </c>
      <c r="R53" s="880">
        <v>0</v>
      </c>
      <c r="S53" s="880">
        <v>0</v>
      </c>
      <c r="T53" s="881">
        <v>50000</v>
      </c>
      <c r="U53" s="882">
        <v>0</v>
      </c>
      <c r="V53" s="882">
        <v>15000</v>
      </c>
      <c r="W53" s="882">
        <v>0</v>
      </c>
      <c r="X53" s="882">
        <v>0</v>
      </c>
      <c r="Y53" s="882">
        <v>0</v>
      </c>
      <c r="Z53" s="857">
        <f t="shared" si="8"/>
        <v>70000</v>
      </c>
      <c r="AA53" s="148" t="str">
        <f t="shared" si="9"/>
        <v>OK</v>
      </c>
      <c r="AB53" s="148"/>
      <c r="AC53" s="148"/>
      <c r="AD53" s="877"/>
    </row>
    <row r="54" spans="1:30" ht="15.75" customHeight="1">
      <c r="A54" s="176"/>
      <c r="B54" s="837" t="s">
        <v>1006</v>
      </c>
      <c r="C54" s="180"/>
      <c r="D54" s="837"/>
      <c r="E54" s="851">
        <f>Inputs!E202</f>
        <v>50000</v>
      </c>
      <c r="F54" s="180"/>
      <c r="I54" s="858">
        <v>0</v>
      </c>
      <c r="J54" s="858">
        <v>0</v>
      </c>
      <c r="K54" s="858">
        <v>0</v>
      </c>
      <c r="L54" s="878">
        <v>5000</v>
      </c>
      <c r="M54" s="879">
        <v>0</v>
      </c>
      <c r="N54" s="879">
        <v>0</v>
      </c>
      <c r="O54" s="879">
        <v>0</v>
      </c>
      <c r="P54" s="880">
        <v>0</v>
      </c>
      <c r="Q54" s="880">
        <v>0</v>
      </c>
      <c r="R54" s="881">
        <v>0</v>
      </c>
      <c r="S54" s="880">
        <v>0</v>
      </c>
      <c r="T54" s="884">
        <v>20000</v>
      </c>
      <c r="U54" s="882">
        <v>25000</v>
      </c>
      <c r="V54" s="882">
        <v>0</v>
      </c>
      <c r="W54" s="882">
        <v>0</v>
      </c>
      <c r="X54" s="882">
        <v>0</v>
      </c>
      <c r="Y54" s="882">
        <v>0</v>
      </c>
      <c r="Z54" s="857">
        <f t="shared" si="8"/>
        <v>50000</v>
      </c>
      <c r="AA54" s="148" t="str">
        <f t="shared" si="9"/>
        <v>OK</v>
      </c>
      <c r="AB54" s="148"/>
      <c r="AC54" s="148"/>
      <c r="AD54" s="877"/>
    </row>
    <row r="55" spans="1:30" ht="15.75" customHeight="1">
      <c r="A55" s="176"/>
      <c r="B55" s="837" t="s">
        <v>1007</v>
      </c>
      <c r="C55" s="180"/>
      <c r="D55" s="837"/>
      <c r="E55" s="851">
        <f>Inputs!E203</f>
        <v>150000</v>
      </c>
      <c r="F55" s="180"/>
      <c r="I55" s="858">
        <v>0</v>
      </c>
      <c r="J55" s="858">
        <v>0</v>
      </c>
      <c r="K55" s="858">
        <v>0</v>
      </c>
      <c r="L55" s="878">
        <v>10000</v>
      </c>
      <c r="M55" s="879">
        <v>0</v>
      </c>
      <c r="N55" s="879">
        <v>0</v>
      </c>
      <c r="O55" s="879">
        <v>0</v>
      </c>
      <c r="P55" s="880">
        <v>0</v>
      </c>
      <c r="Q55" s="880">
        <v>0</v>
      </c>
      <c r="R55" s="880">
        <v>0</v>
      </c>
      <c r="S55" s="880">
        <v>0</v>
      </c>
      <c r="T55" s="881">
        <v>0</v>
      </c>
      <c r="U55" s="882">
        <v>0</v>
      </c>
      <c r="V55" s="882">
        <v>50000</v>
      </c>
      <c r="W55" s="882">
        <v>50000</v>
      </c>
      <c r="X55" s="882">
        <v>40000</v>
      </c>
      <c r="Y55" s="882">
        <v>0</v>
      </c>
      <c r="Z55" s="857">
        <f t="shared" si="8"/>
        <v>150000</v>
      </c>
      <c r="AA55" s="148" t="str">
        <f t="shared" si="9"/>
        <v>OK</v>
      </c>
      <c r="AB55" s="148"/>
      <c r="AC55" s="148"/>
      <c r="AD55" s="877"/>
    </row>
    <row r="56" spans="1:30" ht="15.75" customHeight="1">
      <c r="A56" s="176"/>
      <c r="B56" s="837" t="s">
        <v>1008</v>
      </c>
      <c r="C56" s="180"/>
      <c r="D56" s="837"/>
      <c r="E56" s="851">
        <f>Inputs!E204</f>
        <v>150000</v>
      </c>
      <c r="F56" s="180"/>
      <c r="I56" s="858">
        <v>0</v>
      </c>
      <c r="J56" s="858">
        <v>0</v>
      </c>
      <c r="K56" s="858">
        <v>0</v>
      </c>
      <c r="L56" s="878">
        <v>5000</v>
      </c>
      <c r="M56" s="879">
        <v>0</v>
      </c>
      <c r="N56" s="879">
        <v>0</v>
      </c>
      <c r="O56" s="879">
        <v>0</v>
      </c>
      <c r="P56" s="880">
        <v>0</v>
      </c>
      <c r="Q56" s="880">
        <v>0</v>
      </c>
      <c r="R56" s="880">
        <v>0</v>
      </c>
      <c r="S56" s="880">
        <v>0</v>
      </c>
      <c r="T56" s="881">
        <v>100000</v>
      </c>
      <c r="U56" s="882">
        <v>0</v>
      </c>
      <c r="V56" s="882">
        <v>45000</v>
      </c>
      <c r="W56" s="882">
        <v>0</v>
      </c>
      <c r="X56" s="882">
        <v>0</v>
      </c>
      <c r="Y56" s="882">
        <v>0</v>
      </c>
      <c r="Z56" s="857">
        <f t="shared" si="8"/>
        <v>150000</v>
      </c>
      <c r="AA56" s="148" t="str">
        <f t="shared" si="9"/>
        <v>OK</v>
      </c>
      <c r="AB56" s="148"/>
      <c r="AC56" s="148"/>
      <c r="AD56" s="877"/>
    </row>
    <row r="57" spans="1:30" ht="15" customHeight="1">
      <c r="A57" s="176"/>
      <c r="B57" s="837" t="s">
        <v>1009</v>
      </c>
      <c r="C57" s="180"/>
      <c r="D57" s="837"/>
      <c r="E57" s="851">
        <f>Inputs!E205</f>
        <v>100000</v>
      </c>
      <c r="F57" s="180"/>
      <c r="I57" s="858">
        <v>0</v>
      </c>
      <c r="J57" s="858">
        <v>0</v>
      </c>
      <c r="K57" s="858">
        <v>0</v>
      </c>
      <c r="L57" s="878">
        <v>10000</v>
      </c>
      <c r="M57" s="879">
        <v>0</v>
      </c>
      <c r="N57" s="879">
        <v>0</v>
      </c>
      <c r="O57" s="879">
        <v>0</v>
      </c>
      <c r="P57" s="880">
        <v>0</v>
      </c>
      <c r="Q57" s="881">
        <v>0</v>
      </c>
      <c r="R57" s="880">
        <v>0</v>
      </c>
      <c r="S57" s="880">
        <v>0</v>
      </c>
      <c r="T57" s="881">
        <v>20000</v>
      </c>
      <c r="U57" s="882">
        <v>40000</v>
      </c>
      <c r="V57" s="882">
        <v>30000</v>
      </c>
      <c r="W57" s="882">
        <v>0</v>
      </c>
      <c r="X57" s="882">
        <v>0</v>
      </c>
      <c r="Y57" s="882">
        <v>0</v>
      </c>
      <c r="Z57" s="857">
        <f t="shared" si="8"/>
        <v>100000</v>
      </c>
      <c r="AA57" s="148" t="str">
        <f t="shared" si="9"/>
        <v>OK</v>
      </c>
      <c r="AB57" s="148"/>
      <c r="AC57" s="148"/>
      <c r="AD57" s="877"/>
    </row>
    <row r="58" spans="1:30" ht="15" customHeight="1">
      <c r="A58" s="189"/>
      <c r="B58" s="278" t="s">
        <v>1660</v>
      </c>
      <c r="C58" s="839" t="s">
        <v>336</v>
      </c>
      <c r="D58" s="839"/>
      <c r="E58" s="840">
        <f>SUM(E51:E57)</f>
        <v>1500000</v>
      </c>
      <c r="F58" s="278"/>
      <c r="I58" s="866">
        <f t="shared" ref="I58:Y58" si="10">SUM(I51:I57)</f>
        <v>0</v>
      </c>
      <c r="J58" s="866">
        <f t="shared" si="10"/>
        <v>0</v>
      </c>
      <c r="K58" s="866">
        <f t="shared" si="10"/>
        <v>0</v>
      </c>
      <c r="L58" s="866">
        <f t="shared" si="10"/>
        <v>45000</v>
      </c>
      <c r="M58" s="866">
        <f t="shared" si="10"/>
        <v>0</v>
      </c>
      <c r="N58" s="866">
        <f t="shared" si="10"/>
        <v>0</v>
      </c>
      <c r="O58" s="866">
        <f t="shared" si="10"/>
        <v>0</v>
      </c>
      <c r="P58" s="866">
        <f t="shared" si="10"/>
        <v>0</v>
      </c>
      <c r="Q58" s="866">
        <f t="shared" si="10"/>
        <v>0</v>
      </c>
      <c r="R58" s="866">
        <f t="shared" si="10"/>
        <v>0</v>
      </c>
      <c r="S58" s="866">
        <f t="shared" si="10"/>
        <v>0</v>
      </c>
      <c r="T58" s="866">
        <f t="shared" si="10"/>
        <v>210000</v>
      </c>
      <c r="U58" s="866">
        <f t="shared" si="10"/>
        <v>185000</v>
      </c>
      <c r="V58" s="866">
        <f t="shared" si="10"/>
        <v>255000</v>
      </c>
      <c r="W58" s="866">
        <f t="shared" si="10"/>
        <v>65000</v>
      </c>
      <c r="X58" s="866">
        <f t="shared" si="10"/>
        <v>40000</v>
      </c>
      <c r="Y58" s="866">
        <f t="shared" si="10"/>
        <v>0</v>
      </c>
      <c r="Z58" s="866">
        <f t="shared" si="8"/>
        <v>800000</v>
      </c>
      <c r="AA58" s="148" t="str">
        <f t="shared" si="9"/>
        <v>Check</v>
      </c>
      <c r="AB58" s="148"/>
      <c r="AC58" s="148"/>
      <c r="AD58" s="877"/>
    </row>
    <row r="59" spans="1:30" ht="15.75" customHeight="1">
      <c r="A59" s="189"/>
      <c r="B59" s="278"/>
      <c r="C59" s="839"/>
      <c r="D59" s="839"/>
      <c r="E59" s="278"/>
      <c r="F59" s="278"/>
      <c r="I59" s="278"/>
      <c r="J59" s="278"/>
      <c r="K59" s="278"/>
      <c r="L59" s="278"/>
      <c r="M59" s="278"/>
      <c r="N59" s="278"/>
      <c r="O59" s="278"/>
      <c r="P59" s="278"/>
      <c r="Q59" s="278"/>
      <c r="R59" s="278"/>
      <c r="S59" s="278"/>
      <c r="T59" s="278"/>
      <c r="U59" s="180"/>
      <c r="V59" s="180"/>
      <c r="W59" s="180"/>
      <c r="X59" s="180"/>
      <c r="Y59" s="180"/>
      <c r="Z59" s="278"/>
      <c r="AA59" s="148" t="str">
        <f t="shared" si="9"/>
        <v>OK</v>
      </c>
      <c r="AB59" s="148"/>
      <c r="AC59" s="148"/>
      <c r="AD59" s="877"/>
    </row>
    <row r="60" spans="1:30" ht="15.75" customHeight="1">
      <c r="A60" s="867" t="s">
        <v>948</v>
      </c>
      <c r="B60" s="837"/>
      <c r="C60" s="148"/>
      <c r="D60" s="148"/>
      <c r="E60" s="148"/>
      <c r="F60" s="148"/>
      <c r="I60" s="148"/>
      <c r="J60" s="148"/>
      <c r="K60" s="148"/>
      <c r="L60" s="148"/>
      <c r="M60" s="148"/>
      <c r="N60" s="148"/>
      <c r="O60" s="148"/>
      <c r="P60" s="148"/>
      <c r="Q60" s="148"/>
      <c r="R60" s="148"/>
      <c r="S60" s="148"/>
      <c r="T60" s="148"/>
      <c r="U60" s="180"/>
      <c r="V60" s="180"/>
      <c r="W60" s="180"/>
      <c r="X60" s="180"/>
      <c r="Y60" s="180"/>
      <c r="Z60" s="278"/>
      <c r="AA60" s="148"/>
      <c r="AB60" s="148"/>
      <c r="AC60" s="148"/>
      <c r="AD60" s="140"/>
    </row>
    <row r="61" spans="1:30" ht="15.75" customHeight="1">
      <c r="A61" s="176"/>
      <c r="B61" s="885" t="s">
        <v>1010</v>
      </c>
      <c r="C61" s="837"/>
      <c r="D61" s="837"/>
      <c r="E61" s="851">
        <f>Inputs!E208</f>
        <v>0</v>
      </c>
      <c r="F61" s="180"/>
      <c r="I61" s="858">
        <v>0</v>
      </c>
      <c r="J61" s="858">
        <v>0</v>
      </c>
      <c r="K61" s="858">
        <v>0</v>
      </c>
      <c r="L61" s="854">
        <v>0</v>
      </c>
      <c r="M61" s="854">
        <v>0</v>
      </c>
      <c r="N61" s="854">
        <v>0</v>
      </c>
      <c r="O61" s="854">
        <v>0</v>
      </c>
      <c r="P61" s="860">
        <v>0</v>
      </c>
      <c r="Q61" s="860">
        <v>0</v>
      </c>
      <c r="R61" s="860">
        <v>0</v>
      </c>
      <c r="S61" s="860">
        <v>0</v>
      </c>
      <c r="T61" s="860">
        <v>0</v>
      </c>
      <c r="U61" s="861">
        <v>0</v>
      </c>
      <c r="V61" s="861">
        <v>0</v>
      </c>
      <c r="W61" s="861">
        <v>0</v>
      </c>
      <c r="X61" s="861">
        <v>0</v>
      </c>
      <c r="Y61" s="861">
        <v>0</v>
      </c>
      <c r="Z61" s="857">
        <f t="shared" ref="Z61:Z72" si="11">SUM(I61:Y61)</f>
        <v>0</v>
      </c>
      <c r="AA61" s="148" t="str">
        <f t="shared" ref="AA61:AA70" si="12">IF(ABS(Z61-E61)&lt;1,"OK","Check")</f>
        <v>OK</v>
      </c>
      <c r="AB61" s="148"/>
      <c r="AC61" s="148"/>
    </row>
    <row r="62" spans="1:30" ht="15.75" customHeight="1">
      <c r="A62" s="176"/>
      <c r="B62" s="885" t="s">
        <v>1011</v>
      </c>
      <c r="C62" s="837"/>
      <c r="D62" s="837"/>
      <c r="E62" s="851">
        <f>Inputs!E209</f>
        <v>120000</v>
      </c>
      <c r="F62" s="180"/>
      <c r="I62" s="858">
        <v>0</v>
      </c>
      <c r="J62" s="858">
        <v>0</v>
      </c>
      <c r="K62" s="858">
        <v>0</v>
      </c>
      <c r="L62" s="854">
        <v>0</v>
      </c>
      <c r="M62" s="854">
        <v>0</v>
      </c>
      <c r="N62" s="854">
        <v>0</v>
      </c>
      <c r="O62" s="854">
        <v>0</v>
      </c>
      <c r="P62" s="860">
        <v>0</v>
      </c>
      <c r="Q62" s="860">
        <v>0</v>
      </c>
      <c r="R62" s="860">
        <v>0</v>
      </c>
      <c r="S62" s="860">
        <v>0</v>
      </c>
      <c r="T62" s="860">
        <v>80000</v>
      </c>
      <c r="U62" s="861">
        <v>0</v>
      </c>
      <c r="V62" s="861">
        <v>40000</v>
      </c>
      <c r="W62" s="861">
        <v>0</v>
      </c>
      <c r="X62" s="861">
        <v>0</v>
      </c>
      <c r="Y62" s="861">
        <v>0</v>
      </c>
      <c r="Z62" s="857">
        <f t="shared" si="11"/>
        <v>120000</v>
      </c>
      <c r="AA62" s="148" t="str">
        <f t="shared" si="12"/>
        <v>OK</v>
      </c>
      <c r="AB62" s="148"/>
      <c r="AC62" s="148"/>
    </row>
    <row r="63" spans="1:30" ht="15.75" customHeight="1">
      <c r="A63" s="176"/>
      <c r="B63" s="885" t="s">
        <v>1012</v>
      </c>
      <c r="C63" s="837"/>
      <c r="D63" s="837"/>
      <c r="E63" s="851">
        <f>Inputs!E210</f>
        <v>30000</v>
      </c>
      <c r="F63" s="180"/>
      <c r="I63" s="858">
        <v>0</v>
      </c>
      <c r="J63" s="858">
        <v>0</v>
      </c>
      <c r="K63" s="858">
        <v>0</v>
      </c>
      <c r="L63" s="854">
        <v>0</v>
      </c>
      <c r="M63" s="854">
        <v>0</v>
      </c>
      <c r="N63" s="854">
        <v>10000</v>
      </c>
      <c r="O63" s="854">
        <v>20000</v>
      </c>
      <c r="P63" s="860">
        <v>0</v>
      </c>
      <c r="Q63" s="860">
        <v>0</v>
      </c>
      <c r="R63" s="860">
        <v>0</v>
      </c>
      <c r="S63" s="860">
        <v>0</v>
      </c>
      <c r="T63" s="860">
        <v>0</v>
      </c>
      <c r="U63" s="861">
        <v>0</v>
      </c>
      <c r="V63" s="861">
        <v>0</v>
      </c>
      <c r="W63" s="861">
        <v>0</v>
      </c>
      <c r="X63" s="861">
        <v>0</v>
      </c>
      <c r="Y63" s="861">
        <v>0</v>
      </c>
      <c r="Z63" s="857">
        <f t="shared" si="11"/>
        <v>30000</v>
      </c>
      <c r="AA63" s="148" t="str">
        <f t="shared" si="12"/>
        <v>OK</v>
      </c>
      <c r="AB63" s="148"/>
      <c r="AC63" s="148"/>
    </row>
    <row r="64" spans="1:30" ht="15.75" customHeight="1">
      <c r="A64" s="176"/>
      <c r="B64" s="885" t="s">
        <v>1013</v>
      </c>
      <c r="C64" s="837"/>
      <c r="D64" s="837"/>
      <c r="E64" s="851">
        <f>Inputs!E211</f>
        <v>15000</v>
      </c>
      <c r="F64" s="180"/>
      <c r="I64" s="858">
        <v>0</v>
      </c>
      <c r="J64" s="858">
        <v>0</v>
      </c>
      <c r="K64" s="858">
        <v>0</v>
      </c>
      <c r="L64" s="854">
        <v>15000</v>
      </c>
      <c r="M64" s="854">
        <v>0</v>
      </c>
      <c r="N64" s="854">
        <v>0</v>
      </c>
      <c r="O64" s="854">
        <v>0</v>
      </c>
      <c r="P64" s="860">
        <v>0</v>
      </c>
      <c r="Q64" s="860">
        <v>0</v>
      </c>
      <c r="R64" s="860">
        <v>0</v>
      </c>
      <c r="S64" s="860">
        <v>0</v>
      </c>
      <c r="T64" s="860">
        <v>0</v>
      </c>
      <c r="U64" s="861">
        <v>0</v>
      </c>
      <c r="V64" s="861">
        <v>0</v>
      </c>
      <c r="W64" s="861">
        <v>0</v>
      </c>
      <c r="X64" s="861">
        <v>0</v>
      </c>
      <c r="Y64" s="861">
        <v>0</v>
      </c>
      <c r="Z64" s="857">
        <f t="shared" si="11"/>
        <v>15000</v>
      </c>
      <c r="AA64" s="148" t="str">
        <f t="shared" si="12"/>
        <v>OK</v>
      </c>
      <c r="AB64" s="148"/>
      <c r="AC64" s="148"/>
    </row>
    <row r="65" spans="1:30" ht="15.75" customHeight="1">
      <c r="A65" s="176"/>
      <c r="B65" s="885" t="s">
        <v>1014</v>
      </c>
      <c r="C65" s="837"/>
      <c r="D65" s="837"/>
      <c r="E65" s="851">
        <f>Inputs!E212</f>
        <v>30000</v>
      </c>
      <c r="F65" s="180"/>
      <c r="I65" s="858">
        <v>0</v>
      </c>
      <c r="J65" s="858">
        <v>0</v>
      </c>
      <c r="K65" s="858">
        <v>0</v>
      </c>
      <c r="L65" s="854">
        <v>0</v>
      </c>
      <c r="M65" s="854">
        <v>0</v>
      </c>
      <c r="N65" s="854">
        <v>0</v>
      </c>
      <c r="O65" s="854">
        <v>10000</v>
      </c>
      <c r="P65" s="860">
        <v>0</v>
      </c>
      <c r="Q65" s="860">
        <v>0</v>
      </c>
      <c r="R65" s="860">
        <v>0</v>
      </c>
      <c r="S65" s="860">
        <v>20000</v>
      </c>
      <c r="T65" s="860">
        <v>0</v>
      </c>
      <c r="U65" s="861">
        <v>0</v>
      </c>
      <c r="V65" s="861">
        <v>0</v>
      </c>
      <c r="W65" s="861">
        <v>0</v>
      </c>
      <c r="X65" s="861">
        <v>0</v>
      </c>
      <c r="Y65" s="861">
        <v>0</v>
      </c>
      <c r="Z65" s="857">
        <f t="shared" si="11"/>
        <v>30000</v>
      </c>
      <c r="AA65" s="148" t="str">
        <f t="shared" si="12"/>
        <v>OK</v>
      </c>
      <c r="AB65" s="148"/>
      <c r="AC65" s="148"/>
    </row>
    <row r="66" spans="1:30" ht="15.75" customHeight="1">
      <c r="A66" s="176"/>
      <c r="B66" s="885" t="s">
        <v>1015</v>
      </c>
      <c r="C66" s="837"/>
      <c r="D66" s="837"/>
      <c r="E66" s="851">
        <f>Inputs!E213</f>
        <v>70000</v>
      </c>
      <c r="F66" s="180"/>
      <c r="I66" s="858">
        <v>0</v>
      </c>
      <c r="J66" s="858">
        <v>0</v>
      </c>
      <c r="K66" s="858">
        <v>0</v>
      </c>
      <c r="L66" s="854">
        <v>0</v>
      </c>
      <c r="M66" s="854">
        <v>0</v>
      </c>
      <c r="N66" s="854">
        <v>0</v>
      </c>
      <c r="O66" s="854">
        <v>0</v>
      </c>
      <c r="P66" s="860">
        <v>10000</v>
      </c>
      <c r="Q66" s="860">
        <v>0</v>
      </c>
      <c r="R66" s="860">
        <v>0</v>
      </c>
      <c r="S66" s="860">
        <v>0</v>
      </c>
      <c r="T66" s="860">
        <v>30000</v>
      </c>
      <c r="U66" s="861">
        <v>0</v>
      </c>
      <c r="V66" s="861">
        <v>20000</v>
      </c>
      <c r="W66" s="861">
        <v>10000</v>
      </c>
      <c r="X66" s="861">
        <v>0</v>
      </c>
      <c r="Y66" s="861">
        <v>0</v>
      </c>
      <c r="Z66" s="857">
        <f t="shared" si="11"/>
        <v>70000</v>
      </c>
      <c r="AA66" s="148" t="str">
        <f t="shared" si="12"/>
        <v>OK</v>
      </c>
      <c r="AB66" s="148"/>
      <c r="AC66" s="148"/>
    </row>
    <row r="67" spans="1:30" ht="15.75" customHeight="1">
      <c r="A67" s="176"/>
      <c r="B67" s="885" t="s">
        <v>1016</v>
      </c>
      <c r="C67" s="837"/>
      <c r="D67" s="837"/>
      <c r="E67" s="851">
        <f>Inputs!E214</f>
        <v>0</v>
      </c>
      <c r="F67" s="180"/>
      <c r="I67" s="858">
        <v>0</v>
      </c>
      <c r="J67" s="858">
        <v>0</v>
      </c>
      <c r="K67" s="858">
        <v>0</v>
      </c>
      <c r="L67" s="854">
        <v>0</v>
      </c>
      <c r="M67" s="854">
        <v>0</v>
      </c>
      <c r="N67" s="854">
        <v>0</v>
      </c>
      <c r="O67" s="854">
        <v>0</v>
      </c>
      <c r="P67" s="860">
        <v>0</v>
      </c>
      <c r="Q67" s="860">
        <v>0</v>
      </c>
      <c r="R67" s="860">
        <v>0</v>
      </c>
      <c r="S67" s="860">
        <v>0</v>
      </c>
      <c r="T67" s="860">
        <v>0</v>
      </c>
      <c r="U67" s="861">
        <v>0</v>
      </c>
      <c r="V67" s="861">
        <v>0</v>
      </c>
      <c r="W67" s="861">
        <v>0</v>
      </c>
      <c r="X67" s="861">
        <v>0</v>
      </c>
      <c r="Y67" s="861">
        <v>0</v>
      </c>
      <c r="Z67" s="857">
        <f t="shared" si="11"/>
        <v>0</v>
      </c>
      <c r="AA67" s="148" t="str">
        <f t="shared" si="12"/>
        <v>OK</v>
      </c>
      <c r="AB67" s="148"/>
      <c r="AC67" s="148"/>
    </row>
    <row r="68" spans="1:30" ht="15.75" customHeight="1">
      <c r="A68" s="176"/>
      <c r="B68" s="885" t="s">
        <v>1017</v>
      </c>
      <c r="C68" s="837"/>
      <c r="D68" s="837"/>
      <c r="E68" s="851">
        <f>Inputs!E215</f>
        <v>100000</v>
      </c>
      <c r="F68" s="148"/>
      <c r="I68" s="858">
        <v>0</v>
      </c>
      <c r="J68" s="858">
        <v>0</v>
      </c>
      <c r="K68" s="858">
        <v>0</v>
      </c>
      <c r="L68" s="854">
        <v>0</v>
      </c>
      <c r="M68" s="854">
        <v>0</v>
      </c>
      <c r="N68" s="854">
        <v>0</v>
      </c>
      <c r="O68" s="854">
        <v>20000</v>
      </c>
      <c r="P68" s="860">
        <v>0</v>
      </c>
      <c r="Q68" s="860">
        <v>0</v>
      </c>
      <c r="R68" s="860">
        <v>0</v>
      </c>
      <c r="S68" s="860">
        <v>30000</v>
      </c>
      <c r="T68" s="860">
        <v>0</v>
      </c>
      <c r="U68" s="861">
        <v>0</v>
      </c>
      <c r="V68" s="861">
        <v>50000</v>
      </c>
      <c r="W68" s="861">
        <v>0</v>
      </c>
      <c r="X68" s="861">
        <v>0</v>
      </c>
      <c r="Y68" s="861">
        <v>0</v>
      </c>
      <c r="Z68" s="857">
        <f t="shared" si="11"/>
        <v>100000</v>
      </c>
      <c r="AA68" s="148" t="str">
        <f t="shared" si="12"/>
        <v>OK</v>
      </c>
      <c r="AB68" s="148"/>
      <c r="AC68" s="148"/>
    </row>
    <row r="69" spans="1:30" ht="15.75" customHeight="1">
      <c r="A69" s="176"/>
      <c r="B69" s="885" t="s">
        <v>1018</v>
      </c>
      <c r="C69" s="180"/>
      <c r="D69" s="837"/>
      <c r="E69" s="851">
        <f>Inputs!E216</f>
        <v>0</v>
      </c>
      <c r="F69" s="180"/>
      <c r="I69" s="858">
        <v>0</v>
      </c>
      <c r="J69" s="858">
        <v>0</v>
      </c>
      <c r="K69" s="858">
        <v>0</v>
      </c>
      <c r="L69" s="854">
        <v>0</v>
      </c>
      <c r="M69" s="854">
        <v>0</v>
      </c>
      <c r="N69" s="854">
        <v>0</v>
      </c>
      <c r="O69" s="854">
        <v>0</v>
      </c>
      <c r="P69" s="860">
        <v>0</v>
      </c>
      <c r="Q69" s="860">
        <v>0</v>
      </c>
      <c r="R69" s="860">
        <v>0</v>
      </c>
      <c r="S69" s="860">
        <v>0</v>
      </c>
      <c r="T69" s="860">
        <v>0</v>
      </c>
      <c r="U69" s="861">
        <v>0</v>
      </c>
      <c r="V69" s="861">
        <v>0</v>
      </c>
      <c r="W69" s="861">
        <v>0</v>
      </c>
      <c r="X69" s="861">
        <v>0</v>
      </c>
      <c r="Y69" s="861">
        <v>0</v>
      </c>
      <c r="Z69" s="857">
        <f t="shared" si="11"/>
        <v>0</v>
      </c>
      <c r="AA69" s="148" t="str">
        <f t="shared" si="12"/>
        <v>OK</v>
      </c>
      <c r="AB69" s="148"/>
      <c r="AC69" s="148"/>
    </row>
    <row r="70" spans="1:30" ht="15" customHeight="1">
      <c r="A70" s="176"/>
      <c r="B70" s="885" t="s">
        <v>1019</v>
      </c>
      <c r="C70" s="180"/>
      <c r="D70" s="837"/>
      <c r="E70" s="851">
        <f>Inputs!E217</f>
        <v>75000</v>
      </c>
      <c r="F70" s="180"/>
      <c r="I70" s="858">
        <v>0</v>
      </c>
      <c r="J70" s="858">
        <v>0</v>
      </c>
      <c r="K70" s="858">
        <v>0</v>
      </c>
      <c r="L70" s="854">
        <v>0</v>
      </c>
      <c r="M70" s="854">
        <v>0</v>
      </c>
      <c r="N70" s="854">
        <v>0</v>
      </c>
      <c r="O70" s="854">
        <v>0</v>
      </c>
      <c r="P70" s="860">
        <v>0</v>
      </c>
      <c r="Q70" s="860">
        <v>0</v>
      </c>
      <c r="R70" s="860">
        <v>0</v>
      </c>
      <c r="S70" s="860">
        <v>0</v>
      </c>
      <c r="T70" s="860">
        <v>10000</v>
      </c>
      <c r="U70" s="861">
        <v>0</v>
      </c>
      <c r="V70" s="861">
        <v>65000</v>
      </c>
      <c r="W70" s="861">
        <v>0</v>
      </c>
      <c r="X70" s="861">
        <v>0</v>
      </c>
      <c r="Y70" s="861">
        <v>0</v>
      </c>
      <c r="Z70" s="857">
        <f t="shared" si="11"/>
        <v>75000</v>
      </c>
      <c r="AA70" s="148" t="str">
        <f t="shared" si="12"/>
        <v>OK</v>
      </c>
      <c r="AB70" s="148"/>
      <c r="AC70" s="148"/>
    </row>
    <row r="71" spans="1:30" ht="15" customHeight="1">
      <c r="A71" s="176"/>
      <c r="B71" s="885" t="s">
        <v>1020</v>
      </c>
      <c r="C71" s="180"/>
      <c r="D71" s="837"/>
      <c r="E71" s="851">
        <f>Inputs!E218</f>
        <v>50000</v>
      </c>
      <c r="F71" s="180"/>
      <c r="I71" s="858">
        <v>0</v>
      </c>
      <c r="J71" s="858">
        <v>0</v>
      </c>
      <c r="K71" s="858">
        <v>0</v>
      </c>
      <c r="L71" s="854">
        <v>0</v>
      </c>
      <c r="M71" s="854">
        <v>0</v>
      </c>
      <c r="N71" s="854">
        <v>0</v>
      </c>
      <c r="O71" s="854">
        <v>0</v>
      </c>
      <c r="P71" s="860">
        <v>0</v>
      </c>
      <c r="Q71" s="860">
        <v>0</v>
      </c>
      <c r="R71" s="860">
        <v>0</v>
      </c>
      <c r="S71" s="860">
        <v>50000</v>
      </c>
      <c r="T71" s="860">
        <v>0</v>
      </c>
      <c r="U71" s="861">
        <v>0</v>
      </c>
      <c r="V71" s="861">
        <v>0</v>
      </c>
      <c r="W71" s="861">
        <v>0</v>
      </c>
      <c r="X71" s="861">
        <v>0</v>
      </c>
      <c r="Y71" s="861">
        <v>0</v>
      </c>
      <c r="Z71" s="857">
        <f t="shared" si="11"/>
        <v>50000</v>
      </c>
      <c r="AA71" s="148"/>
      <c r="AB71" s="148"/>
      <c r="AC71" s="148"/>
    </row>
    <row r="72" spans="1:30" ht="15" customHeight="1">
      <c r="A72" s="189"/>
      <c r="B72" s="278" t="s">
        <v>1661</v>
      </c>
      <c r="C72" s="839" t="s">
        <v>336</v>
      </c>
      <c r="D72" s="839"/>
      <c r="E72" s="840">
        <f>SUM(E61:E71)</f>
        <v>490000</v>
      </c>
      <c r="F72" s="180"/>
      <c r="I72" s="866">
        <f t="shared" ref="I72:Y72" si="13">SUM(I61:I71)</f>
        <v>0</v>
      </c>
      <c r="J72" s="866">
        <f t="shared" si="13"/>
        <v>0</v>
      </c>
      <c r="K72" s="866">
        <f t="shared" si="13"/>
        <v>0</v>
      </c>
      <c r="L72" s="866">
        <f t="shared" si="13"/>
        <v>15000</v>
      </c>
      <c r="M72" s="866">
        <f t="shared" si="13"/>
        <v>0</v>
      </c>
      <c r="N72" s="866">
        <f t="shared" si="13"/>
        <v>10000</v>
      </c>
      <c r="O72" s="866">
        <f t="shared" si="13"/>
        <v>50000</v>
      </c>
      <c r="P72" s="866">
        <f t="shared" si="13"/>
        <v>10000</v>
      </c>
      <c r="Q72" s="866">
        <f t="shared" si="13"/>
        <v>0</v>
      </c>
      <c r="R72" s="866">
        <f t="shared" si="13"/>
        <v>0</v>
      </c>
      <c r="S72" s="866">
        <f t="shared" si="13"/>
        <v>100000</v>
      </c>
      <c r="T72" s="866">
        <f t="shared" si="13"/>
        <v>120000</v>
      </c>
      <c r="U72" s="866">
        <f t="shared" si="13"/>
        <v>0</v>
      </c>
      <c r="V72" s="866">
        <f t="shared" si="13"/>
        <v>175000</v>
      </c>
      <c r="W72" s="866">
        <f t="shared" si="13"/>
        <v>10000</v>
      </c>
      <c r="X72" s="866">
        <f t="shared" si="13"/>
        <v>0</v>
      </c>
      <c r="Y72" s="866">
        <f t="shared" si="13"/>
        <v>0</v>
      </c>
      <c r="Z72" s="866">
        <f t="shared" si="11"/>
        <v>490000</v>
      </c>
      <c r="AA72" s="148" t="str">
        <f t="shared" ref="AA72:AA73" si="14">IF(ABS(Z72-E72)&lt;1,"OK","Check")</f>
        <v>OK</v>
      </c>
      <c r="AB72" s="148"/>
      <c r="AC72" s="148"/>
    </row>
    <row r="73" spans="1:30" ht="15.75" customHeight="1">
      <c r="A73" s="189"/>
      <c r="B73" s="278"/>
      <c r="C73" s="839"/>
      <c r="D73" s="839"/>
      <c r="E73" s="278"/>
      <c r="F73" s="180"/>
      <c r="I73" s="180"/>
      <c r="J73" s="278"/>
      <c r="K73" s="278"/>
      <c r="L73" s="278"/>
      <c r="M73" s="278"/>
      <c r="N73" s="278"/>
      <c r="O73" s="278"/>
      <c r="P73" s="278"/>
      <c r="Q73" s="278"/>
      <c r="R73" s="278"/>
      <c r="S73" s="278"/>
      <c r="T73" s="278"/>
      <c r="U73" s="180"/>
      <c r="V73" s="180"/>
      <c r="W73" s="180"/>
      <c r="X73" s="180"/>
      <c r="Y73" s="180"/>
      <c r="Z73" s="278"/>
      <c r="AA73" s="148" t="str">
        <f t="shared" si="14"/>
        <v>OK</v>
      </c>
      <c r="AB73" s="148"/>
      <c r="AC73" s="148"/>
    </row>
    <row r="74" spans="1:30" ht="15.75" customHeight="1">
      <c r="A74" s="867" t="s">
        <v>950</v>
      </c>
      <c r="B74" s="837"/>
      <c r="C74" s="148"/>
      <c r="D74" s="148"/>
      <c r="E74" s="148"/>
      <c r="F74" s="180"/>
      <c r="I74" s="180"/>
      <c r="J74" s="148"/>
      <c r="K74" s="148"/>
      <c r="L74" s="148"/>
      <c r="M74" s="148"/>
      <c r="N74" s="148"/>
      <c r="O74" s="148"/>
      <c r="P74" s="148"/>
      <c r="Q74" s="148"/>
      <c r="R74" s="148"/>
      <c r="S74" s="148"/>
      <c r="T74" s="148"/>
      <c r="U74" s="180"/>
      <c r="V74" s="180"/>
      <c r="W74" s="180"/>
      <c r="X74" s="180"/>
      <c r="Y74" s="180"/>
      <c r="Z74" s="278"/>
      <c r="AA74" s="148"/>
      <c r="AB74" s="148"/>
      <c r="AC74" s="148"/>
      <c r="AD74" s="140"/>
    </row>
    <row r="75" spans="1:30" ht="15.75" customHeight="1">
      <c r="A75" s="627"/>
      <c r="B75" s="837" t="s">
        <v>1021</v>
      </c>
      <c r="C75" s="180"/>
      <c r="D75" s="148"/>
      <c r="E75" s="851">
        <f>Inputs!E221</f>
        <v>0</v>
      </c>
      <c r="F75" s="180"/>
      <c r="I75" s="858">
        <v>0</v>
      </c>
      <c r="J75" s="858">
        <v>0</v>
      </c>
      <c r="K75" s="858">
        <v>0</v>
      </c>
      <c r="L75" s="854">
        <v>0</v>
      </c>
      <c r="M75" s="854">
        <v>0</v>
      </c>
      <c r="N75" s="854">
        <v>0</v>
      </c>
      <c r="O75" s="854">
        <v>0</v>
      </c>
      <c r="P75" s="860">
        <v>0</v>
      </c>
      <c r="Q75" s="860">
        <v>0</v>
      </c>
      <c r="R75" s="860">
        <v>0</v>
      </c>
      <c r="S75" s="860">
        <v>0</v>
      </c>
      <c r="T75" s="860">
        <v>0</v>
      </c>
      <c r="U75" s="861">
        <v>0</v>
      </c>
      <c r="V75" s="861">
        <v>0</v>
      </c>
      <c r="W75" s="861">
        <v>0</v>
      </c>
      <c r="X75" s="861">
        <v>0</v>
      </c>
      <c r="Y75" s="861">
        <v>0</v>
      </c>
      <c r="Z75" s="857">
        <f t="shared" ref="Z75:Z103" si="15">SUM(I75:Y75)</f>
        <v>0</v>
      </c>
      <c r="AA75" s="148" t="str">
        <f t="shared" ref="AA75:AA101" si="16">IFERROR(IF(Z75=E75, "OK", "Check"),"")</f>
        <v>OK</v>
      </c>
      <c r="AB75" s="148"/>
      <c r="AC75" s="148"/>
      <c r="AD75" s="140"/>
    </row>
    <row r="76" spans="1:30" ht="15.75" customHeight="1">
      <c r="A76" s="627"/>
      <c r="B76" s="837" t="s">
        <v>1022</v>
      </c>
      <c r="C76" s="180"/>
      <c r="D76" s="148"/>
      <c r="E76" s="851">
        <f>Inputs!E222</f>
        <v>0</v>
      </c>
      <c r="F76" s="180"/>
      <c r="I76" s="858">
        <v>0</v>
      </c>
      <c r="J76" s="858">
        <v>0</v>
      </c>
      <c r="K76" s="858">
        <v>0</v>
      </c>
      <c r="L76" s="854">
        <v>0</v>
      </c>
      <c r="M76" s="854">
        <v>0</v>
      </c>
      <c r="N76" s="854">
        <v>0</v>
      </c>
      <c r="O76" s="854">
        <v>0</v>
      </c>
      <c r="P76" s="860">
        <v>0</v>
      </c>
      <c r="Q76" s="860">
        <v>0</v>
      </c>
      <c r="R76" s="860">
        <v>0</v>
      </c>
      <c r="S76" s="860">
        <v>0</v>
      </c>
      <c r="T76" s="860">
        <v>0</v>
      </c>
      <c r="U76" s="861">
        <v>0</v>
      </c>
      <c r="V76" s="861">
        <v>0</v>
      </c>
      <c r="W76" s="861">
        <v>0</v>
      </c>
      <c r="X76" s="861">
        <v>0</v>
      </c>
      <c r="Y76" s="861">
        <v>0</v>
      </c>
      <c r="Z76" s="857">
        <f t="shared" si="15"/>
        <v>0</v>
      </c>
      <c r="AA76" s="148" t="str">
        <f t="shared" si="16"/>
        <v>OK</v>
      </c>
      <c r="AB76" s="148"/>
      <c r="AC76" s="148"/>
      <c r="AD76" s="140"/>
    </row>
    <row r="77" spans="1:30" ht="15.75" customHeight="1">
      <c r="A77" s="627"/>
      <c r="B77" s="837" t="s">
        <v>1023</v>
      </c>
      <c r="C77" s="180"/>
      <c r="D77" s="148"/>
      <c r="E77" s="851">
        <f>Inputs!E223</f>
        <v>0</v>
      </c>
      <c r="F77" s="180"/>
      <c r="I77" s="858">
        <v>0</v>
      </c>
      <c r="J77" s="858">
        <v>0</v>
      </c>
      <c r="K77" s="858">
        <v>0</v>
      </c>
      <c r="L77" s="854">
        <v>0</v>
      </c>
      <c r="M77" s="854">
        <v>0</v>
      </c>
      <c r="N77" s="854">
        <v>0</v>
      </c>
      <c r="O77" s="854">
        <v>0</v>
      </c>
      <c r="P77" s="860">
        <v>0</v>
      </c>
      <c r="Q77" s="860">
        <v>0</v>
      </c>
      <c r="R77" s="860">
        <v>0</v>
      </c>
      <c r="S77" s="860">
        <v>0</v>
      </c>
      <c r="T77" s="860">
        <v>0</v>
      </c>
      <c r="U77" s="861">
        <v>0</v>
      </c>
      <c r="V77" s="861">
        <v>0</v>
      </c>
      <c r="W77" s="861">
        <v>0</v>
      </c>
      <c r="X77" s="861">
        <v>0</v>
      </c>
      <c r="Y77" s="861">
        <v>0</v>
      </c>
      <c r="Z77" s="857">
        <f t="shared" si="15"/>
        <v>0</v>
      </c>
      <c r="AA77" s="148" t="str">
        <f t="shared" si="16"/>
        <v>OK</v>
      </c>
      <c r="AB77" s="148"/>
      <c r="AC77" s="148"/>
      <c r="AD77" s="140"/>
    </row>
    <row r="78" spans="1:30" ht="15.75" customHeight="1">
      <c r="A78" s="627"/>
      <c r="B78" s="837" t="s">
        <v>1024</v>
      </c>
      <c r="C78" s="180"/>
      <c r="D78" s="148"/>
      <c r="E78" s="851">
        <f>Inputs!E224</f>
        <v>0</v>
      </c>
      <c r="F78" s="180"/>
      <c r="I78" s="858">
        <v>0</v>
      </c>
      <c r="J78" s="858">
        <v>0</v>
      </c>
      <c r="K78" s="858">
        <v>0</v>
      </c>
      <c r="L78" s="854">
        <v>0</v>
      </c>
      <c r="M78" s="854">
        <v>0</v>
      </c>
      <c r="N78" s="854">
        <v>0</v>
      </c>
      <c r="O78" s="854">
        <v>0</v>
      </c>
      <c r="P78" s="860">
        <v>0</v>
      </c>
      <c r="Q78" s="860">
        <v>0</v>
      </c>
      <c r="R78" s="860">
        <v>0</v>
      </c>
      <c r="S78" s="860">
        <v>0</v>
      </c>
      <c r="T78" s="860">
        <v>0</v>
      </c>
      <c r="U78" s="861">
        <v>0</v>
      </c>
      <c r="V78" s="861">
        <v>0</v>
      </c>
      <c r="W78" s="861">
        <v>0</v>
      </c>
      <c r="X78" s="861">
        <v>0</v>
      </c>
      <c r="Y78" s="861">
        <v>0</v>
      </c>
      <c r="Z78" s="857">
        <f t="shared" si="15"/>
        <v>0</v>
      </c>
      <c r="AA78" s="148" t="str">
        <f t="shared" si="16"/>
        <v>OK</v>
      </c>
      <c r="AB78" s="148"/>
      <c r="AC78" s="148"/>
      <c r="AD78" s="140"/>
    </row>
    <row r="79" spans="1:30" ht="15.75" customHeight="1">
      <c r="A79" s="627"/>
      <c r="B79" s="837" t="s">
        <v>1025</v>
      </c>
      <c r="C79" s="180"/>
      <c r="D79" s="148"/>
      <c r="E79" s="851">
        <f>Inputs!E225</f>
        <v>0</v>
      </c>
      <c r="F79" s="180"/>
      <c r="I79" s="858">
        <v>0</v>
      </c>
      <c r="J79" s="858">
        <v>0</v>
      </c>
      <c r="K79" s="858">
        <v>0</v>
      </c>
      <c r="L79" s="854">
        <v>0</v>
      </c>
      <c r="M79" s="854">
        <v>0</v>
      </c>
      <c r="N79" s="854">
        <v>0</v>
      </c>
      <c r="O79" s="854">
        <v>0</v>
      </c>
      <c r="P79" s="860">
        <v>0</v>
      </c>
      <c r="Q79" s="860">
        <v>0</v>
      </c>
      <c r="R79" s="860">
        <v>0</v>
      </c>
      <c r="S79" s="860">
        <v>0</v>
      </c>
      <c r="T79" s="860">
        <v>0</v>
      </c>
      <c r="U79" s="861">
        <v>0</v>
      </c>
      <c r="V79" s="861">
        <v>0</v>
      </c>
      <c r="W79" s="861">
        <v>0</v>
      </c>
      <c r="X79" s="861">
        <v>0</v>
      </c>
      <c r="Y79" s="861">
        <v>0</v>
      </c>
      <c r="Z79" s="857">
        <f t="shared" si="15"/>
        <v>0</v>
      </c>
      <c r="AA79" s="148" t="str">
        <f t="shared" si="16"/>
        <v>OK</v>
      </c>
      <c r="AB79" s="148"/>
      <c r="AC79" s="148"/>
      <c r="AD79" s="140"/>
    </row>
    <row r="80" spans="1:30" ht="15.75" customHeight="1">
      <c r="A80" s="627"/>
      <c r="B80" s="837" t="s">
        <v>1026</v>
      </c>
      <c r="C80" s="180"/>
      <c r="D80" s="148"/>
      <c r="E80" s="851">
        <f>Inputs!E226</f>
        <v>100000</v>
      </c>
      <c r="F80" s="180"/>
      <c r="I80" s="858">
        <v>0</v>
      </c>
      <c r="J80" s="858">
        <v>0</v>
      </c>
      <c r="K80" s="858">
        <v>0</v>
      </c>
      <c r="L80" s="854">
        <v>0</v>
      </c>
      <c r="M80" s="854">
        <v>0</v>
      </c>
      <c r="N80" s="854">
        <v>0</v>
      </c>
      <c r="O80" s="854">
        <v>0</v>
      </c>
      <c r="P80" s="860">
        <v>20000</v>
      </c>
      <c r="Q80" s="860">
        <v>0</v>
      </c>
      <c r="R80" s="860">
        <v>0</v>
      </c>
      <c r="S80" s="860">
        <v>0</v>
      </c>
      <c r="T80" s="860">
        <v>50000</v>
      </c>
      <c r="U80" s="861">
        <v>0</v>
      </c>
      <c r="V80" s="861">
        <v>0</v>
      </c>
      <c r="W80" s="861">
        <v>30000</v>
      </c>
      <c r="X80" s="861">
        <v>0</v>
      </c>
      <c r="Y80" s="861">
        <v>0</v>
      </c>
      <c r="Z80" s="857">
        <f t="shared" si="15"/>
        <v>100000</v>
      </c>
      <c r="AA80" s="148" t="str">
        <f t="shared" si="16"/>
        <v>OK</v>
      </c>
      <c r="AB80" s="148"/>
      <c r="AC80" s="148"/>
      <c r="AD80" s="140"/>
    </row>
    <row r="81" spans="1:30" ht="15.75" customHeight="1">
      <c r="A81" s="627"/>
      <c r="B81" s="837" t="s">
        <v>1027</v>
      </c>
      <c r="C81" s="180"/>
      <c r="D81" s="148"/>
      <c r="E81" s="851">
        <f>Inputs!E227</f>
        <v>250000</v>
      </c>
      <c r="F81" s="180"/>
      <c r="I81" s="858">
        <v>0</v>
      </c>
      <c r="J81" s="858">
        <v>0</v>
      </c>
      <c r="K81" s="858">
        <v>0</v>
      </c>
      <c r="L81" s="854">
        <v>0</v>
      </c>
      <c r="M81" s="854">
        <v>0</v>
      </c>
      <c r="N81" s="854">
        <v>0</v>
      </c>
      <c r="O81" s="854">
        <v>0</v>
      </c>
      <c r="P81" s="860">
        <v>0</v>
      </c>
      <c r="Q81" s="860">
        <v>0</v>
      </c>
      <c r="R81" s="860">
        <v>0</v>
      </c>
      <c r="S81" s="860">
        <v>0</v>
      </c>
      <c r="T81" s="860">
        <v>100000</v>
      </c>
      <c r="U81" s="861">
        <v>100000</v>
      </c>
      <c r="V81" s="861">
        <v>0</v>
      </c>
      <c r="W81" s="861">
        <v>50000</v>
      </c>
      <c r="X81" s="861">
        <v>0</v>
      </c>
      <c r="Y81" s="861">
        <v>0</v>
      </c>
      <c r="Z81" s="857">
        <f t="shared" si="15"/>
        <v>250000</v>
      </c>
      <c r="AA81" s="148" t="str">
        <f t="shared" si="16"/>
        <v>OK</v>
      </c>
      <c r="AB81" s="148"/>
      <c r="AC81" s="148"/>
      <c r="AD81" s="140"/>
    </row>
    <row r="82" spans="1:30" ht="15.75" customHeight="1">
      <c r="A82" s="627"/>
      <c r="B82" s="837" t="s">
        <v>1028</v>
      </c>
      <c r="C82" s="180"/>
      <c r="D82" s="148"/>
      <c r="E82" s="851">
        <f>Inputs!E228</f>
        <v>70000</v>
      </c>
      <c r="F82" s="180"/>
      <c r="I82" s="858">
        <v>0</v>
      </c>
      <c r="J82" s="858">
        <v>0</v>
      </c>
      <c r="K82" s="858">
        <v>0</v>
      </c>
      <c r="L82" s="854">
        <v>0</v>
      </c>
      <c r="M82" s="854">
        <v>0</v>
      </c>
      <c r="N82" s="854">
        <v>0</v>
      </c>
      <c r="O82" s="854">
        <v>0</v>
      </c>
      <c r="P82" s="860">
        <v>0</v>
      </c>
      <c r="Q82" s="860">
        <v>0</v>
      </c>
      <c r="R82" s="860">
        <v>0</v>
      </c>
      <c r="S82" s="860">
        <v>0</v>
      </c>
      <c r="T82" s="860">
        <v>50000</v>
      </c>
      <c r="U82" s="861">
        <v>0</v>
      </c>
      <c r="V82" s="861">
        <v>0</v>
      </c>
      <c r="W82" s="861">
        <v>20000</v>
      </c>
      <c r="X82" s="861">
        <v>0</v>
      </c>
      <c r="Y82" s="861">
        <v>0</v>
      </c>
      <c r="Z82" s="857">
        <f t="shared" si="15"/>
        <v>70000</v>
      </c>
      <c r="AA82" s="148" t="str">
        <f t="shared" si="16"/>
        <v>OK</v>
      </c>
      <c r="AB82" s="148"/>
      <c r="AC82" s="148"/>
      <c r="AD82" s="140"/>
    </row>
    <row r="83" spans="1:30" ht="15.75" customHeight="1">
      <c r="A83" s="627"/>
      <c r="B83" s="837" t="s">
        <v>1029</v>
      </c>
      <c r="C83" s="180"/>
      <c r="D83" s="148"/>
      <c r="E83" s="851">
        <f>Inputs!E229</f>
        <v>30000</v>
      </c>
      <c r="F83" s="180"/>
      <c r="I83" s="858">
        <v>0</v>
      </c>
      <c r="J83" s="858">
        <v>0</v>
      </c>
      <c r="K83" s="858">
        <v>0</v>
      </c>
      <c r="L83" s="854">
        <v>0</v>
      </c>
      <c r="M83" s="854">
        <v>0</v>
      </c>
      <c r="N83" s="854">
        <v>0</v>
      </c>
      <c r="O83" s="854">
        <v>0</v>
      </c>
      <c r="P83" s="860">
        <v>0</v>
      </c>
      <c r="Q83" s="860">
        <v>0</v>
      </c>
      <c r="R83" s="860">
        <v>0</v>
      </c>
      <c r="S83" s="860">
        <v>0</v>
      </c>
      <c r="T83" s="860">
        <v>0</v>
      </c>
      <c r="U83" s="861">
        <v>0</v>
      </c>
      <c r="V83" s="861">
        <v>0</v>
      </c>
      <c r="W83" s="861">
        <v>30000</v>
      </c>
      <c r="X83" s="861">
        <v>0</v>
      </c>
      <c r="Y83" s="861">
        <v>0</v>
      </c>
      <c r="Z83" s="857">
        <f t="shared" si="15"/>
        <v>30000</v>
      </c>
      <c r="AA83" s="148" t="str">
        <f t="shared" si="16"/>
        <v>OK</v>
      </c>
      <c r="AB83" s="148"/>
      <c r="AC83" s="148"/>
      <c r="AD83" s="140"/>
    </row>
    <row r="84" spans="1:30" ht="15.75" customHeight="1">
      <c r="A84" s="627"/>
      <c r="B84" s="837" t="s">
        <v>1030</v>
      </c>
      <c r="C84" s="180"/>
      <c r="D84" s="148"/>
      <c r="E84" s="851">
        <f>Inputs!E230</f>
        <v>30000</v>
      </c>
      <c r="F84" s="180"/>
      <c r="I84" s="858">
        <v>0</v>
      </c>
      <c r="J84" s="858">
        <v>0</v>
      </c>
      <c r="K84" s="858">
        <v>0</v>
      </c>
      <c r="L84" s="854">
        <v>0</v>
      </c>
      <c r="M84" s="854">
        <v>0</v>
      </c>
      <c r="N84" s="854">
        <v>0</v>
      </c>
      <c r="O84" s="854">
        <v>0</v>
      </c>
      <c r="P84" s="860">
        <v>0</v>
      </c>
      <c r="Q84" s="860">
        <v>0</v>
      </c>
      <c r="R84" s="860">
        <v>0</v>
      </c>
      <c r="S84" s="860">
        <v>0</v>
      </c>
      <c r="T84" s="860">
        <v>0</v>
      </c>
      <c r="U84" s="861">
        <v>0</v>
      </c>
      <c r="V84" s="861">
        <v>0</v>
      </c>
      <c r="W84" s="861">
        <v>30000</v>
      </c>
      <c r="X84" s="861">
        <v>0</v>
      </c>
      <c r="Y84" s="861">
        <v>0</v>
      </c>
      <c r="Z84" s="857">
        <f t="shared" si="15"/>
        <v>30000</v>
      </c>
      <c r="AA84" s="148" t="str">
        <f t="shared" si="16"/>
        <v>OK</v>
      </c>
      <c r="AB84" s="148"/>
      <c r="AC84" s="148"/>
      <c r="AD84" s="140"/>
    </row>
    <row r="85" spans="1:30" ht="15.75" customHeight="1">
      <c r="A85" s="627"/>
      <c r="B85" s="837" t="s">
        <v>1031</v>
      </c>
      <c r="C85" s="180"/>
      <c r="D85" s="148"/>
      <c r="E85" s="851">
        <f>Inputs!E231</f>
        <v>30000</v>
      </c>
      <c r="F85" s="180"/>
      <c r="I85" s="858">
        <v>0</v>
      </c>
      <c r="J85" s="858">
        <v>0</v>
      </c>
      <c r="K85" s="858">
        <v>0</v>
      </c>
      <c r="L85" s="854">
        <v>0</v>
      </c>
      <c r="M85" s="854">
        <v>0</v>
      </c>
      <c r="N85" s="854">
        <v>0</v>
      </c>
      <c r="O85" s="854">
        <v>0</v>
      </c>
      <c r="P85" s="860">
        <v>0</v>
      </c>
      <c r="Q85" s="860">
        <v>0</v>
      </c>
      <c r="R85" s="860">
        <v>0</v>
      </c>
      <c r="S85" s="860">
        <v>0</v>
      </c>
      <c r="T85" s="860">
        <v>30000</v>
      </c>
      <c r="U85" s="861">
        <v>0</v>
      </c>
      <c r="V85" s="861">
        <v>0</v>
      </c>
      <c r="W85" s="861">
        <v>0</v>
      </c>
      <c r="X85" s="861">
        <v>0</v>
      </c>
      <c r="Y85" s="861">
        <v>0</v>
      </c>
      <c r="Z85" s="857">
        <f t="shared" si="15"/>
        <v>30000</v>
      </c>
      <c r="AA85" s="148" t="str">
        <f t="shared" si="16"/>
        <v>OK</v>
      </c>
      <c r="AB85" s="148"/>
      <c r="AC85" s="148"/>
      <c r="AD85" s="140"/>
    </row>
    <row r="86" spans="1:30" ht="15.75" customHeight="1">
      <c r="A86" s="627"/>
      <c r="B86" s="837" t="s">
        <v>1032</v>
      </c>
      <c r="C86" s="180"/>
      <c r="D86" s="148"/>
      <c r="E86" s="851">
        <f>Inputs!E232</f>
        <v>20000</v>
      </c>
      <c r="F86" s="180"/>
      <c r="I86" s="858">
        <v>0</v>
      </c>
      <c r="J86" s="858">
        <v>0</v>
      </c>
      <c r="K86" s="858">
        <v>0</v>
      </c>
      <c r="L86" s="854">
        <v>0</v>
      </c>
      <c r="M86" s="854">
        <v>0</v>
      </c>
      <c r="N86" s="854">
        <v>0</v>
      </c>
      <c r="O86" s="854">
        <v>0</v>
      </c>
      <c r="P86" s="860">
        <v>0</v>
      </c>
      <c r="Q86" s="860">
        <v>0</v>
      </c>
      <c r="R86" s="860">
        <v>0</v>
      </c>
      <c r="S86" s="860">
        <v>0</v>
      </c>
      <c r="T86" s="860">
        <v>20000</v>
      </c>
      <c r="U86" s="861">
        <v>0</v>
      </c>
      <c r="V86" s="861">
        <v>0</v>
      </c>
      <c r="W86" s="861">
        <v>0</v>
      </c>
      <c r="X86" s="861">
        <v>0</v>
      </c>
      <c r="Y86" s="861">
        <v>0</v>
      </c>
      <c r="Z86" s="857">
        <f t="shared" si="15"/>
        <v>20000</v>
      </c>
      <c r="AA86" s="148" t="str">
        <f t="shared" si="16"/>
        <v>OK</v>
      </c>
      <c r="AB86" s="148"/>
      <c r="AC86" s="148"/>
      <c r="AD86" s="140"/>
    </row>
    <row r="87" spans="1:30" ht="15.75" customHeight="1">
      <c r="A87" s="627"/>
      <c r="B87" s="837" t="s">
        <v>1033</v>
      </c>
      <c r="C87" s="180"/>
      <c r="D87" s="148"/>
      <c r="E87" s="851">
        <f>Inputs!E233</f>
        <v>10000</v>
      </c>
      <c r="F87" s="180"/>
      <c r="I87" s="858">
        <v>0</v>
      </c>
      <c r="J87" s="858">
        <v>0</v>
      </c>
      <c r="K87" s="858">
        <v>0</v>
      </c>
      <c r="L87" s="854">
        <v>0</v>
      </c>
      <c r="M87" s="854">
        <v>0</v>
      </c>
      <c r="N87" s="854">
        <v>0</v>
      </c>
      <c r="O87" s="854">
        <v>0</v>
      </c>
      <c r="P87" s="860">
        <v>0</v>
      </c>
      <c r="Q87" s="860">
        <v>0</v>
      </c>
      <c r="R87" s="860">
        <v>0</v>
      </c>
      <c r="S87" s="860">
        <v>0</v>
      </c>
      <c r="T87" s="860">
        <v>10000</v>
      </c>
      <c r="U87" s="861">
        <v>0</v>
      </c>
      <c r="V87" s="861">
        <v>0</v>
      </c>
      <c r="W87" s="861">
        <v>0</v>
      </c>
      <c r="X87" s="861">
        <v>0</v>
      </c>
      <c r="Y87" s="861">
        <v>0</v>
      </c>
      <c r="Z87" s="857">
        <f t="shared" si="15"/>
        <v>10000</v>
      </c>
      <c r="AA87" s="148" t="str">
        <f t="shared" si="16"/>
        <v>OK</v>
      </c>
      <c r="AB87" s="148"/>
      <c r="AC87" s="148"/>
      <c r="AD87" s="140"/>
    </row>
    <row r="88" spans="1:30" ht="15.75" customHeight="1">
      <c r="A88" s="176"/>
      <c r="B88" s="837" t="s">
        <v>1034</v>
      </c>
      <c r="C88" s="180"/>
      <c r="D88" s="837"/>
      <c r="E88" s="851">
        <f>Inputs!E234</f>
        <v>30000</v>
      </c>
      <c r="F88" s="180"/>
      <c r="I88" s="858">
        <v>0</v>
      </c>
      <c r="J88" s="858">
        <v>0</v>
      </c>
      <c r="K88" s="858">
        <v>0</v>
      </c>
      <c r="L88" s="854">
        <v>0</v>
      </c>
      <c r="M88" s="854">
        <v>0</v>
      </c>
      <c r="N88" s="854">
        <v>0</v>
      </c>
      <c r="O88" s="854">
        <v>0</v>
      </c>
      <c r="P88" s="860">
        <v>10000</v>
      </c>
      <c r="Q88" s="860">
        <v>0</v>
      </c>
      <c r="R88" s="860">
        <v>0</v>
      </c>
      <c r="S88" s="860">
        <v>0</v>
      </c>
      <c r="T88" s="860">
        <v>0</v>
      </c>
      <c r="U88" s="861">
        <v>0</v>
      </c>
      <c r="V88" s="861">
        <v>20000</v>
      </c>
      <c r="W88" s="861">
        <v>0</v>
      </c>
      <c r="X88" s="861">
        <v>0</v>
      </c>
      <c r="Y88" s="861">
        <v>0</v>
      </c>
      <c r="Z88" s="857">
        <f t="shared" si="15"/>
        <v>30000</v>
      </c>
      <c r="AA88" s="148" t="str">
        <f t="shared" si="16"/>
        <v>OK</v>
      </c>
      <c r="AB88" s="148"/>
      <c r="AC88" s="148"/>
    </row>
    <row r="89" spans="1:30" ht="15.75" customHeight="1">
      <c r="A89" s="176"/>
      <c r="B89" s="837" t="s">
        <v>1662</v>
      </c>
      <c r="C89" s="837"/>
      <c r="D89" s="837"/>
      <c r="E89" s="851">
        <f>Inputs!E235</f>
        <v>70000</v>
      </c>
      <c r="F89" s="180"/>
      <c r="I89" s="858">
        <v>0</v>
      </c>
      <c r="J89" s="858">
        <v>0</v>
      </c>
      <c r="K89" s="858">
        <v>0</v>
      </c>
      <c r="L89" s="854">
        <v>0</v>
      </c>
      <c r="M89" s="854">
        <v>0</v>
      </c>
      <c r="N89" s="854">
        <v>0</v>
      </c>
      <c r="O89" s="854">
        <v>0</v>
      </c>
      <c r="P89" s="860">
        <v>0</v>
      </c>
      <c r="Q89" s="860">
        <v>0</v>
      </c>
      <c r="R89" s="860">
        <v>0</v>
      </c>
      <c r="S89" s="860">
        <v>0</v>
      </c>
      <c r="T89" s="860">
        <v>70000</v>
      </c>
      <c r="U89" s="861">
        <v>0</v>
      </c>
      <c r="V89" s="861">
        <v>0</v>
      </c>
      <c r="W89" s="861">
        <v>0</v>
      </c>
      <c r="X89" s="861">
        <v>0</v>
      </c>
      <c r="Y89" s="861">
        <v>0</v>
      </c>
      <c r="Z89" s="857">
        <f t="shared" si="15"/>
        <v>70000</v>
      </c>
      <c r="AA89" s="148" t="str">
        <f t="shared" si="16"/>
        <v>OK</v>
      </c>
      <c r="AB89" s="148"/>
      <c r="AC89" s="148"/>
    </row>
    <row r="90" spans="1:30" ht="15.75" customHeight="1">
      <c r="A90" s="176"/>
      <c r="B90" s="837" t="s">
        <v>1036</v>
      </c>
      <c r="C90" s="837"/>
      <c r="D90" s="837"/>
      <c r="E90" s="851">
        <f>Inputs!E236</f>
        <v>150000</v>
      </c>
      <c r="F90" s="180"/>
      <c r="I90" s="858">
        <v>0</v>
      </c>
      <c r="J90" s="858">
        <v>0</v>
      </c>
      <c r="K90" s="858">
        <v>0</v>
      </c>
      <c r="L90" s="854">
        <v>0</v>
      </c>
      <c r="M90" s="854">
        <v>0</v>
      </c>
      <c r="N90" s="854">
        <v>0</v>
      </c>
      <c r="O90" s="854">
        <v>0</v>
      </c>
      <c r="P90" s="860">
        <v>0</v>
      </c>
      <c r="Q90" s="860">
        <v>130000</v>
      </c>
      <c r="R90" s="860">
        <v>0</v>
      </c>
      <c r="S90" s="860">
        <v>0</v>
      </c>
      <c r="T90" s="860">
        <v>0</v>
      </c>
      <c r="U90" s="861">
        <v>0</v>
      </c>
      <c r="V90" s="861">
        <v>20000</v>
      </c>
      <c r="W90" s="861">
        <v>0</v>
      </c>
      <c r="X90" s="861">
        <v>0</v>
      </c>
      <c r="Y90" s="861">
        <v>0</v>
      </c>
      <c r="Z90" s="857">
        <f t="shared" si="15"/>
        <v>150000</v>
      </c>
      <c r="AA90" s="148" t="str">
        <f t="shared" si="16"/>
        <v>OK</v>
      </c>
      <c r="AB90" s="148"/>
      <c r="AC90" s="148"/>
    </row>
    <row r="91" spans="1:30" ht="15.75" customHeight="1">
      <c r="A91" s="176"/>
      <c r="B91" s="837" t="s">
        <v>1037</v>
      </c>
      <c r="C91" s="837"/>
      <c r="D91" s="837"/>
      <c r="E91" s="851">
        <f>Inputs!E237</f>
        <v>50000</v>
      </c>
      <c r="F91" s="180"/>
      <c r="I91" s="858">
        <v>0</v>
      </c>
      <c r="J91" s="858">
        <v>0</v>
      </c>
      <c r="K91" s="858">
        <v>0</v>
      </c>
      <c r="L91" s="854">
        <v>0</v>
      </c>
      <c r="M91" s="854">
        <v>0</v>
      </c>
      <c r="N91" s="854">
        <v>0</v>
      </c>
      <c r="O91" s="854">
        <v>0</v>
      </c>
      <c r="P91" s="860">
        <v>0</v>
      </c>
      <c r="Q91" s="860">
        <v>0</v>
      </c>
      <c r="R91" s="860">
        <v>0</v>
      </c>
      <c r="S91" s="860">
        <v>0</v>
      </c>
      <c r="T91" s="860">
        <v>0</v>
      </c>
      <c r="U91" s="861">
        <v>0</v>
      </c>
      <c r="V91" s="861">
        <v>0</v>
      </c>
      <c r="W91" s="861">
        <v>50000</v>
      </c>
      <c r="X91" s="861">
        <v>0</v>
      </c>
      <c r="Y91" s="861">
        <v>0</v>
      </c>
      <c r="Z91" s="857">
        <f t="shared" si="15"/>
        <v>50000</v>
      </c>
      <c r="AA91" s="148" t="str">
        <f t="shared" si="16"/>
        <v>OK</v>
      </c>
      <c r="AB91" s="148"/>
      <c r="AC91" s="148"/>
    </row>
    <row r="92" spans="1:30" ht="15.75" customHeight="1">
      <c r="A92" s="176"/>
      <c r="B92" s="837" t="s">
        <v>1038</v>
      </c>
      <c r="C92" s="837"/>
      <c r="D92" s="837"/>
      <c r="E92" s="851">
        <f>Inputs!E238</f>
        <v>30000</v>
      </c>
      <c r="F92" s="180"/>
      <c r="I92" s="858">
        <v>0</v>
      </c>
      <c r="J92" s="858">
        <v>0</v>
      </c>
      <c r="K92" s="858">
        <v>0</v>
      </c>
      <c r="L92" s="854">
        <v>0</v>
      </c>
      <c r="M92" s="854">
        <v>0</v>
      </c>
      <c r="N92" s="854">
        <v>0</v>
      </c>
      <c r="O92" s="854">
        <v>0</v>
      </c>
      <c r="P92" s="860">
        <v>0</v>
      </c>
      <c r="Q92" s="860">
        <v>0</v>
      </c>
      <c r="R92" s="860">
        <v>0</v>
      </c>
      <c r="S92" s="860">
        <v>0</v>
      </c>
      <c r="T92" s="860">
        <v>0</v>
      </c>
      <c r="U92" s="861">
        <v>0</v>
      </c>
      <c r="V92" s="861">
        <v>0</v>
      </c>
      <c r="W92" s="861">
        <v>30000</v>
      </c>
      <c r="X92" s="861">
        <v>0</v>
      </c>
      <c r="Y92" s="861">
        <v>0</v>
      </c>
      <c r="Z92" s="857">
        <f t="shared" si="15"/>
        <v>30000</v>
      </c>
      <c r="AA92" s="148" t="str">
        <f t="shared" si="16"/>
        <v>OK</v>
      </c>
      <c r="AB92" s="148"/>
      <c r="AC92" s="148"/>
    </row>
    <row r="93" spans="1:30" ht="15.75" customHeight="1">
      <c r="A93" s="176"/>
      <c r="B93" s="837" t="s">
        <v>1039</v>
      </c>
      <c r="C93" s="837"/>
      <c r="D93" s="837"/>
      <c r="E93" s="851">
        <f>Inputs!E239</f>
        <v>5000</v>
      </c>
      <c r="F93" s="180"/>
      <c r="I93" s="858">
        <v>0</v>
      </c>
      <c r="J93" s="858">
        <v>0</v>
      </c>
      <c r="K93" s="858">
        <v>0</v>
      </c>
      <c r="L93" s="854">
        <v>0</v>
      </c>
      <c r="M93" s="854">
        <v>0</v>
      </c>
      <c r="N93" s="854">
        <v>0</v>
      </c>
      <c r="O93" s="854">
        <v>0</v>
      </c>
      <c r="P93" s="860">
        <v>0</v>
      </c>
      <c r="Q93" s="860">
        <v>0</v>
      </c>
      <c r="R93" s="860">
        <v>0</v>
      </c>
      <c r="S93" s="860">
        <v>0</v>
      </c>
      <c r="T93" s="860">
        <v>0</v>
      </c>
      <c r="U93" s="861">
        <v>0</v>
      </c>
      <c r="V93" s="861">
        <v>0</v>
      </c>
      <c r="W93" s="861">
        <v>5000</v>
      </c>
      <c r="X93" s="861">
        <v>0</v>
      </c>
      <c r="Y93" s="861">
        <v>0</v>
      </c>
      <c r="Z93" s="857">
        <f t="shared" si="15"/>
        <v>5000</v>
      </c>
      <c r="AA93" s="148" t="str">
        <f t="shared" si="16"/>
        <v>OK</v>
      </c>
      <c r="AB93" s="148"/>
      <c r="AC93" s="148"/>
    </row>
    <row r="94" spans="1:30" ht="15.75" customHeight="1">
      <c r="A94" s="176"/>
      <c r="B94" s="837" t="s">
        <v>1040</v>
      </c>
      <c r="C94" s="837"/>
      <c r="D94" s="837"/>
      <c r="E94" s="851">
        <f>Inputs!E240</f>
        <v>25000</v>
      </c>
      <c r="F94" s="180"/>
      <c r="I94" s="858">
        <v>0</v>
      </c>
      <c r="J94" s="858">
        <v>0</v>
      </c>
      <c r="K94" s="858">
        <v>0</v>
      </c>
      <c r="L94" s="854">
        <v>0</v>
      </c>
      <c r="M94" s="854">
        <v>0</v>
      </c>
      <c r="N94" s="854">
        <v>0</v>
      </c>
      <c r="O94" s="854">
        <v>0</v>
      </c>
      <c r="P94" s="860">
        <v>0</v>
      </c>
      <c r="Q94" s="860">
        <v>0</v>
      </c>
      <c r="R94" s="860">
        <v>0</v>
      </c>
      <c r="S94" s="860">
        <v>0</v>
      </c>
      <c r="T94" s="860">
        <v>0</v>
      </c>
      <c r="U94" s="861">
        <v>0</v>
      </c>
      <c r="V94" s="861">
        <v>20000</v>
      </c>
      <c r="W94" s="861">
        <v>5000</v>
      </c>
      <c r="X94" s="861">
        <v>0</v>
      </c>
      <c r="Y94" s="861">
        <v>0</v>
      </c>
      <c r="Z94" s="857">
        <f t="shared" si="15"/>
        <v>25000</v>
      </c>
      <c r="AA94" s="148" t="str">
        <f t="shared" si="16"/>
        <v>OK</v>
      </c>
      <c r="AB94" s="148"/>
      <c r="AC94" s="148"/>
    </row>
    <row r="95" spans="1:30" ht="15.75" customHeight="1">
      <c r="A95" s="176"/>
      <c r="B95" s="837" t="s">
        <v>1041</v>
      </c>
      <c r="C95" s="837"/>
      <c r="D95" s="837"/>
      <c r="E95" s="851">
        <f>Inputs!E241</f>
        <v>50000</v>
      </c>
      <c r="F95" s="180"/>
      <c r="I95" s="858">
        <v>0</v>
      </c>
      <c r="J95" s="858">
        <v>0</v>
      </c>
      <c r="K95" s="858">
        <v>0</v>
      </c>
      <c r="L95" s="854">
        <v>0</v>
      </c>
      <c r="M95" s="854">
        <v>0</v>
      </c>
      <c r="N95" s="854">
        <v>0</v>
      </c>
      <c r="O95" s="854">
        <v>0</v>
      </c>
      <c r="P95" s="860">
        <v>0</v>
      </c>
      <c r="Q95" s="860">
        <v>10000</v>
      </c>
      <c r="R95" s="860">
        <v>0</v>
      </c>
      <c r="S95" s="860">
        <v>40000</v>
      </c>
      <c r="T95" s="860">
        <v>0</v>
      </c>
      <c r="U95" s="861">
        <v>0</v>
      </c>
      <c r="V95" s="861">
        <v>0</v>
      </c>
      <c r="W95" s="861">
        <v>0</v>
      </c>
      <c r="X95" s="861">
        <v>0</v>
      </c>
      <c r="Y95" s="861">
        <v>0</v>
      </c>
      <c r="Z95" s="857">
        <f t="shared" si="15"/>
        <v>50000</v>
      </c>
      <c r="AA95" s="148" t="str">
        <f t="shared" si="16"/>
        <v>OK</v>
      </c>
      <c r="AB95" s="148"/>
      <c r="AC95" s="148"/>
    </row>
    <row r="96" spans="1:30" ht="15.75" customHeight="1">
      <c r="A96" s="176"/>
      <c r="B96" s="837" t="s">
        <v>1042</v>
      </c>
      <c r="C96" s="180"/>
      <c r="D96" s="837"/>
      <c r="E96" s="851">
        <f>Inputs!E242</f>
        <v>30000</v>
      </c>
      <c r="F96" s="180"/>
      <c r="I96" s="858">
        <v>0</v>
      </c>
      <c r="J96" s="858">
        <v>0</v>
      </c>
      <c r="K96" s="858">
        <v>0</v>
      </c>
      <c r="L96" s="854">
        <v>0</v>
      </c>
      <c r="M96" s="854">
        <v>0</v>
      </c>
      <c r="N96" s="854">
        <v>0</v>
      </c>
      <c r="O96" s="854">
        <v>0</v>
      </c>
      <c r="P96" s="860">
        <v>0</v>
      </c>
      <c r="Q96" s="860">
        <v>0</v>
      </c>
      <c r="R96" s="860">
        <v>0</v>
      </c>
      <c r="S96" s="860">
        <v>0</v>
      </c>
      <c r="T96" s="860">
        <v>0</v>
      </c>
      <c r="U96" s="861">
        <v>0</v>
      </c>
      <c r="V96" s="861">
        <v>30000</v>
      </c>
      <c r="W96" s="861">
        <v>0</v>
      </c>
      <c r="X96" s="861">
        <v>0</v>
      </c>
      <c r="Y96" s="861">
        <v>0</v>
      </c>
      <c r="Z96" s="857">
        <f t="shared" si="15"/>
        <v>30000</v>
      </c>
      <c r="AA96" s="148" t="str">
        <f t="shared" si="16"/>
        <v>OK</v>
      </c>
      <c r="AB96" s="148"/>
      <c r="AC96" s="148"/>
    </row>
    <row r="97" spans="1:30" ht="15.75" customHeight="1">
      <c r="A97" s="176"/>
      <c r="B97" s="837" t="s">
        <v>1043</v>
      </c>
      <c r="C97" s="180"/>
      <c r="D97" s="837"/>
      <c r="E97" s="851">
        <f>Inputs!E243</f>
        <v>50000</v>
      </c>
      <c r="F97" s="180"/>
      <c r="I97" s="858">
        <v>0</v>
      </c>
      <c r="J97" s="858">
        <v>0</v>
      </c>
      <c r="K97" s="858">
        <v>0</v>
      </c>
      <c r="L97" s="854">
        <v>0</v>
      </c>
      <c r="M97" s="854">
        <v>0</v>
      </c>
      <c r="N97" s="854">
        <v>0</v>
      </c>
      <c r="O97" s="854">
        <v>0</v>
      </c>
      <c r="P97" s="860">
        <v>0</v>
      </c>
      <c r="Q97" s="860">
        <v>0</v>
      </c>
      <c r="R97" s="860">
        <v>0</v>
      </c>
      <c r="S97" s="860">
        <v>0</v>
      </c>
      <c r="T97" s="860">
        <v>0</v>
      </c>
      <c r="U97" s="861">
        <v>0</v>
      </c>
      <c r="V97" s="861">
        <v>50000</v>
      </c>
      <c r="W97" s="861">
        <v>0</v>
      </c>
      <c r="X97" s="861">
        <v>0</v>
      </c>
      <c r="Y97" s="861">
        <v>0</v>
      </c>
      <c r="Z97" s="857">
        <f t="shared" si="15"/>
        <v>50000</v>
      </c>
      <c r="AA97" s="148" t="str">
        <f t="shared" si="16"/>
        <v>OK</v>
      </c>
      <c r="AB97" s="148"/>
      <c r="AC97" s="148"/>
    </row>
    <row r="98" spans="1:30" ht="15.75" customHeight="1">
      <c r="A98" s="176"/>
      <c r="B98" s="837" t="s">
        <v>1044</v>
      </c>
      <c r="C98" s="180"/>
      <c r="D98" s="837"/>
      <c r="E98" s="851">
        <f>Inputs!E244</f>
        <v>0</v>
      </c>
      <c r="F98" s="180"/>
      <c r="I98" s="858">
        <v>0</v>
      </c>
      <c r="J98" s="858">
        <v>0</v>
      </c>
      <c r="K98" s="858">
        <v>0</v>
      </c>
      <c r="L98" s="854">
        <v>0</v>
      </c>
      <c r="M98" s="854">
        <v>0</v>
      </c>
      <c r="N98" s="854">
        <v>0</v>
      </c>
      <c r="O98" s="854">
        <v>0</v>
      </c>
      <c r="P98" s="860">
        <v>0</v>
      </c>
      <c r="Q98" s="860">
        <v>0</v>
      </c>
      <c r="R98" s="860">
        <v>0</v>
      </c>
      <c r="S98" s="860">
        <v>0</v>
      </c>
      <c r="T98" s="860">
        <v>0</v>
      </c>
      <c r="U98" s="861">
        <v>0</v>
      </c>
      <c r="V98" s="861">
        <v>0</v>
      </c>
      <c r="W98" s="861">
        <v>0</v>
      </c>
      <c r="X98" s="861">
        <v>0</v>
      </c>
      <c r="Y98" s="861">
        <v>0</v>
      </c>
      <c r="Z98" s="857">
        <f t="shared" si="15"/>
        <v>0</v>
      </c>
      <c r="AA98" s="148" t="str">
        <f t="shared" si="16"/>
        <v>OK</v>
      </c>
      <c r="AB98" s="148"/>
      <c r="AC98" s="148"/>
    </row>
    <row r="99" spans="1:30" ht="15.75" customHeight="1">
      <c r="A99" s="176"/>
      <c r="B99" s="837" t="s">
        <v>1045</v>
      </c>
      <c r="C99" s="180"/>
      <c r="D99" s="837"/>
      <c r="E99" s="851">
        <f>Inputs!E245</f>
        <v>700000</v>
      </c>
      <c r="F99" s="180"/>
      <c r="I99" s="858">
        <v>0</v>
      </c>
      <c r="J99" s="858">
        <v>0</v>
      </c>
      <c r="K99" s="858">
        <v>0</v>
      </c>
      <c r="L99" s="854">
        <v>0</v>
      </c>
      <c r="M99" s="854">
        <v>0</v>
      </c>
      <c r="N99" s="854">
        <v>0</v>
      </c>
      <c r="O99" s="854">
        <v>0</v>
      </c>
      <c r="P99" s="860">
        <v>0</v>
      </c>
      <c r="Q99" s="860">
        <v>0</v>
      </c>
      <c r="R99" s="860">
        <v>0</v>
      </c>
      <c r="S99" s="860">
        <v>600000</v>
      </c>
      <c r="T99" s="860">
        <v>0</v>
      </c>
      <c r="U99" s="861">
        <v>0</v>
      </c>
      <c r="V99" s="861">
        <v>0</v>
      </c>
      <c r="W99" s="861">
        <v>100000</v>
      </c>
      <c r="X99" s="861">
        <v>0</v>
      </c>
      <c r="Y99" s="861">
        <v>0</v>
      </c>
      <c r="Z99" s="857">
        <f t="shared" si="15"/>
        <v>700000</v>
      </c>
      <c r="AA99" s="148" t="str">
        <f t="shared" si="16"/>
        <v>OK</v>
      </c>
      <c r="AB99" s="148"/>
      <c r="AC99" s="148"/>
    </row>
    <row r="100" spans="1:30" ht="15.75" customHeight="1">
      <c r="A100" s="176"/>
      <c r="B100" s="837" t="s">
        <v>1046</v>
      </c>
      <c r="C100" s="180"/>
      <c r="D100" s="837"/>
      <c r="E100" s="851">
        <f>Inputs!E246</f>
        <v>100000</v>
      </c>
      <c r="F100" s="180"/>
      <c r="I100" s="858">
        <v>0</v>
      </c>
      <c r="J100" s="858">
        <v>0</v>
      </c>
      <c r="K100" s="858">
        <v>0</v>
      </c>
      <c r="L100" s="854">
        <v>0</v>
      </c>
      <c r="M100" s="854">
        <v>10000</v>
      </c>
      <c r="N100" s="854">
        <v>0</v>
      </c>
      <c r="O100" s="854">
        <v>0</v>
      </c>
      <c r="P100" s="860">
        <v>0</v>
      </c>
      <c r="Q100" s="860">
        <v>0</v>
      </c>
      <c r="R100" s="860">
        <v>0</v>
      </c>
      <c r="S100" s="860">
        <v>0</v>
      </c>
      <c r="T100" s="860">
        <v>0</v>
      </c>
      <c r="U100" s="861">
        <v>0</v>
      </c>
      <c r="V100" s="861">
        <v>90000</v>
      </c>
      <c r="W100" s="861">
        <v>0</v>
      </c>
      <c r="X100" s="861">
        <v>0</v>
      </c>
      <c r="Y100" s="861">
        <v>0</v>
      </c>
      <c r="Z100" s="857">
        <f t="shared" si="15"/>
        <v>100000</v>
      </c>
      <c r="AA100" s="148" t="str">
        <f t="shared" si="16"/>
        <v>OK</v>
      </c>
      <c r="AB100" s="148"/>
      <c r="AC100" s="148"/>
    </row>
    <row r="101" spans="1:30" ht="15.75" customHeight="1">
      <c r="A101" s="176"/>
      <c r="B101" s="837" t="s">
        <v>1047</v>
      </c>
      <c r="C101" s="180"/>
      <c r="D101" s="837"/>
      <c r="E101" s="851">
        <f>Inputs!E247</f>
        <v>70000</v>
      </c>
      <c r="F101" s="180"/>
      <c r="I101" s="858">
        <v>0</v>
      </c>
      <c r="J101" s="858">
        <v>0</v>
      </c>
      <c r="K101" s="858">
        <v>0</v>
      </c>
      <c r="L101" s="854">
        <v>0</v>
      </c>
      <c r="M101" s="854">
        <v>10000</v>
      </c>
      <c r="N101" s="854">
        <v>0</v>
      </c>
      <c r="O101" s="854">
        <v>0</v>
      </c>
      <c r="P101" s="860">
        <v>0</v>
      </c>
      <c r="Q101" s="860">
        <v>0</v>
      </c>
      <c r="R101" s="860">
        <v>0</v>
      </c>
      <c r="S101" s="860">
        <v>0</v>
      </c>
      <c r="T101" s="860">
        <v>0</v>
      </c>
      <c r="U101" s="861">
        <v>0</v>
      </c>
      <c r="V101" s="861">
        <v>60000</v>
      </c>
      <c r="W101" s="861">
        <v>0</v>
      </c>
      <c r="X101" s="861">
        <v>0</v>
      </c>
      <c r="Y101" s="861">
        <v>0</v>
      </c>
      <c r="Z101" s="857">
        <f t="shared" si="15"/>
        <v>70000</v>
      </c>
      <c r="AA101" s="148" t="str">
        <f t="shared" si="16"/>
        <v>OK</v>
      </c>
      <c r="AB101" s="148"/>
      <c r="AC101" s="148"/>
    </row>
    <row r="102" spans="1:30" ht="15" customHeight="1">
      <c r="A102" s="176"/>
      <c r="B102" s="837" t="s">
        <v>1048</v>
      </c>
      <c r="C102" s="180"/>
      <c r="D102" s="837"/>
      <c r="E102" s="851">
        <f>Inputs!E248</f>
        <v>0</v>
      </c>
      <c r="F102" s="180"/>
      <c r="I102" s="858">
        <v>0</v>
      </c>
      <c r="J102" s="858">
        <v>0</v>
      </c>
      <c r="K102" s="858">
        <v>0</v>
      </c>
      <c r="L102" s="854">
        <v>0</v>
      </c>
      <c r="M102" s="854">
        <v>0</v>
      </c>
      <c r="N102" s="854">
        <v>0</v>
      </c>
      <c r="O102" s="854">
        <v>0</v>
      </c>
      <c r="P102" s="860">
        <v>0</v>
      </c>
      <c r="Q102" s="860">
        <v>0</v>
      </c>
      <c r="R102" s="860">
        <v>0</v>
      </c>
      <c r="S102" s="860">
        <v>0</v>
      </c>
      <c r="T102" s="860">
        <v>0</v>
      </c>
      <c r="U102" s="861">
        <v>0</v>
      </c>
      <c r="V102" s="861">
        <v>0</v>
      </c>
      <c r="W102" s="861">
        <v>0</v>
      </c>
      <c r="X102" s="861">
        <v>0</v>
      </c>
      <c r="Y102" s="861">
        <v>0</v>
      </c>
      <c r="Z102" s="857">
        <f t="shared" si="15"/>
        <v>0</v>
      </c>
      <c r="AA102" s="148" t="str">
        <f>IF(ABS(Z102-E102)&lt;1,"OK","Check")</f>
        <v>OK</v>
      </c>
      <c r="AB102" s="148"/>
      <c r="AC102" s="148"/>
    </row>
    <row r="103" spans="1:30" ht="15" customHeight="1">
      <c r="A103" s="189"/>
      <c r="B103" s="278" t="s">
        <v>1663</v>
      </c>
      <c r="C103" s="839" t="s">
        <v>336</v>
      </c>
      <c r="D103" s="839"/>
      <c r="E103" s="866">
        <f>SUM(E75:E102)</f>
        <v>1900000</v>
      </c>
      <c r="F103" s="278"/>
      <c r="I103" s="866">
        <f t="shared" ref="I103:Y103" si="17">SUM(I75:I102)</f>
        <v>0</v>
      </c>
      <c r="J103" s="866">
        <f t="shared" si="17"/>
        <v>0</v>
      </c>
      <c r="K103" s="866">
        <f t="shared" si="17"/>
        <v>0</v>
      </c>
      <c r="L103" s="866">
        <f t="shared" si="17"/>
        <v>0</v>
      </c>
      <c r="M103" s="866">
        <f t="shared" si="17"/>
        <v>20000</v>
      </c>
      <c r="N103" s="866">
        <f t="shared" si="17"/>
        <v>0</v>
      </c>
      <c r="O103" s="866">
        <f t="shared" si="17"/>
        <v>0</v>
      </c>
      <c r="P103" s="866">
        <f t="shared" si="17"/>
        <v>30000</v>
      </c>
      <c r="Q103" s="866">
        <f t="shared" si="17"/>
        <v>140000</v>
      </c>
      <c r="R103" s="866">
        <f t="shared" si="17"/>
        <v>0</v>
      </c>
      <c r="S103" s="866">
        <f t="shared" si="17"/>
        <v>640000</v>
      </c>
      <c r="T103" s="866">
        <f t="shared" si="17"/>
        <v>330000</v>
      </c>
      <c r="U103" s="866">
        <f t="shared" si="17"/>
        <v>100000</v>
      </c>
      <c r="V103" s="866">
        <f t="shared" si="17"/>
        <v>290000</v>
      </c>
      <c r="W103" s="866">
        <f t="shared" si="17"/>
        <v>350000</v>
      </c>
      <c r="X103" s="866">
        <f t="shared" si="17"/>
        <v>0</v>
      </c>
      <c r="Y103" s="866">
        <f t="shared" si="17"/>
        <v>0</v>
      </c>
      <c r="Z103" s="866">
        <f t="shared" si="15"/>
        <v>1900000</v>
      </c>
      <c r="AA103" s="148" t="str">
        <f>IFERROR(IF(SUM(Z75:Z102)=E103, "OK", "Check"),"")</f>
        <v>OK</v>
      </c>
      <c r="AB103" s="148"/>
      <c r="AC103" s="148"/>
    </row>
    <row r="104" spans="1:30" ht="15.75" customHeight="1">
      <c r="A104" s="189"/>
      <c r="B104" s="278"/>
      <c r="C104" s="839"/>
      <c r="D104" s="839"/>
      <c r="E104" s="278"/>
      <c r="F104" s="278"/>
      <c r="I104" s="278"/>
      <c r="J104" s="180"/>
      <c r="K104" s="180"/>
      <c r="L104" s="180"/>
      <c r="M104" s="180"/>
      <c r="N104" s="180"/>
      <c r="O104" s="180"/>
      <c r="P104" s="180"/>
      <c r="Q104" s="180"/>
      <c r="R104" s="180"/>
      <c r="S104" s="180"/>
      <c r="T104" s="180"/>
      <c r="U104" s="180"/>
      <c r="V104" s="180"/>
      <c r="W104" s="180"/>
      <c r="X104" s="180"/>
      <c r="Y104" s="180"/>
      <c r="Z104" s="180"/>
      <c r="AA104" s="148"/>
      <c r="AB104" s="148"/>
      <c r="AC104" s="148"/>
    </row>
    <row r="105" spans="1:30" ht="15.75" customHeight="1">
      <c r="A105" s="867" t="s">
        <v>1049</v>
      </c>
      <c r="B105" s="837"/>
      <c r="C105" s="148"/>
      <c r="D105" s="148"/>
      <c r="E105" s="148"/>
      <c r="F105" s="148"/>
      <c r="I105" s="148"/>
      <c r="J105" s="180"/>
      <c r="K105" s="180"/>
      <c r="L105" s="180"/>
      <c r="M105" s="180"/>
      <c r="N105" s="180"/>
      <c r="O105" s="180"/>
      <c r="P105" s="180"/>
      <c r="Q105" s="180"/>
      <c r="R105" s="180"/>
      <c r="S105" s="180"/>
      <c r="T105" s="180"/>
      <c r="U105" s="180"/>
      <c r="V105" s="180"/>
      <c r="W105" s="180"/>
      <c r="X105" s="180"/>
      <c r="Y105" s="180"/>
      <c r="Z105" s="180"/>
      <c r="AA105" s="148"/>
      <c r="AB105" s="148"/>
      <c r="AC105" s="148"/>
      <c r="AD105" s="140"/>
    </row>
    <row r="106" spans="1:30" ht="15.75" customHeight="1">
      <c r="A106" s="176"/>
      <c r="B106" s="837" t="s">
        <v>1050</v>
      </c>
      <c r="C106" s="837"/>
      <c r="D106" s="837"/>
      <c r="E106" s="851">
        <f>Inputs!E251</f>
        <v>3000000</v>
      </c>
      <c r="F106" s="180"/>
      <c r="I106" s="858">
        <v>0</v>
      </c>
      <c r="J106" s="858">
        <v>0</v>
      </c>
      <c r="K106" s="858">
        <v>0</v>
      </c>
      <c r="L106" s="854">
        <v>0</v>
      </c>
      <c r="M106" s="854">
        <v>0</v>
      </c>
      <c r="N106" s="854">
        <v>150000</v>
      </c>
      <c r="O106" s="854">
        <v>0</v>
      </c>
      <c r="P106" s="860">
        <v>0</v>
      </c>
      <c r="Q106" s="860"/>
      <c r="R106" s="860">
        <v>1200000</v>
      </c>
      <c r="S106" s="860">
        <v>600000</v>
      </c>
      <c r="T106" s="860">
        <v>150000</v>
      </c>
      <c r="U106" s="861">
        <v>900000</v>
      </c>
      <c r="V106" s="861">
        <v>0</v>
      </c>
      <c r="W106" s="861">
        <v>0</v>
      </c>
      <c r="X106" s="861">
        <v>0</v>
      </c>
      <c r="Y106" s="861">
        <v>0</v>
      </c>
      <c r="Z106" s="857">
        <f t="shared" ref="Z106:Z116" si="18">SUM(I106:Y106)</f>
        <v>3000000</v>
      </c>
      <c r="AA106" s="148" t="str">
        <f t="shared" ref="AA106:AA114" si="19">IFERROR(IF(Z106=E106, "OK", "Check"),"")</f>
        <v>OK</v>
      </c>
      <c r="AB106" s="148"/>
      <c r="AC106" s="148"/>
    </row>
    <row r="107" spans="1:30" ht="15.75" customHeight="1">
      <c r="A107" s="176"/>
      <c r="B107" s="837" t="s">
        <v>1051</v>
      </c>
      <c r="C107" s="837"/>
      <c r="D107" s="837"/>
      <c r="E107" s="851">
        <f>Inputs!E252</f>
        <v>0</v>
      </c>
      <c r="F107" s="180"/>
      <c r="I107" s="858">
        <v>0</v>
      </c>
      <c r="J107" s="858">
        <v>0</v>
      </c>
      <c r="K107" s="858">
        <v>0</v>
      </c>
      <c r="L107" s="854">
        <v>0</v>
      </c>
      <c r="M107" s="854">
        <v>0</v>
      </c>
      <c r="N107" s="854">
        <v>0</v>
      </c>
      <c r="O107" s="854">
        <v>0</v>
      </c>
      <c r="P107" s="860">
        <v>0</v>
      </c>
      <c r="Q107" s="860">
        <v>0</v>
      </c>
      <c r="R107" s="860">
        <v>0</v>
      </c>
      <c r="S107" s="860">
        <v>0</v>
      </c>
      <c r="T107" s="860">
        <v>0</v>
      </c>
      <c r="U107" s="861">
        <v>0</v>
      </c>
      <c r="V107" s="861">
        <v>0</v>
      </c>
      <c r="W107" s="861">
        <v>0</v>
      </c>
      <c r="X107" s="861">
        <v>0</v>
      </c>
      <c r="Y107" s="861">
        <v>0</v>
      </c>
      <c r="Z107" s="857">
        <f t="shared" si="18"/>
        <v>0</v>
      </c>
      <c r="AA107" s="148" t="str">
        <f t="shared" si="19"/>
        <v>OK</v>
      </c>
      <c r="AB107" s="148"/>
      <c r="AC107" s="148"/>
    </row>
    <row r="108" spans="1:30" ht="15.75" customHeight="1">
      <c r="A108" s="176"/>
      <c r="B108" s="837" t="s">
        <v>1052</v>
      </c>
      <c r="C108" s="837"/>
      <c r="D108" s="837"/>
      <c r="E108" s="851">
        <f>Inputs!E253</f>
        <v>800000</v>
      </c>
      <c r="F108" s="180"/>
      <c r="I108" s="858">
        <v>0</v>
      </c>
      <c r="J108" s="858">
        <v>0</v>
      </c>
      <c r="K108" s="858">
        <v>0</v>
      </c>
      <c r="L108" s="854">
        <v>0</v>
      </c>
      <c r="M108" s="854">
        <v>100000</v>
      </c>
      <c r="N108" s="854">
        <v>0</v>
      </c>
      <c r="O108" s="854">
        <v>0</v>
      </c>
      <c r="P108" s="860">
        <v>0</v>
      </c>
      <c r="Q108" s="860">
        <v>0</v>
      </c>
      <c r="R108" s="860">
        <v>0</v>
      </c>
      <c r="S108" s="860">
        <v>480000</v>
      </c>
      <c r="T108" s="860">
        <v>0</v>
      </c>
      <c r="U108" s="861">
        <v>0</v>
      </c>
      <c r="V108" s="861">
        <v>220000</v>
      </c>
      <c r="W108" s="861">
        <v>0</v>
      </c>
      <c r="X108" s="861">
        <v>0</v>
      </c>
      <c r="Y108" s="861">
        <v>0</v>
      </c>
      <c r="Z108" s="857">
        <f t="shared" si="18"/>
        <v>800000</v>
      </c>
      <c r="AA108" s="148" t="str">
        <f t="shared" si="19"/>
        <v>OK</v>
      </c>
      <c r="AB108" s="148"/>
      <c r="AC108" s="148"/>
    </row>
    <row r="109" spans="1:30" ht="15.75" customHeight="1">
      <c r="A109" s="176"/>
      <c r="B109" s="837" t="s">
        <v>1053</v>
      </c>
      <c r="C109" s="837"/>
      <c r="D109" s="837"/>
      <c r="E109" s="851">
        <f>Inputs!E254</f>
        <v>100000</v>
      </c>
      <c r="F109" s="180"/>
      <c r="I109" s="858">
        <v>0</v>
      </c>
      <c r="J109" s="858">
        <v>0</v>
      </c>
      <c r="K109" s="858">
        <v>0</v>
      </c>
      <c r="L109" s="854">
        <v>0</v>
      </c>
      <c r="M109" s="854">
        <v>20000</v>
      </c>
      <c r="N109" s="854">
        <v>0</v>
      </c>
      <c r="O109" s="854">
        <v>0</v>
      </c>
      <c r="P109" s="860">
        <v>0</v>
      </c>
      <c r="Q109" s="860">
        <v>0</v>
      </c>
      <c r="R109" s="860">
        <v>0</v>
      </c>
      <c r="S109" s="860">
        <v>0</v>
      </c>
      <c r="T109" s="860">
        <v>50000</v>
      </c>
      <c r="U109" s="861">
        <v>0</v>
      </c>
      <c r="V109" s="861">
        <v>30000</v>
      </c>
      <c r="W109" s="861">
        <v>0</v>
      </c>
      <c r="X109" s="861">
        <v>0</v>
      </c>
      <c r="Y109" s="861">
        <v>0</v>
      </c>
      <c r="Z109" s="857">
        <f t="shared" si="18"/>
        <v>100000</v>
      </c>
      <c r="AA109" s="148" t="str">
        <f t="shared" si="19"/>
        <v>OK</v>
      </c>
      <c r="AB109" s="148"/>
      <c r="AC109" s="148"/>
    </row>
    <row r="110" spans="1:30" ht="15.75" customHeight="1">
      <c r="A110" s="176"/>
      <c r="B110" s="837" t="s">
        <v>1054</v>
      </c>
      <c r="C110" s="837"/>
      <c r="D110" s="837"/>
      <c r="E110" s="851">
        <f>Inputs!E255</f>
        <v>100000</v>
      </c>
      <c r="F110" s="180"/>
      <c r="I110" s="858">
        <v>0</v>
      </c>
      <c r="J110" s="858">
        <v>0</v>
      </c>
      <c r="K110" s="858">
        <v>0</v>
      </c>
      <c r="L110" s="854">
        <v>0</v>
      </c>
      <c r="M110" s="854">
        <v>10000</v>
      </c>
      <c r="N110" s="854">
        <v>0</v>
      </c>
      <c r="O110" s="854">
        <v>0</v>
      </c>
      <c r="P110" s="860">
        <v>0</v>
      </c>
      <c r="Q110" s="860">
        <v>0</v>
      </c>
      <c r="R110" s="860">
        <v>0</v>
      </c>
      <c r="S110" s="860">
        <v>50000</v>
      </c>
      <c r="T110" s="860">
        <v>0</v>
      </c>
      <c r="U110" s="861">
        <v>0</v>
      </c>
      <c r="V110" s="861">
        <v>40000</v>
      </c>
      <c r="W110" s="861">
        <v>0</v>
      </c>
      <c r="X110" s="861">
        <v>0</v>
      </c>
      <c r="Y110" s="861">
        <v>0</v>
      </c>
      <c r="Z110" s="857">
        <f t="shared" si="18"/>
        <v>100000</v>
      </c>
      <c r="AA110" s="148" t="str">
        <f t="shared" si="19"/>
        <v>OK</v>
      </c>
      <c r="AB110" s="148"/>
      <c r="AC110" s="148"/>
    </row>
    <row r="111" spans="1:30" ht="15.75" customHeight="1">
      <c r="A111" s="176"/>
      <c r="B111" s="837" t="s">
        <v>1055</v>
      </c>
      <c r="C111" s="837"/>
      <c r="D111" s="837"/>
      <c r="E111" s="851">
        <f>Inputs!E256</f>
        <v>50000</v>
      </c>
      <c r="F111" s="180"/>
      <c r="I111" s="858">
        <v>0</v>
      </c>
      <c r="J111" s="858">
        <v>0</v>
      </c>
      <c r="K111" s="858">
        <v>0</v>
      </c>
      <c r="L111" s="854">
        <v>0</v>
      </c>
      <c r="M111" s="854">
        <v>0</v>
      </c>
      <c r="N111" s="854">
        <v>0</v>
      </c>
      <c r="O111" s="854">
        <v>0</v>
      </c>
      <c r="P111" s="860">
        <v>0</v>
      </c>
      <c r="Q111" s="860">
        <v>0</v>
      </c>
      <c r="R111" s="860">
        <v>0</v>
      </c>
      <c r="S111" s="860">
        <v>0</v>
      </c>
      <c r="T111" s="860">
        <v>0</v>
      </c>
      <c r="U111" s="861">
        <v>40000</v>
      </c>
      <c r="V111" s="861">
        <v>0</v>
      </c>
      <c r="W111" s="861">
        <v>10000</v>
      </c>
      <c r="X111" s="861">
        <v>0</v>
      </c>
      <c r="Y111" s="861">
        <v>0</v>
      </c>
      <c r="Z111" s="857">
        <f t="shared" si="18"/>
        <v>50000</v>
      </c>
      <c r="AA111" s="148" t="str">
        <f t="shared" si="19"/>
        <v>OK</v>
      </c>
      <c r="AB111" s="148"/>
      <c r="AC111" s="148"/>
    </row>
    <row r="112" spans="1:30" ht="15.75" customHeight="1">
      <c r="A112" s="176"/>
      <c r="B112" s="837" t="s">
        <v>1056</v>
      </c>
      <c r="C112" s="837"/>
      <c r="D112" s="837"/>
      <c r="E112" s="851">
        <f>Inputs!E257</f>
        <v>700000</v>
      </c>
      <c r="F112" s="180"/>
      <c r="I112" s="858">
        <v>0</v>
      </c>
      <c r="J112" s="858">
        <v>0</v>
      </c>
      <c r="K112" s="858">
        <v>0</v>
      </c>
      <c r="L112" s="854">
        <v>0</v>
      </c>
      <c r="M112" s="854">
        <v>0</v>
      </c>
      <c r="N112" s="854">
        <v>0</v>
      </c>
      <c r="O112" s="854">
        <v>0</v>
      </c>
      <c r="P112" s="860">
        <v>100000</v>
      </c>
      <c r="Q112" s="860">
        <v>0</v>
      </c>
      <c r="R112" s="860">
        <v>300000</v>
      </c>
      <c r="S112" s="860">
        <v>200000</v>
      </c>
      <c r="T112" s="860">
        <v>0</v>
      </c>
      <c r="U112" s="861">
        <v>0</v>
      </c>
      <c r="V112" s="861">
        <v>100000</v>
      </c>
      <c r="W112" s="861">
        <v>0</v>
      </c>
      <c r="X112" s="861">
        <v>0</v>
      </c>
      <c r="Y112" s="861">
        <v>0</v>
      </c>
      <c r="Z112" s="857">
        <f t="shared" si="18"/>
        <v>700000</v>
      </c>
      <c r="AA112" s="148" t="str">
        <f t="shared" si="19"/>
        <v>OK</v>
      </c>
      <c r="AB112" s="148"/>
      <c r="AC112" s="148"/>
    </row>
    <row r="113" spans="1:29" ht="15.75" customHeight="1">
      <c r="A113" s="176"/>
      <c r="B113" s="837" t="s">
        <v>1057</v>
      </c>
      <c r="C113" s="837"/>
      <c r="D113" s="837"/>
      <c r="E113" s="851">
        <f>Inputs!E258</f>
        <v>100000</v>
      </c>
      <c r="F113" s="180"/>
      <c r="I113" s="858">
        <v>0</v>
      </c>
      <c r="J113" s="858">
        <v>0</v>
      </c>
      <c r="K113" s="858">
        <v>0</v>
      </c>
      <c r="L113" s="854">
        <v>0</v>
      </c>
      <c r="M113" s="854">
        <v>10000</v>
      </c>
      <c r="N113" s="854">
        <v>0</v>
      </c>
      <c r="O113" s="854">
        <v>0</v>
      </c>
      <c r="P113" s="860">
        <v>0</v>
      </c>
      <c r="Q113" s="860">
        <v>0</v>
      </c>
      <c r="R113" s="860">
        <v>70000</v>
      </c>
      <c r="S113" s="860">
        <v>0</v>
      </c>
      <c r="T113" s="860">
        <v>0</v>
      </c>
      <c r="U113" s="861">
        <v>0</v>
      </c>
      <c r="V113" s="861">
        <v>20000</v>
      </c>
      <c r="W113" s="861">
        <v>0</v>
      </c>
      <c r="X113" s="861">
        <v>0</v>
      </c>
      <c r="Y113" s="861">
        <v>0</v>
      </c>
      <c r="Z113" s="857">
        <f t="shared" si="18"/>
        <v>100000</v>
      </c>
      <c r="AA113" s="148" t="str">
        <f t="shared" si="19"/>
        <v>OK</v>
      </c>
      <c r="AB113" s="148"/>
      <c r="AC113" s="148"/>
    </row>
    <row r="114" spans="1:29" ht="15.75" customHeight="1">
      <c r="A114" s="176"/>
      <c r="B114" s="837" t="s">
        <v>1058</v>
      </c>
      <c r="C114" s="837"/>
      <c r="D114" s="837"/>
      <c r="E114" s="851">
        <f>Inputs!E259</f>
        <v>50000</v>
      </c>
      <c r="F114" s="180"/>
      <c r="I114" s="858">
        <v>0</v>
      </c>
      <c r="J114" s="858">
        <v>0</v>
      </c>
      <c r="K114" s="858">
        <v>0</v>
      </c>
      <c r="L114" s="854">
        <v>0</v>
      </c>
      <c r="M114" s="854">
        <v>0</v>
      </c>
      <c r="N114" s="854">
        <v>0</v>
      </c>
      <c r="O114" s="854">
        <v>0</v>
      </c>
      <c r="P114" s="860">
        <v>0</v>
      </c>
      <c r="Q114" s="860">
        <v>50000</v>
      </c>
      <c r="R114" s="860">
        <v>0</v>
      </c>
      <c r="S114" s="860">
        <v>0</v>
      </c>
      <c r="T114" s="860">
        <v>0</v>
      </c>
      <c r="U114" s="861">
        <v>0</v>
      </c>
      <c r="V114" s="861">
        <v>0</v>
      </c>
      <c r="W114" s="861">
        <v>0</v>
      </c>
      <c r="X114" s="861">
        <v>0</v>
      </c>
      <c r="Y114" s="861">
        <v>0</v>
      </c>
      <c r="Z114" s="857">
        <f t="shared" si="18"/>
        <v>50000</v>
      </c>
      <c r="AA114" s="148" t="str">
        <f t="shared" si="19"/>
        <v>OK</v>
      </c>
      <c r="AB114" s="148"/>
      <c r="AC114" s="148"/>
    </row>
    <row r="115" spans="1:29" ht="15" customHeight="1">
      <c r="A115" s="176"/>
      <c r="B115" s="837" t="s">
        <v>1059</v>
      </c>
      <c r="C115" s="837"/>
      <c r="D115" s="837"/>
      <c r="E115" s="851">
        <f>Inputs!E260</f>
        <v>100000</v>
      </c>
      <c r="F115" s="180"/>
      <c r="I115" s="858">
        <v>0</v>
      </c>
      <c r="J115" s="858">
        <v>0</v>
      </c>
      <c r="K115" s="858">
        <v>0</v>
      </c>
      <c r="L115" s="854">
        <v>0</v>
      </c>
      <c r="M115" s="854">
        <v>10000</v>
      </c>
      <c r="N115" s="854">
        <v>0</v>
      </c>
      <c r="O115" s="854">
        <v>0</v>
      </c>
      <c r="P115" s="860">
        <v>0</v>
      </c>
      <c r="Q115" s="860">
        <v>0</v>
      </c>
      <c r="R115" s="860">
        <v>0</v>
      </c>
      <c r="S115" s="860">
        <v>70000</v>
      </c>
      <c r="T115" s="860">
        <v>0</v>
      </c>
      <c r="U115" s="861">
        <v>0</v>
      </c>
      <c r="V115" s="861">
        <v>0</v>
      </c>
      <c r="W115" s="861">
        <v>20000</v>
      </c>
      <c r="X115" s="861">
        <v>0</v>
      </c>
      <c r="Y115" s="861">
        <v>0</v>
      </c>
      <c r="Z115" s="857">
        <f t="shared" si="18"/>
        <v>100000</v>
      </c>
      <c r="AA115" s="148" t="str">
        <f>IF(ABS(Z115-E115)&lt;1,"OK","Check")</f>
        <v>OK</v>
      </c>
      <c r="AB115" s="148"/>
      <c r="AC115" s="148"/>
    </row>
    <row r="116" spans="1:29" ht="15" customHeight="1">
      <c r="A116" s="189"/>
      <c r="B116" s="278" t="s">
        <v>1664</v>
      </c>
      <c r="C116" s="839" t="s">
        <v>336</v>
      </c>
      <c r="D116" s="839"/>
      <c r="E116" s="866">
        <f>SUM(E106:E115)</f>
        <v>5000000</v>
      </c>
      <c r="F116" s="278"/>
      <c r="I116" s="866">
        <f t="shared" ref="I116:Y116" si="20">SUM(I106:I115)</f>
        <v>0</v>
      </c>
      <c r="J116" s="866">
        <f t="shared" si="20"/>
        <v>0</v>
      </c>
      <c r="K116" s="866">
        <f t="shared" si="20"/>
        <v>0</v>
      </c>
      <c r="L116" s="866">
        <f t="shared" si="20"/>
        <v>0</v>
      </c>
      <c r="M116" s="866">
        <f t="shared" si="20"/>
        <v>150000</v>
      </c>
      <c r="N116" s="866">
        <f t="shared" si="20"/>
        <v>150000</v>
      </c>
      <c r="O116" s="866">
        <f t="shared" si="20"/>
        <v>0</v>
      </c>
      <c r="P116" s="866">
        <f t="shared" si="20"/>
        <v>100000</v>
      </c>
      <c r="Q116" s="866">
        <f t="shared" si="20"/>
        <v>50000</v>
      </c>
      <c r="R116" s="866">
        <f t="shared" si="20"/>
        <v>1570000</v>
      </c>
      <c r="S116" s="866">
        <f t="shared" si="20"/>
        <v>1400000</v>
      </c>
      <c r="T116" s="866">
        <f t="shared" si="20"/>
        <v>200000</v>
      </c>
      <c r="U116" s="866">
        <f t="shared" si="20"/>
        <v>940000</v>
      </c>
      <c r="V116" s="866">
        <f t="shared" si="20"/>
        <v>410000</v>
      </c>
      <c r="W116" s="866">
        <f t="shared" si="20"/>
        <v>30000</v>
      </c>
      <c r="X116" s="866">
        <f t="shared" si="20"/>
        <v>0</v>
      </c>
      <c r="Y116" s="866">
        <f t="shared" si="20"/>
        <v>0</v>
      </c>
      <c r="Z116" s="866">
        <f t="shared" si="18"/>
        <v>5000000</v>
      </c>
      <c r="AA116" s="148" t="str">
        <f>IFERROR(IF(SUM(Z106:Z115)=E116, "OK", "Check"),"")</f>
        <v>OK</v>
      </c>
      <c r="AB116" s="148"/>
      <c r="AC116" s="148"/>
    </row>
    <row r="117" spans="1:29" ht="15.75" customHeight="1">
      <c r="A117" s="176"/>
      <c r="B117" s="180"/>
      <c r="C117" s="148"/>
      <c r="D117" s="148"/>
      <c r="E117" s="148"/>
      <c r="F117" s="148"/>
      <c r="I117" s="148"/>
      <c r="J117" s="180"/>
      <c r="K117" s="180"/>
      <c r="L117" s="180"/>
      <c r="M117" s="180"/>
      <c r="N117" s="180"/>
      <c r="O117" s="180"/>
      <c r="P117" s="180"/>
      <c r="Q117" s="180"/>
      <c r="R117" s="180"/>
      <c r="S117" s="180"/>
      <c r="T117" s="180"/>
      <c r="U117" s="180"/>
      <c r="V117" s="180"/>
      <c r="W117" s="180"/>
      <c r="X117" s="180"/>
      <c r="Y117" s="180"/>
      <c r="Z117" s="180"/>
      <c r="AA117" s="180"/>
      <c r="AB117" s="148"/>
      <c r="AC117" s="148"/>
    </row>
    <row r="118" spans="1:29" ht="15.75" customHeight="1">
      <c r="A118" s="867" t="s">
        <v>1060</v>
      </c>
      <c r="B118" s="180"/>
      <c r="C118" s="148"/>
      <c r="D118" s="148"/>
      <c r="E118" s="148"/>
      <c r="F118" s="148"/>
      <c r="I118" s="148"/>
      <c r="J118" s="180"/>
      <c r="K118" s="180"/>
      <c r="L118" s="180"/>
      <c r="M118" s="180"/>
      <c r="N118" s="180"/>
      <c r="O118" s="180"/>
      <c r="P118" s="180"/>
      <c r="Q118" s="180"/>
      <c r="R118" s="180"/>
      <c r="S118" s="180"/>
      <c r="T118" s="180"/>
      <c r="U118" s="180"/>
      <c r="V118" s="180"/>
      <c r="W118" s="180"/>
      <c r="X118" s="180"/>
      <c r="Y118" s="180"/>
      <c r="Z118" s="180"/>
      <c r="AA118" s="148"/>
      <c r="AB118" s="148"/>
      <c r="AC118" s="148"/>
    </row>
    <row r="119" spans="1:29" ht="15.75" customHeight="1">
      <c r="A119" s="176"/>
      <c r="B119" s="180" t="s">
        <v>1061</v>
      </c>
      <c r="C119" s="837"/>
      <c r="D119" s="837"/>
      <c r="E119" s="851">
        <f>Inputs!E263</f>
        <v>120000</v>
      </c>
      <c r="F119" s="180"/>
      <c r="I119" s="858">
        <v>0</v>
      </c>
      <c r="J119" s="858">
        <v>0</v>
      </c>
      <c r="K119" s="858">
        <v>0</v>
      </c>
      <c r="L119" s="854">
        <v>0</v>
      </c>
      <c r="M119" s="854">
        <v>0</v>
      </c>
      <c r="N119" s="854">
        <v>0</v>
      </c>
      <c r="O119" s="854">
        <v>0</v>
      </c>
      <c r="P119" s="860">
        <v>0</v>
      </c>
      <c r="Q119" s="860">
        <v>20000</v>
      </c>
      <c r="R119" s="860">
        <v>0</v>
      </c>
      <c r="S119" s="860">
        <v>0</v>
      </c>
      <c r="T119" s="860">
        <v>70000</v>
      </c>
      <c r="U119" s="861">
        <v>0</v>
      </c>
      <c r="V119" s="861">
        <v>0</v>
      </c>
      <c r="W119" s="861">
        <v>30000</v>
      </c>
      <c r="X119" s="861">
        <v>0</v>
      </c>
      <c r="Y119" s="861">
        <v>0</v>
      </c>
      <c r="Z119" s="857">
        <f t="shared" ref="Z119:Z122" si="21">SUM(I119:Y119)</f>
        <v>120000</v>
      </c>
      <c r="AA119" s="148" t="str">
        <f t="shared" ref="AA119:AA121" si="22">IFERROR(IF(Z119=E119, "OK", "Check"),"")</f>
        <v>OK</v>
      </c>
      <c r="AB119" s="148"/>
      <c r="AC119" s="148"/>
    </row>
    <row r="120" spans="1:29" ht="15" customHeight="1">
      <c r="A120" s="176"/>
      <c r="B120" s="180" t="s">
        <v>1062</v>
      </c>
      <c r="C120" s="837"/>
      <c r="D120" s="837"/>
      <c r="E120" s="851">
        <f>Inputs!E264</f>
        <v>100000</v>
      </c>
      <c r="F120" s="180"/>
      <c r="I120" s="858">
        <v>0</v>
      </c>
      <c r="J120" s="858">
        <v>0</v>
      </c>
      <c r="K120" s="858">
        <v>0</v>
      </c>
      <c r="L120" s="854">
        <v>0</v>
      </c>
      <c r="M120" s="854">
        <v>0</v>
      </c>
      <c r="N120" s="854">
        <v>0</v>
      </c>
      <c r="O120" s="854">
        <v>0</v>
      </c>
      <c r="P120" s="860">
        <v>0</v>
      </c>
      <c r="Q120" s="860">
        <v>20000</v>
      </c>
      <c r="R120" s="860">
        <v>0</v>
      </c>
      <c r="S120" s="860">
        <v>0</v>
      </c>
      <c r="T120" s="860">
        <v>0</v>
      </c>
      <c r="U120" s="861">
        <v>0</v>
      </c>
      <c r="V120" s="861">
        <v>0</v>
      </c>
      <c r="W120" s="861">
        <v>80000</v>
      </c>
      <c r="X120" s="861">
        <v>0</v>
      </c>
      <c r="Y120" s="861">
        <v>0</v>
      </c>
      <c r="Z120" s="857">
        <f t="shared" si="21"/>
        <v>100000</v>
      </c>
      <c r="AA120" s="148" t="str">
        <f t="shared" si="22"/>
        <v>OK</v>
      </c>
      <c r="AB120" s="148"/>
      <c r="AC120" s="148"/>
    </row>
    <row r="121" spans="1:29" ht="15" customHeight="1">
      <c r="A121" s="176"/>
      <c r="B121" s="180" t="s">
        <v>1063</v>
      </c>
      <c r="C121" s="837"/>
      <c r="D121" s="837"/>
      <c r="E121" s="851">
        <f>Inputs!E265</f>
        <v>300000</v>
      </c>
      <c r="F121" s="180"/>
      <c r="I121" s="858">
        <v>0</v>
      </c>
      <c r="J121" s="858">
        <v>0</v>
      </c>
      <c r="K121" s="858">
        <v>0</v>
      </c>
      <c r="L121" s="854">
        <v>0</v>
      </c>
      <c r="M121" s="854">
        <v>0</v>
      </c>
      <c r="N121" s="854">
        <v>0</v>
      </c>
      <c r="O121" s="854">
        <v>0</v>
      </c>
      <c r="P121" s="860">
        <v>0</v>
      </c>
      <c r="Q121" s="860">
        <v>0</v>
      </c>
      <c r="R121" s="860">
        <v>0</v>
      </c>
      <c r="S121" s="860">
        <v>0</v>
      </c>
      <c r="T121" s="860">
        <v>50000</v>
      </c>
      <c r="U121" s="861">
        <v>0</v>
      </c>
      <c r="V121" s="861">
        <v>0</v>
      </c>
      <c r="W121" s="861">
        <v>250000</v>
      </c>
      <c r="X121" s="861">
        <v>0</v>
      </c>
      <c r="Y121" s="861">
        <v>0</v>
      </c>
      <c r="Z121" s="857">
        <f t="shared" si="21"/>
        <v>300000</v>
      </c>
      <c r="AA121" s="148" t="str">
        <f t="shared" si="22"/>
        <v>OK</v>
      </c>
      <c r="AB121" s="148"/>
      <c r="AC121" s="148"/>
    </row>
    <row r="122" spans="1:29" ht="15" customHeight="1">
      <c r="A122" s="189"/>
      <c r="B122" s="278" t="s">
        <v>1665</v>
      </c>
      <c r="C122" s="839" t="s">
        <v>336</v>
      </c>
      <c r="D122" s="839"/>
      <c r="E122" s="866">
        <f>SUM(E119:E121)</f>
        <v>520000</v>
      </c>
      <c r="F122" s="278"/>
      <c r="I122" s="886">
        <f t="shared" ref="I122:Y122" si="23">SUM(I119:I121)</f>
        <v>0</v>
      </c>
      <c r="J122" s="866">
        <f t="shared" si="23"/>
        <v>0</v>
      </c>
      <c r="K122" s="866">
        <f t="shared" si="23"/>
        <v>0</v>
      </c>
      <c r="L122" s="866">
        <f t="shared" si="23"/>
        <v>0</v>
      </c>
      <c r="M122" s="866">
        <f t="shared" si="23"/>
        <v>0</v>
      </c>
      <c r="N122" s="866">
        <f t="shared" si="23"/>
        <v>0</v>
      </c>
      <c r="O122" s="866">
        <f t="shared" si="23"/>
        <v>0</v>
      </c>
      <c r="P122" s="866">
        <f t="shared" si="23"/>
        <v>0</v>
      </c>
      <c r="Q122" s="866">
        <f t="shared" si="23"/>
        <v>40000</v>
      </c>
      <c r="R122" s="866">
        <f t="shared" si="23"/>
        <v>0</v>
      </c>
      <c r="S122" s="866">
        <f t="shared" si="23"/>
        <v>0</v>
      </c>
      <c r="T122" s="866">
        <f t="shared" si="23"/>
        <v>120000</v>
      </c>
      <c r="U122" s="866">
        <f t="shared" si="23"/>
        <v>0</v>
      </c>
      <c r="V122" s="866">
        <f t="shared" si="23"/>
        <v>0</v>
      </c>
      <c r="W122" s="866">
        <f t="shared" si="23"/>
        <v>360000</v>
      </c>
      <c r="X122" s="866">
        <f t="shared" si="23"/>
        <v>0</v>
      </c>
      <c r="Y122" s="866">
        <f t="shared" si="23"/>
        <v>0</v>
      </c>
      <c r="Z122" s="866">
        <f t="shared" si="21"/>
        <v>520000</v>
      </c>
      <c r="AA122" s="148" t="str">
        <f>IF(ABS(Z122-E122)&lt;1,"OK","Check")</f>
        <v>OK</v>
      </c>
      <c r="AB122" s="148"/>
      <c r="AC122" s="148"/>
    </row>
    <row r="123" spans="1:29" ht="15.75" customHeight="1">
      <c r="A123" s="189"/>
      <c r="B123" s="278"/>
      <c r="C123" s="839"/>
      <c r="D123" s="839"/>
      <c r="E123" s="180"/>
      <c r="F123" s="278"/>
      <c r="I123" s="278"/>
      <c r="J123" s="180"/>
      <c r="K123" s="180"/>
      <c r="L123" s="180"/>
      <c r="M123" s="180"/>
      <c r="N123" s="180"/>
      <c r="O123" s="180"/>
      <c r="P123" s="180"/>
      <c r="Q123" s="180"/>
      <c r="R123" s="180"/>
      <c r="S123" s="180"/>
      <c r="T123" s="180"/>
      <c r="U123" s="180"/>
      <c r="V123" s="180"/>
      <c r="W123" s="180"/>
      <c r="X123" s="180"/>
      <c r="Y123" s="180"/>
      <c r="Z123" s="278"/>
      <c r="AA123" s="148"/>
      <c r="AB123" s="148"/>
      <c r="AC123" s="148"/>
    </row>
    <row r="124" spans="1:29" ht="15.75" customHeight="1">
      <c r="A124" s="189"/>
      <c r="B124" s="278"/>
      <c r="C124" s="839"/>
      <c r="D124" s="839"/>
      <c r="E124" s="180"/>
      <c r="F124" s="278"/>
      <c r="I124" s="278"/>
      <c r="J124" s="180"/>
      <c r="K124" s="180"/>
      <c r="L124" s="180"/>
      <c r="M124" s="180"/>
      <c r="N124" s="180"/>
      <c r="O124" s="180"/>
      <c r="P124" s="180"/>
      <c r="Q124" s="180"/>
      <c r="R124" s="180"/>
      <c r="S124" s="180"/>
      <c r="T124" s="180"/>
      <c r="U124" s="180"/>
      <c r="V124" s="180"/>
      <c r="W124" s="180"/>
      <c r="X124" s="180"/>
      <c r="Y124" s="180"/>
      <c r="Z124" s="278"/>
      <c r="AA124" s="148"/>
      <c r="AB124" s="148"/>
      <c r="AC124" s="148"/>
    </row>
    <row r="125" spans="1:29" ht="15.75" customHeight="1">
      <c r="A125" s="887" t="s">
        <v>1666</v>
      </c>
      <c r="B125" s="278"/>
      <c r="C125" s="839"/>
      <c r="D125" s="839"/>
      <c r="E125" s="180"/>
      <c r="F125" s="278"/>
      <c r="I125" s="278"/>
      <c r="J125" s="180"/>
      <c r="K125" s="180"/>
      <c r="L125" s="180"/>
      <c r="M125" s="180"/>
      <c r="N125" s="180"/>
      <c r="O125" s="180"/>
      <c r="P125" s="180"/>
      <c r="Q125" s="180"/>
      <c r="R125" s="180"/>
      <c r="S125" s="180"/>
      <c r="T125" s="180"/>
      <c r="U125" s="180"/>
      <c r="V125" s="180"/>
      <c r="W125" s="180"/>
      <c r="X125" s="180"/>
      <c r="Y125" s="180"/>
      <c r="Z125" s="278"/>
      <c r="AA125" s="148"/>
      <c r="AB125" s="148"/>
      <c r="AC125" s="148"/>
    </row>
    <row r="126" spans="1:29" ht="15.75" customHeight="1">
      <c r="A126" s="26"/>
      <c r="B126" s="877" t="s">
        <v>1243</v>
      </c>
      <c r="C126" s="839">
        <v>100000</v>
      </c>
      <c r="D126" s="839"/>
      <c r="E126" s="851"/>
      <c r="F126" s="877" t="s">
        <v>1243</v>
      </c>
      <c r="I126" s="858">
        <v>0</v>
      </c>
      <c r="J126" s="858">
        <v>0</v>
      </c>
      <c r="K126" s="858">
        <v>0</v>
      </c>
      <c r="L126" s="854">
        <v>0</v>
      </c>
      <c r="M126" s="854">
        <v>20000</v>
      </c>
      <c r="N126" s="854">
        <v>20000</v>
      </c>
      <c r="O126" s="854">
        <v>20000</v>
      </c>
      <c r="P126" s="860">
        <v>0</v>
      </c>
      <c r="Q126" s="860">
        <v>0</v>
      </c>
      <c r="R126" s="860">
        <v>0</v>
      </c>
      <c r="S126" s="860">
        <v>20000</v>
      </c>
      <c r="T126" s="860">
        <v>20000</v>
      </c>
      <c r="U126" s="861">
        <v>0</v>
      </c>
      <c r="V126" s="861"/>
      <c r="W126" s="861"/>
      <c r="X126" s="861"/>
      <c r="Y126" s="861"/>
      <c r="Z126" s="857">
        <f t="shared" ref="Z126:Z129" si="24">SUM(I126:Y126)</f>
        <v>100000</v>
      </c>
      <c r="AA126" s="148"/>
      <c r="AB126" s="148"/>
      <c r="AC126" s="148"/>
    </row>
    <row r="127" spans="1:29" ht="30" customHeight="1">
      <c r="A127" s="292" t="s">
        <v>1667</v>
      </c>
      <c r="B127" s="877" t="s">
        <v>309</v>
      </c>
      <c r="C127" s="839">
        <v>120000</v>
      </c>
      <c r="D127" s="839"/>
      <c r="E127" s="851"/>
      <c r="F127" s="877" t="s">
        <v>309</v>
      </c>
      <c r="I127" s="858">
        <v>0</v>
      </c>
      <c r="J127" s="858">
        <v>0</v>
      </c>
      <c r="K127" s="858">
        <v>0</v>
      </c>
      <c r="L127" s="854">
        <v>0</v>
      </c>
      <c r="M127" s="854">
        <v>0</v>
      </c>
      <c r="N127" s="854">
        <v>0</v>
      </c>
      <c r="O127" s="854">
        <v>0</v>
      </c>
      <c r="P127" s="860">
        <v>0</v>
      </c>
      <c r="Q127" s="860">
        <v>0</v>
      </c>
      <c r="R127" s="860">
        <v>10000</v>
      </c>
      <c r="S127" s="860">
        <v>10000</v>
      </c>
      <c r="T127" s="860">
        <v>20000</v>
      </c>
      <c r="U127" s="861">
        <v>10000</v>
      </c>
      <c r="V127" s="861">
        <v>10000</v>
      </c>
      <c r="W127" s="861">
        <v>20000</v>
      </c>
      <c r="X127" s="861">
        <v>20000</v>
      </c>
      <c r="Y127" s="861">
        <v>20000</v>
      </c>
      <c r="Z127" s="857">
        <f t="shared" si="24"/>
        <v>120000</v>
      </c>
      <c r="AA127" s="148"/>
      <c r="AB127" s="148"/>
      <c r="AC127" s="148"/>
    </row>
    <row r="128" spans="1:29" ht="15" customHeight="1">
      <c r="A128" s="26"/>
      <c r="B128" s="877" t="s">
        <v>1668</v>
      </c>
      <c r="C128" s="839">
        <v>100000</v>
      </c>
      <c r="D128" s="839"/>
      <c r="E128" s="851"/>
      <c r="F128" s="877" t="s">
        <v>1668</v>
      </c>
      <c r="I128" s="858">
        <v>0</v>
      </c>
      <c r="J128" s="858">
        <v>0</v>
      </c>
      <c r="K128" s="858">
        <v>0</v>
      </c>
      <c r="L128" s="854">
        <v>0</v>
      </c>
      <c r="M128" s="854">
        <v>0</v>
      </c>
      <c r="N128" s="854">
        <v>0</v>
      </c>
      <c r="O128" s="854">
        <v>0</v>
      </c>
      <c r="P128" s="860">
        <v>0</v>
      </c>
      <c r="Q128" s="860">
        <v>20000</v>
      </c>
      <c r="R128" s="860">
        <v>0</v>
      </c>
      <c r="S128" s="860">
        <v>20000</v>
      </c>
      <c r="T128" s="860">
        <v>0</v>
      </c>
      <c r="U128" s="861">
        <v>20000</v>
      </c>
      <c r="V128" s="861"/>
      <c r="W128" s="861">
        <v>20000</v>
      </c>
      <c r="X128" s="861"/>
      <c r="Y128" s="861">
        <v>20000</v>
      </c>
      <c r="Z128" s="857">
        <f t="shared" si="24"/>
        <v>100000</v>
      </c>
      <c r="AA128" s="148"/>
      <c r="AB128" s="148"/>
      <c r="AC128" s="148"/>
    </row>
    <row r="129" spans="1:31" ht="15" customHeight="1">
      <c r="A129" s="189"/>
      <c r="B129" s="278"/>
      <c r="C129" s="839"/>
      <c r="D129" s="839"/>
      <c r="E129" s="840">
        <f>SUM(E126:E128)</f>
        <v>0</v>
      </c>
      <c r="F129" s="278"/>
      <c r="I129" s="866">
        <f t="shared" ref="I129:Y129" si="25">SUM(I126:I128)</f>
        <v>0</v>
      </c>
      <c r="J129" s="866">
        <f t="shared" si="25"/>
        <v>0</v>
      </c>
      <c r="K129" s="866">
        <f t="shared" si="25"/>
        <v>0</v>
      </c>
      <c r="L129" s="866">
        <f t="shared" si="25"/>
        <v>0</v>
      </c>
      <c r="M129" s="866">
        <f t="shared" si="25"/>
        <v>20000</v>
      </c>
      <c r="N129" s="866">
        <f t="shared" si="25"/>
        <v>20000</v>
      </c>
      <c r="O129" s="866">
        <f t="shared" si="25"/>
        <v>20000</v>
      </c>
      <c r="P129" s="866">
        <f t="shared" si="25"/>
        <v>0</v>
      </c>
      <c r="Q129" s="866">
        <f t="shared" si="25"/>
        <v>20000</v>
      </c>
      <c r="R129" s="866">
        <f t="shared" si="25"/>
        <v>10000</v>
      </c>
      <c r="S129" s="866">
        <f t="shared" si="25"/>
        <v>50000</v>
      </c>
      <c r="T129" s="866">
        <f t="shared" si="25"/>
        <v>40000</v>
      </c>
      <c r="U129" s="866">
        <f t="shared" si="25"/>
        <v>30000</v>
      </c>
      <c r="V129" s="866">
        <f t="shared" si="25"/>
        <v>10000</v>
      </c>
      <c r="W129" s="866">
        <f t="shared" si="25"/>
        <v>40000</v>
      </c>
      <c r="X129" s="866">
        <f t="shared" si="25"/>
        <v>20000</v>
      </c>
      <c r="Y129" s="866">
        <f t="shared" si="25"/>
        <v>40000</v>
      </c>
      <c r="Z129" s="866">
        <f t="shared" si="24"/>
        <v>320000</v>
      </c>
      <c r="AA129" s="180"/>
      <c r="AB129" s="148"/>
    </row>
    <row r="130" spans="1:31" ht="15.75" customHeight="1">
      <c r="A130" s="189"/>
      <c r="B130" s="278"/>
      <c r="C130" s="839"/>
      <c r="D130" s="839"/>
      <c r="E130" s="180"/>
      <c r="F130" s="278"/>
      <c r="I130" s="180"/>
      <c r="J130" s="180"/>
      <c r="K130" s="180"/>
      <c r="L130" s="180"/>
      <c r="M130" s="180"/>
      <c r="N130" s="180"/>
      <c r="O130" s="180"/>
      <c r="P130" s="180"/>
      <c r="Q130" s="180"/>
      <c r="R130" s="180"/>
      <c r="S130" s="180"/>
      <c r="T130" s="180"/>
      <c r="U130" s="180"/>
      <c r="V130" s="180"/>
      <c r="W130" s="180"/>
      <c r="X130" s="180"/>
      <c r="Y130" s="180"/>
      <c r="Z130" s="180"/>
      <c r="AA130" s="180"/>
      <c r="AB130" s="148"/>
    </row>
    <row r="131" spans="1:31" ht="15.75" customHeight="1">
      <c r="A131" s="189"/>
      <c r="B131" s="278"/>
      <c r="C131" s="839"/>
      <c r="D131" s="839"/>
      <c r="E131" s="180"/>
      <c r="F131" s="278"/>
      <c r="I131" s="180"/>
      <c r="J131" s="180"/>
      <c r="K131" s="180"/>
      <c r="L131" s="180"/>
      <c r="M131" s="180"/>
      <c r="N131" s="180"/>
      <c r="O131" s="180"/>
      <c r="P131" s="180"/>
      <c r="Q131" s="180"/>
      <c r="R131" s="180"/>
      <c r="S131" s="180"/>
      <c r="T131" s="180"/>
      <c r="U131" s="180"/>
      <c r="V131" s="180"/>
      <c r="W131" s="180"/>
      <c r="X131" s="180"/>
      <c r="Y131" s="180"/>
      <c r="Z131" s="180"/>
      <c r="AA131" s="180"/>
      <c r="AB131" s="148"/>
    </row>
    <row r="132" spans="1:31" ht="15.75" customHeight="1">
      <c r="A132" s="189"/>
      <c r="B132" s="278"/>
      <c r="C132" s="839"/>
      <c r="D132" s="839"/>
      <c r="E132" s="278"/>
      <c r="F132" s="278"/>
      <c r="I132" s="180"/>
      <c r="J132" s="180"/>
      <c r="K132" s="180"/>
      <c r="L132" s="180"/>
      <c r="M132" s="180"/>
      <c r="N132" s="180"/>
      <c r="O132" s="180"/>
      <c r="P132" s="180"/>
      <c r="Q132" s="180"/>
      <c r="R132" s="180"/>
      <c r="S132" s="180"/>
      <c r="T132" s="180"/>
      <c r="U132" s="180"/>
      <c r="V132" s="180"/>
      <c r="W132" s="180"/>
      <c r="X132" s="180"/>
      <c r="Y132" s="180"/>
      <c r="Z132" s="180"/>
      <c r="AA132" s="180"/>
      <c r="AB132" s="148"/>
    </row>
    <row r="133" spans="1:31" ht="15.75" customHeight="1">
      <c r="A133" s="867" t="s">
        <v>1064</v>
      </c>
      <c r="B133" s="180"/>
      <c r="C133" s="148"/>
      <c r="D133" s="148"/>
      <c r="E133" s="148"/>
      <c r="F133" s="148"/>
      <c r="I133" s="148"/>
      <c r="J133" s="148"/>
      <c r="K133" s="148"/>
      <c r="L133" s="148"/>
      <c r="M133" s="148"/>
      <c r="N133" s="148"/>
      <c r="O133" s="148"/>
      <c r="P133" s="148"/>
      <c r="Q133" s="148"/>
      <c r="R133" s="148"/>
      <c r="S133" s="148"/>
      <c r="T133" s="180"/>
      <c r="U133" s="180"/>
      <c r="V133" s="278"/>
      <c r="W133" s="278"/>
      <c r="X133" s="278"/>
      <c r="Y133" s="278"/>
      <c r="Z133" s="148"/>
      <c r="AA133" s="148"/>
      <c r="AB133" s="148"/>
    </row>
    <row r="134" spans="1:31" ht="15" customHeight="1">
      <c r="A134" s="176"/>
      <c r="B134" s="837" t="s">
        <v>1669</v>
      </c>
      <c r="C134" s="837" t="s">
        <v>336</v>
      </c>
      <c r="D134" s="837"/>
      <c r="E134" s="851">
        <f>Inputs!E268</f>
        <v>941025</v>
      </c>
      <c r="F134" s="180"/>
      <c r="I134" s="180"/>
      <c r="J134" s="180"/>
      <c r="K134" s="180"/>
      <c r="L134" s="180"/>
      <c r="M134" s="180"/>
      <c r="N134" s="180"/>
      <c r="O134" s="180"/>
      <c r="P134" s="180"/>
      <c r="Q134" s="180"/>
      <c r="R134" s="180"/>
      <c r="S134" s="180"/>
      <c r="T134" s="180"/>
      <c r="U134" s="180"/>
      <c r="V134" s="278"/>
      <c r="W134" s="278"/>
      <c r="X134" s="278"/>
      <c r="Y134" s="278"/>
      <c r="Z134" s="148"/>
      <c r="AA134" s="148"/>
      <c r="AB134" s="148"/>
    </row>
    <row r="135" spans="1:31" ht="15" customHeight="1">
      <c r="A135" s="189"/>
      <c r="B135" s="278" t="s">
        <v>1670</v>
      </c>
      <c r="C135" s="839" t="s">
        <v>336</v>
      </c>
      <c r="D135" s="839"/>
      <c r="E135" s="840">
        <f>E134</f>
        <v>941025</v>
      </c>
      <c r="F135" s="278"/>
      <c r="I135" s="278"/>
      <c r="J135" s="278"/>
      <c r="K135" s="278"/>
      <c r="L135" s="278"/>
      <c r="M135" s="278"/>
      <c r="N135" s="278"/>
      <c r="O135" s="278"/>
      <c r="P135" s="278"/>
      <c r="Q135" s="278"/>
      <c r="R135" s="278"/>
      <c r="S135" s="278"/>
      <c r="T135" s="180"/>
      <c r="U135" s="180"/>
      <c r="V135" s="278"/>
      <c r="W135" s="278"/>
      <c r="X135" s="278"/>
      <c r="Y135" s="278"/>
      <c r="Z135" s="148"/>
      <c r="AA135" s="148"/>
      <c r="AB135" s="148"/>
    </row>
    <row r="136" spans="1:31" ht="15.75" customHeight="1">
      <c r="A136" s="176"/>
      <c r="B136" s="180"/>
      <c r="C136" s="148"/>
      <c r="D136" s="148"/>
      <c r="E136" s="148"/>
      <c r="F136" s="148"/>
      <c r="I136" s="148"/>
      <c r="J136" s="148"/>
      <c r="K136" s="148"/>
      <c r="L136" s="148"/>
      <c r="M136" s="148"/>
      <c r="N136" s="148"/>
      <c r="O136" s="148"/>
      <c r="P136" s="148"/>
      <c r="Q136" s="148"/>
      <c r="R136" s="148"/>
      <c r="S136" s="148"/>
      <c r="T136" s="180"/>
      <c r="U136" s="180"/>
      <c r="V136" s="278"/>
      <c r="W136" s="278"/>
      <c r="X136" s="278"/>
      <c r="Y136" s="278"/>
      <c r="Z136" s="148" t="str">
        <f>IF(ABS(V136-E136)&lt;1,"OK","Check")</f>
        <v>OK</v>
      </c>
      <c r="AA136" s="148"/>
      <c r="AB136" s="148"/>
    </row>
    <row r="137" spans="1:31" ht="15.75" customHeight="1">
      <c r="A137" s="189"/>
      <c r="B137" s="180"/>
      <c r="C137" s="839"/>
      <c r="F137" s="278"/>
      <c r="I137" s="278"/>
      <c r="J137" s="278"/>
      <c r="K137" s="278"/>
      <c r="L137" s="278"/>
      <c r="M137" s="278"/>
      <c r="N137" s="278"/>
      <c r="O137" s="278"/>
      <c r="P137" s="278"/>
      <c r="Q137" s="278"/>
      <c r="R137" s="278"/>
      <c r="S137" s="278"/>
      <c r="T137" s="180"/>
      <c r="U137" s="180"/>
      <c r="V137" s="278"/>
      <c r="W137" s="278"/>
      <c r="X137" s="278"/>
      <c r="Y137" s="278"/>
      <c r="Z137" s="148"/>
      <c r="AA137" s="148"/>
      <c r="AB137" s="148"/>
    </row>
    <row r="138" spans="1:31" ht="15.75" customHeight="1">
      <c r="A138" s="189"/>
      <c r="B138" s="180"/>
      <c r="C138" s="839"/>
      <c r="D138" s="839"/>
      <c r="E138" s="839"/>
      <c r="F138" s="278"/>
      <c r="I138" s="278"/>
      <c r="J138" s="278"/>
      <c r="K138" s="278"/>
      <c r="L138" s="278"/>
      <c r="M138" s="278"/>
      <c r="N138" s="278"/>
      <c r="O138" s="278"/>
      <c r="P138" s="278"/>
      <c r="Q138" s="278"/>
      <c r="R138" s="278"/>
      <c r="S138" s="278"/>
      <c r="T138" s="180"/>
      <c r="U138" s="180"/>
      <c r="V138" s="278"/>
      <c r="W138" s="278"/>
      <c r="X138" s="278"/>
      <c r="Y138" s="278"/>
      <c r="Z138" s="148"/>
      <c r="AA138" s="148"/>
      <c r="AB138" s="148"/>
    </row>
    <row r="139" spans="1:31" ht="15.75" customHeight="1">
      <c r="A139" s="888" t="s">
        <v>1671</v>
      </c>
      <c r="B139" s="180"/>
      <c r="C139" s="839"/>
      <c r="D139" s="839"/>
      <c r="E139" s="278"/>
      <c r="F139" s="278"/>
      <c r="I139" s="278"/>
      <c r="J139" s="278"/>
      <c r="K139" s="278"/>
      <c r="L139" s="278"/>
      <c r="M139" s="278"/>
      <c r="N139" s="278"/>
      <c r="O139" s="278"/>
      <c r="P139" s="278"/>
      <c r="Q139" s="278"/>
      <c r="R139" s="278"/>
      <c r="S139" s="278"/>
      <c r="T139" s="180"/>
      <c r="U139" s="180"/>
      <c r="V139" s="278"/>
      <c r="W139" s="278"/>
      <c r="X139" s="278"/>
      <c r="Y139" s="278"/>
      <c r="Z139" s="148"/>
      <c r="AA139" s="148"/>
      <c r="AB139" s="148"/>
      <c r="AC139" s="765"/>
      <c r="AD139" s="765"/>
      <c r="AE139" s="765"/>
    </row>
    <row r="140" spans="1:31" ht="15.75" customHeight="1">
      <c r="A140" s="189"/>
      <c r="B140" s="180"/>
      <c r="C140" s="839"/>
      <c r="D140" s="839"/>
      <c r="E140" s="278"/>
      <c r="F140" s="278"/>
      <c r="I140" s="278"/>
      <c r="J140" s="278"/>
      <c r="K140" s="278"/>
      <c r="L140" s="278"/>
      <c r="M140" s="278"/>
      <c r="N140" s="278"/>
      <c r="O140" s="278"/>
      <c r="P140" s="278"/>
      <c r="Q140" s="278"/>
      <c r="R140" s="278"/>
      <c r="S140" s="278"/>
      <c r="T140" s="180"/>
      <c r="U140" s="180"/>
      <c r="V140" s="278"/>
      <c r="W140" s="278"/>
      <c r="X140" s="278"/>
      <c r="Y140" s="278"/>
      <c r="Z140" s="148"/>
      <c r="AA140" s="148"/>
      <c r="AB140" s="148"/>
      <c r="AC140" s="765"/>
      <c r="AD140" s="765"/>
      <c r="AE140" s="765"/>
    </row>
    <row r="141" spans="1:31" ht="15.75" customHeight="1">
      <c r="A141" s="189"/>
      <c r="B141" s="180"/>
      <c r="C141" s="839"/>
      <c r="D141" s="839"/>
      <c r="E141" s="278"/>
      <c r="F141" s="278"/>
      <c r="I141" s="278"/>
      <c r="J141" s="278"/>
      <c r="K141" s="278"/>
      <c r="L141" s="278"/>
      <c r="M141" s="278"/>
      <c r="N141" s="278"/>
      <c r="O141" s="278"/>
      <c r="P141" s="278"/>
      <c r="Q141" s="278"/>
      <c r="R141" s="278"/>
      <c r="S141" s="278"/>
      <c r="T141" s="180"/>
      <c r="U141" s="180"/>
      <c r="V141" s="278"/>
      <c r="W141" s="278"/>
      <c r="X141" s="278"/>
      <c r="Y141" s="278"/>
      <c r="Z141" s="148"/>
      <c r="AA141" s="148"/>
      <c r="AB141" s="148"/>
      <c r="AC141" s="765"/>
      <c r="AD141" s="765"/>
      <c r="AE141" s="765"/>
    </row>
    <row r="142" spans="1:31" ht="15.75" customHeight="1">
      <c r="A142" s="189" t="s">
        <v>1066</v>
      </c>
      <c r="B142" s="180"/>
      <c r="C142" s="839"/>
      <c r="D142" s="839"/>
      <c r="E142" s="278"/>
      <c r="F142" s="278"/>
      <c r="I142" s="278"/>
      <c r="J142" s="278"/>
      <c r="K142" s="278"/>
      <c r="L142" s="278"/>
      <c r="M142" s="278"/>
      <c r="N142" s="278"/>
      <c r="O142" s="278"/>
      <c r="P142" s="278"/>
      <c r="Q142" s="278"/>
      <c r="R142" s="278"/>
      <c r="S142" s="278"/>
      <c r="T142" s="180"/>
      <c r="U142" s="180"/>
      <c r="V142" s="278"/>
      <c r="W142" s="278"/>
      <c r="X142" s="278"/>
      <c r="Y142" s="278"/>
      <c r="Z142" s="148"/>
      <c r="AA142" s="148"/>
      <c r="AB142" s="148"/>
      <c r="AC142" s="765"/>
      <c r="AD142" s="765"/>
      <c r="AE142" s="765"/>
    </row>
    <row r="143" spans="1:31" ht="15.75" customHeight="1">
      <c r="A143" s="837" t="s">
        <v>993</v>
      </c>
      <c r="B143" s="889">
        <f>E39</f>
        <v>2700000</v>
      </c>
      <c r="C143" s="837"/>
      <c r="D143" s="765"/>
      <c r="E143" s="278"/>
      <c r="F143" s="278"/>
      <c r="I143" s="278"/>
      <c r="J143" s="278"/>
      <c r="K143" s="278"/>
      <c r="L143" s="278"/>
      <c r="M143" s="278"/>
      <c r="N143" s="278"/>
      <c r="O143" s="278"/>
      <c r="P143" s="278"/>
      <c r="Q143" s="278"/>
      <c r="R143" s="278"/>
      <c r="S143" s="278"/>
      <c r="T143" s="180"/>
      <c r="U143" s="180"/>
      <c r="V143" s="278"/>
      <c r="W143" s="278"/>
      <c r="X143" s="278"/>
      <c r="Y143" s="278"/>
      <c r="Z143" s="148"/>
      <c r="AA143" s="148"/>
      <c r="AB143" s="148"/>
      <c r="AC143" s="765"/>
      <c r="AD143" s="765"/>
      <c r="AE143" s="765"/>
    </row>
    <row r="144" spans="1:31" ht="15.75" customHeight="1">
      <c r="A144" s="876" t="s">
        <v>995</v>
      </c>
      <c r="B144" s="889">
        <f t="shared" ref="B144:B146" si="26">E41</f>
        <v>250000</v>
      </c>
      <c r="C144" s="837"/>
      <c r="D144" s="765"/>
      <c r="E144" s="278"/>
      <c r="F144" s="278"/>
      <c r="I144" s="278"/>
      <c r="J144" s="278"/>
      <c r="K144" s="278"/>
      <c r="L144" s="278"/>
      <c r="M144" s="278"/>
      <c r="N144" s="278"/>
      <c r="O144" s="278"/>
      <c r="P144" s="278"/>
      <c r="Q144" s="278"/>
      <c r="R144" s="278"/>
      <c r="S144" s="278"/>
      <c r="T144" s="180"/>
      <c r="U144" s="180"/>
      <c r="V144" s="278"/>
      <c r="W144" s="278"/>
      <c r="X144" s="278"/>
      <c r="Y144" s="278"/>
      <c r="Z144" s="148"/>
      <c r="AA144" s="148"/>
      <c r="AB144" s="148"/>
      <c r="AC144" s="765"/>
      <c r="AD144" s="765"/>
      <c r="AE144" s="765"/>
    </row>
    <row r="145" spans="1:31" ht="15.75" customHeight="1">
      <c r="A145" s="837" t="s">
        <v>996</v>
      </c>
      <c r="B145" s="889">
        <f t="shared" si="26"/>
        <v>200000</v>
      </c>
      <c r="C145" s="837"/>
      <c r="D145" s="765"/>
      <c r="E145" s="278"/>
      <c r="F145" s="278"/>
      <c r="I145" s="278"/>
      <c r="J145" s="278"/>
      <c r="K145" s="278"/>
      <c r="L145" s="278"/>
      <c r="M145" s="278"/>
      <c r="N145" s="278"/>
      <c r="O145" s="278"/>
      <c r="P145" s="278"/>
      <c r="Q145" s="278"/>
      <c r="R145" s="278"/>
      <c r="S145" s="278"/>
      <c r="T145" s="180"/>
      <c r="U145" s="180"/>
      <c r="V145" s="278"/>
      <c r="W145" s="278"/>
      <c r="X145" s="278"/>
      <c r="Y145" s="278"/>
      <c r="Z145" s="148"/>
      <c r="AA145" s="148"/>
      <c r="AB145" s="148"/>
      <c r="AC145" s="765"/>
      <c r="AD145" s="765"/>
      <c r="AE145" s="765"/>
    </row>
    <row r="146" spans="1:31" ht="15.75" customHeight="1">
      <c r="A146" s="837" t="s">
        <v>997</v>
      </c>
      <c r="B146" s="889">
        <f t="shared" si="26"/>
        <v>200000</v>
      </c>
      <c r="C146" s="837"/>
      <c r="D146" s="765"/>
      <c r="E146" s="278"/>
      <c r="F146" s="278"/>
      <c r="I146" s="278"/>
      <c r="J146" s="278"/>
      <c r="K146" s="278"/>
      <c r="L146" s="278"/>
      <c r="M146" s="278"/>
      <c r="N146" s="278"/>
      <c r="O146" s="278"/>
      <c r="P146" s="278"/>
      <c r="Q146" s="278"/>
      <c r="R146" s="278"/>
      <c r="S146" s="278"/>
      <c r="T146" s="180"/>
      <c r="U146" s="180"/>
      <c r="V146" s="278"/>
      <c r="W146" s="278"/>
      <c r="X146" s="278"/>
      <c r="Y146" s="278"/>
      <c r="Z146" s="148"/>
      <c r="AA146" s="148"/>
      <c r="AB146" s="148"/>
      <c r="AC146" s="765"/>
      <c r="AD146" s="765"/>
      <c r="AE146" s="765"/>
    </row>
    <row r="147" spans="1:31" ht="15.75" customHeight="1">
      <c r="A147" s="189"/>
      <c r="B147" s="278">
        <f>SUM(B143:B146)</f>
        <v>3350000</v>
      </c>
      <c r="C147" s="839"/>
      <c r="D147" s="839"/>
      <c r="E147" s="278"/>
      <c r="F147" s="278"/>
      <c r="I147" s="278"/>
      <c r="J147" s="278"/>
      <c r="K147" s="278"/>
      <c r="L147" s="278"/>
      <c r="M147" s="278"/>
      <c r="N147" s="278"/>
      <c r="O147" s="278"/>
      <c r="P147" s="278"/>
      <c r="Q147" s="278"/>
      <c r="R147" s="278"/>
      <c r="S147" s="278"/>
      <c r="T147" s="180"/>
      <c r="U147" s="180"/>
      <c r="V147" s="278"/>
      <c r="W147" s="278"/>
      <c r="X147" s="278"/>
      <c r="Y147" s="278"/>
      <c r="Z147" s="148"/>
      <c r="AA147" s="148"/>
      <c r="AB147" s="148"/>
      <c r="AC147" s="765"/>
      <c r="AD147" s="765"/>
      <c r="AE147" s="765"/>
    </row>
    <row r="148" spans="1:31" ht="15.75" customHeight="1">
      <c r="A148" s="189" t="s">
        <v>584</v>
      </c>
      <c r="B148" s="890">
        <v>0.15</v>
      </c>
      <c r="C148" s="839"/>
      <c r="D148" s="839"/>
      <c r="E148" s="278">
        <f>B147*B148</f>
        <v>502500</v>
      </c>
      <c r="F148" s="278"/>
      <c r="I148" s="278"/>
      <c r="J148" s="278"/>
      <c r="K148" s="278"/>
      <c r="L148" s="278"/>
      <c r="M148" s="278"/>
      <c r="N148" s="278"/>
      <c r="O148" s="278"/>
      <c r="P148" s="278"/>
      <c r="Q148" s="278"/>
      <c r="R148" s="278"/>
      <c r="S148" s="278"/>
      <c r="T148" s="180"/>
      <c r="U148" s="180"/>
      <c r="V148" s="278"/>
      <c r="W148" s="278"/>
      <c r="X148" s="278"/>
      <c r="Y148" s="278"/>
      <c r="Z148" s="148"/>
      <c r="AA148" s="148"/>
      <c r="AB148" s="148"/>
      <c r="AC148" s="765"/>
      <c r="AD148" s="765"/>
      <c r="AE148" s="765"/>
    </row>
    <row r="149" spans="1:31" ht="15.75" customHeight="1">
      <c r="A149" s="189"/>
      <c r="B149" s="180"/>
      <c r="C149" s="839"/>
      <c r="D149" s="839"/>
      <c r="E149" s="278"/>
      <c r="F149" s="278"/>
      <c r="I149" s="278"/>
      <c r="J149" s="278"/>
      <c r="K149" s="278"/>
      <c r="L149" s="278"/>
      <c r="M149" s="278"/>
      <c r="N149" s="278"/>
      <c r="O149" s="278"/>
      <c r="P149" s="278"/>
      <c r="Q149" s="278"/>
      <c r="R149" s="278"/>
      <c r="S149" s="278"/>
      <c r="T149" s="180"/>
      <c r="U149" s="180"/>
      <c r="V149" s="278"/>
      <c r="W149" s="278"/>
      <c r="X149" s="278"/>
      <c r="Y149" s="278"/>
      <c r="Z149" s="148"/>
      <c r="AA149" s="148"/>
      <c r="AB149" s="148"/>
      <c r="AC149" s="765"/>
      <c r="AD149" s="765"/>
      <c r="AE149" s="765"/>
    </row>
    <row r="150" spans="1:31" ht="15.75" customHeight="1">
      <c r="A150" s="189" t="s">
        <v>1067</v>
      </c>
      <c r="B150" s="180"/>
      <c r="C150" s="839"/>
      <c r="D150" s="839"/>
      <c r="E150" s="278"/>
      <c r="F150" s="278"/>
      <c r="I150" s="278"/>
      <c r="J150" s="278"/>
      <c r="K150" s="278"/>
      <c r="L150" s="278"/>
      <c r="M150" s="278"/>
      <c r="N150" s="278"/>
      <c r="O150" s="278"/>
      <c r="P150" s="278"/>
      <c r="Q150" s="278"/>
      <c r="R150" s="278"/>
      <c r="S150" s="278"/>
      <c r="T150" s="180"/>
      <c r="U150" s="180"/>
      <c r="V150" s="278"/>
      <c r="W150" s="278"/>
      <c r="X150" s="278"/>
      <c r="Y150" s="278"/>
      <c r="Z150" s="148"/>
      <c r="AA150" s="148"/>
      <c r="AB150" s="148"/>
      <c r="AC150" s="765"/>
      <c r="AD150" s="765"/>
      <c r="AE150" s="765"/>
    </row>
    <row r="151" spans="1:31" ht="15.75" customHeight="1">
      <c r="A151" s="837" t="s">
        <v>998</v>
      </c>
      <c r="B151" s="889">
        <f>E44</f>
        <v>230000</v>
      </c>
      <c r="C151" s="839"/>
      <c r="D151" s="839"/>
      <c r="E151" s="278"/>
      <c r="F151" s="278"/>
      <c r="I151" s="278"/>
      <c r="J151" s="278"/>
      <c r="K151" s="278"/>
      <c r="L151" s="278"/>
      <c r="M151" s="278"/>
      <c r="N151" s="278"/>
      <c r="O151" s="278"/>
      <c r="P151" s="278"/>
      <c r="Q151" s="278"/>
      <c r="R151" s="278"/>
      <c r="S151" s="278"/>
      <c r="T151" s="180"/>
      <c r="U151" s="180"/>
      <c r="V151" s="278"/>
      <c r="W151" s="278"/>
      <c r="X151" s="278"/>
      <c r="Y151" s="278"/>
      <c r="Z151" s="148"/>
      <c r="AA151" s="148"/>
      <c r="AB151" s="148"/>
      <c r="AC151" s="765"/>
      <c r="AD151" s="765"/>
      <c r="AE151" s="765"/>
    </row>
    <row r="152" spans="1:31" ht="15.75" customHeight="1">
      <c r="A152" s="189" t="s">
        <v>584</v>
      </c>
      <c r="B152" s="890">
        <v>0.1</v>
      </c>
      <c r="C152" s="839"/>
      <c r="D152" s="839"/>
      <c r="E152" s="278">
        <f>B151*B152</f>
        <v>23000</v>
      </c>
      <c r="F152" s="278"/>
      <c r="I152" s="278"/>
      <c r="J152" s="278"/>
      <c r="K152" s="278"/>
      <c r="L152" s="278"/>
      <c r="M152" s="278"/>
      <c r="N152" s="278"/>
      <c r="O152" s="278"/>
      <c r="P152" s="278"/>
      <c r="Q152" s="278"/>
      <c r="R152" s="278"/>
      <c r="S152" s="278"/>
      <c r="T152" s="180"/>
      <c r="U152" s="180"/>
      <c r="V152" s="278"/>
      <c r="W152" s="278"/>
      <c r="X152" s="278"/>
      <c r="Y152" s="278"/>
      <c r="Z152" s="148"/>
      <c r="AA152" s="148"/>
      <c r="AB152" s="148"/>
      <c r="AC152" s="765"/>
      <c r="AD152" s="765"/>
      <c r="AE152" s="765"/>
    </row>
    <row r="153" spans="1:31" ht="15.75" customHeight="1">
      <c r="A153" s="837"/>
      <c r="B153" s="891"/>
      <c r="C153" s="839"/>
      <c r="D153" s="839"/>
      <c r="E153" s="278"/>
      <c r="F153" s="278"/>
      <c r="I153" s="278"/>
      <c r="J153" s="278"/>
      <c r="K153" s="278"/>
      <c r="L153" s="278"/>
      <c r="M153" s="278"/>
      <c r="N153" s="278"/>
      <c r="O153" s="278"/>
      <c r="P153" s="278"/>
      <c r="Q153" s="278"/>
      <c r="R153" s="278"/>
      <c r="S153" s="278"/>
      <c r="T153" s="180"/>
      <c r="U153" s="180"/>
      <c r="V153" s="278"/>
      <c r="W153" s="278"/>
      <c r="X153" s="278"/>
      <c r="Y153" s="278"/>
      <c r="Z153" s="148"/>
      <c r="AA153" s="148"/>
      <c r="AB153" s="148"/>
      <c r="AC153" s="765"/>
      <c r="AD153" s="765"/>
      <c r="AE153" s="765"/>
    </row>
    <row r="154" spans="1:31" ht="15.75" customHeight="1">
      <c r="A154" s="839" t="s">
        <v>1068</v>
      </c>
      <c r="B154" s="891"/>
      <c r="C154" s="839"/>
      <c r="D154" s="839"/>
      <c r="E154" s="278"/>
      <c r="F154" s="278"/>
      <c r="I154" s="278"/>
      <c r="J154" s="278"/>
      <c r="K154" s="278"/>
      <c r="L154" s="278"/>
      <c r="M154" s="278"/>
      <c r="N154" s="278"/>
      <c r="O154" s="278"/>
      <c r="P154" s="278"/>
      <c r="Q154" s="278"/>
      <c r="R154" s="278"/>
      <c r="S154" s="278"/>
      <c r="T154" s="180"/>
      <c r="U154" s="180"/>
      <c r="V154" s="278"/>
      <c r="W154" s="278"/>
      <c r="X154" s="278"/>
      <c r="Y154" s="278"/>
      <c r="Z154" s="148"/>
      <c r="AA154" s="148"/>
      <c r="AB154" s="148"/>
      <c r="AC154" s="765"/>
      <c r="AD154" s="765"/>
      <c r="AE154" s="765"/>
    </row>
    <row r="155" spans="1:31" ht="15.75" customHeight="1">
      <c r="A155" s="837" t="s">
        <v>994</v>
      </c>
      <c r="B155" s="889">
        <f>E40</f>
        <v>2600000</v>
      </c>
      <c r="C155" s="839"/>
      <c r="D155" s="839"/>
      <c r="E155" s="278"/>
      <c r="F155" s="278"/>
      <c r="I155" s="278"/>
      <c r="J155" s="278"/>
      <c r="K155" s="278"/>
      <c r="L155" s="278"/>
      <c r="M155" s="278"/>
      <c r="N155" s="278"/>
      <c r="O155" s="278"/>
      <c r="P155" s="278"/>
      <c r="Q155" s="278"/>
      <c r="R155" s="278"/>
      <c r="S155" s="278"/>
      <c r="T155" s="180"/>
      <c r="U155" s="180"/>
      <c r="V155" s="278"/>
      <c r="W155" s="278"/>
      <c r="X155" s="278"/>
      <c r="Y155" s="278"/>
      <c r="Z155" s="148"/>
      <c r="AA155" s="148"/>
      <c r="AB155" s="148"/>
      <c r="AC155" s="765"/>
      <c r="AD155" s="765"/>
      <c r="AE155" s="765"/>
    </row>
    <row r="156" spans="1:31" ht="15.75" customHeight="1">
      <c r="A156" s="189" t="s">
        <v>584</v>
      </c>
      <c r="B156" s="890">
        <v>0.1</v>
      </c>
      <c r="C156" s="839"/>
      <c r="D156" s="839"/>
      <c r="E156" s="278">
        <f>B155*B156</f>
        <v>260000</v>
      </c>
      <c r="F156" s="278"/>
      <c r="I156" s="278"/>
      <c r="J156" s="278"/>
      <c r="K156" s="278"/>
      <c r="L156" s="278"/>
      <c r="M156" s="278"/>
      <c r="N156" s="278"/>
      <c r="O156" s="278"/>
      <c r="P156" s="278"/>
      <c r="Q156" s="278"/>
      <c r="R156" s="278"/>
      <c r="S156" s="278"/>
      <c r="T156" s="180"/>
      <c r="U156" s="180"/>
      <c r="V156" s="278"/>
      <c r="W156" s="278"/>
      <c r="X156" s="278"/>
      <c r="Y156" s="278"/>
      <c r="Z156" s="148"/>
      <c r="AA156" s="148"/>
      <c r="AB156" s="148"/>
      <c r="AC156" s="765"/>
      <c r="AD156" s="765"/>
      <c r="AE156" s="765"/>
    </row>
    <row r="157" spans="1:31" ht="15.75" customHeight="1">
      <c r="A157" s="837"/>
      <c r="B157" s="891"/>
      <c r="C157" s="839"/>
      <c r="D157" s="839"/>
      <c r="E157" s="278"/>
      <c r="F157" s="278"/>
      <c r="I157" s="278"/>
      <c r="J157" s="278"/>
      <c r="K157" s="278"/>
      <c r="L157" s="278"/>
      <c r="M157" s="278"/>
      <c r="N157" s="278"/>
      <c r="O157" s="278"/>
      <c r="P157" s="278"/>
      <c r="Q157" s="278"/>
      <c r="R157" s="278"/>
      <c r="S157" s="278"/>
      <c r="T157" s="180"/>
      <c r="U157" s="180"/>
      <c r="V157" s="278"/>
      <c r="W157" s="278"/>
      <c r="X157" s="278"/>
      <c r="Y157" s="278"/>
      <c r="Z157" s="148"/>
      <c r="AA157" s="148"/>
      <c r="AB157" s="148"/>
      <c r="AC157" s="765"/>
      <c r="AD157" s="765"/>
      <c r="AE157" s="765"/>
    </row>
    <row r="158" spans="1:31" ht="15.75" customHeight="1">
      <c r="A158" s="837" t="s">
        <v>770</v>
      </c>
      <c r="B158" s="891"/>
      <c r="C158" s="839"/>
      <c r="D158" s="839"/>
      <c r="E158" s="278"/>
      <c r="F158" s="278"/>
      <c r="I158" s="278"/>
      <c r="J158" s="278"/>
      <c r="K158" s="278"/>
      <c r="L158" s="278"/>
      <c r="M158" s="278"/>
      <c r="N158" s="278"/>
      <c r="O158" s="278"/>
      <c r="P158" s="278"/>
      <c r="Q158" s="278"/>
      <c r="R158" s="278"/>
      <c r="S158" s="278"/>
      <c r="T158" s="180"/>
      <c r="U158" s="180"/>
      <c r="V158" s="278"/>
      <c r="W158" s="278"/>
      <c r="X158" s="278"/>
      <c r="Y158" s="278"/>
      <c r="Z158" s="148"/>
      <c r="AA158" s="148"/>
      <c r="AB158" s="148"/>
      <c r="AC158" s="765"/>
      <c r="AD158" s="765"/>
      <c r="AE158" s="765"/>
    </row>
    <row r="159" spans="1:31" ht="15.75" customHeight="1">
      <c r="A159" s="189"/>
      <c r="B159" s="180"/>
      <c r="C159" s="839"/>
      <c r="D159" s="839"/>
      <c r="E159" s="278"/>
      <c r="F159" s="278"/>
      <c r="I159" s="278"/>
      <c r="J159" s="278"/>
      <c r="K159" s="278"/>
      <c r="L159" s="278"/>
      <c r="M159" s="278"/>
      <c r="N159" s="278"/>
      <c r="O159" s="278"/>
      <c r="P159" s="278"/>
      <c r="Q159" s="278"/>
      <c r="R159" s="278"/>
      <c r="S159" s="278"/>
      <c r="T159" s="180"/>
      <c r="U159" s="180"/>
      <c r="V159" s="278"/>
      <c r="W159" s="278"/>
      <c r="X159" s="278"/>
      <c r="Y159" s="278"/>
      <c r="Z159" s="148"/>
      <c r="AA159" s="148"/>
      <c r="AB159" s="148"/>
      <c r="AC159" s="765"/>
      <c r="AD159" s="765"/>
      <c r="AE159" s="765"/>
    </row>
    <row r="160" spans="1:31" ht="15.75" customHeight="1">
      <c r="A160" s="189" t="s">
        <v>1672</v>
      </c>
      <c r="B160" s="890"/>
      <c r="C160" s="839"/>
      <c r="E160" s="892">
        <f>SUM(E148:E157)</f>
        <v>785500</v>
      </c>
      <c r="F160" s="278"/>
      <c r="I160" s="278"/>
      <c r="J160" s="278"/>
      <c r="K160" s="278"/>
      <c r="L160" s="278"/>
      <c r="M160" s="278"/>
      <c r="N160" s="278"/>
      <c r="O160" s="278"/>
      <c r="P160" s="278"/>
      <c r="Q160" s="278"/>
      <c r="R160" s="278"/>
      <c r="S160" s="278"/>
      <c r="T160" s="180"/>
      <c r="U160" s="180"/>
      <c r="V160" s="278"/>
      <c r="W160" s="278"/>
      <c r="X160" s="278"/>
      <c r="Y160" s="278"/>
      <c r="Z160" s="148"/>
      <c r="AA160" s="148"/>
      <c r="AB160" s="148"/>
    </row>
    <row r="161" spans="1:28" ht="15.75" customHeight="1">
      <c r="A161" s="189" t="s">
        <v>1673</v>
      </c>
      <c r="B161" s="180"/>
      <c r="C161" s="839"/>
      <c r="D161" s="839"/>
      <c r="E161" s="278"/>
      <c r="F161" s="278"/>
      <c r="I161" s="278"/>
      <c r="J161" s="278"/>
      <c r="K161" s="278"/>
      <c r="L161" s="278"/>
      <c r="M161" s="278"/>
      <c r="N161" s="278"/>
      <c r="O161" s="278"/>
      <c r="P161" s="278"/>
      <c r="Q161" s="278"/>
      <c r="R161" s="278"/>
      <c r="S161" s="278"/>
      <c r="T161" s="180"/>
      <c r="U161" s="180"/>
      <c r="V161" s="278"/>
      <c r="W161" s="278"/>
      <c r="X161" s="278"/>
      <c r="Y161" s="278"/>
      <c r="Z161" s="148"/>
      <c r="AA161" s="148"/>
      <c r="AB161" s="148"/>
    </row>
    <row r="162" spans="1:28" ht="15.75" customHeight="1">
      <c r="A162" s="189" t="s">
        <v>1674</v>
      </c>
      <c r="C162" s="839"/>
      <c r="D162" s="839"/>
      <c r="E162" s="278"/>
      <c r="F162" s="278"/>
      <c r="I162" s="278"/>
      <c r="J162" s="278"/>
      <c r="K162" s="278"/>
      <c r="L162" s="278"/>
      <c r="M162" s="278"/>
      <c r="N162" s="278"/>
      <c r="O162" s="278"/>
      <c r="P162" s="278"/>
      <c r="Q162" s="278"/>
      <c r="R162" s="278"/>
      <c r="S162" s="278"/>
      <c r="T162" s="180"/>
      <c r="U162" s="180"/>
      <c r="V162" s="278"/>
      <c r="W162" s="278"/>
      <c r="X162" s="278"/>
      <c r="Y162" s="278"/>
      <c r="Z162" s="148"/>
      <c r="AA162" s="148"/>
      <c r="AB162" s="148"/>
    </row>
    <row r="163" spans="1:28" ht="15.75" customHeight="1">
      <c r="A163" s="189" t="s">
        <v>1675</v>
      </c>
      <c r="C163" s="839" t="s">
        <v>1676</v>
      </c>
      <c r="E163" s="893">
        <f>E36+E48+E58+E72+E103+E116+E122+E129+E135+E160</f>
        <v>19761525</v>
      </c>
      <c r="F163" s="278"/>
      <c r="I163" s="278"/>
      <c r="J163" s="278"/>
      <c r="K163" s="278"/>
      <c r="L163" s="278"/>
      <c r="M163" s="278"/>
      <c r="N163" s="278"/>
      <c r="O163" s="278"/>
      <c r="P163" s="278"/>
      <c r="Q163" s="278"/>
      <c r="R163" s="278"/>
      <c r="S163" s="278"/>
      <c r="T163" s="180"/>
      <c r="U163" s="180"/>
      <c r="V163" s="278"/>
      <c r="W163" s="278"/>
      <c r="X163" s="278"/>
      <c r="Y163" s="278"/>
      <c r="Z163" s="148"/>
      <c r="AA163" s="148"/>
      <c r="AB163" s="148"/>
    </row>
    <row r="164" spans="1:28" ht="15.75" customHeight="1">
      <c r="A164" s="189"/>
      <c r="B164" s="180"/>
      <c r="C164" s="839"/>
      <c r="D164" s="839"/>
      <c r="E164" s="278"/>
      <c r="F164" s="278"/>
      <c r="I164" s="278"/>
      <c r="J164" s="278"/>
      <c r="K164" s="278"/>
      <c r="L164" s="278"/>
      <c r="M164" s="278"/>
      <c r="N164" s="278"/>
      <c r="O164" s="278"/>
      <c r="P164" s="278"/>
      <c r="Q164" s="278"/>
      <c r="R164" s="278"/>
      <c r="S164" s="278"/>
      <c r="T164" s="180"/>
      <c r="U164" s="180"/>
      <c r="V164" s="278"/>
      <c r="W164" s="278"/>
      <c r="X164" s="278"/>
      <c r="Y164" s="278"/>
      <c r="Z164" s="148"/>
      <c r="AA164" s="148"/>
      <c r="AB164" s="148"/>
    </row>
    <row r="165" spans="1:28" ht="162.75" customHeight="1">
      <c r="A165" s="894" t="s">
        <v>1677</v>
      </c>
      <c r="B165" s="180"/>
      <c r="C165" s="839"/>
      <c r="D165" s="839"/>
      <c r="E165" s="278"/>
      <c r="F165" s="278"/>
      <c r="I165" s="278"/>
      <c r="J165" s="278"/>
      <c r="K165" s="278"/>
      <c r="L165" s="278"/>
      <c r="M165" s="278"/>
      <c r="N165" s="278"/>
      <c r="O165" s="278"/>
      <c r="P165" s="278"/>
      <c r="Q165" s="278"/>
      <c r="R165" s="278"/>
      <c r="S165" s="278"/>
      <c r="T165" s="180"/>
      <c r="U165" s="180"/>
      <c r="V165" s="278"/>
      <c r="W165" s="278"/>
      <c r="X165" s="278"/>
      <c r="Y165" s="278"/>
      <c r="Z165" s="148"/>
      <c r="AA165" s="148"/>
      <c r="AB165" s="148"/>
    </row>
    <row r="166" spans="1:28" ht="15.75" customHeight="1">
      <c r="A166" s="26"/>
      <c r="B166" s="26"/>
      <c r="C166" s="176"/>
      <c r="D166" s="180"/>
      <c r="E166" s="148"/>
      <c r="F166" s="148"/>
      <c r="G166" s="148"/>
      <c r="H166" s="148"/>
      <c r="I166" s="148"/>
      <c r="J166" s="148"/>
      <c r="K166" s="148"/>
      <c r="L166" s="148"/>
      <c r="M166" s="148"/>
      <c r="N166" s="148"/>
      <c r="O166" s="148"/>
      <c r="P166" s="148"/>
      <c r="Q166" s="148"/>
      <c r="R166" s="148"/>
      <c r="S166" s="148"/>
      <c r="T166" s="180"/>
      <c r="U166" s="180"/>
      <c r="V166" s="278"/>
      <c r="W166" s="278"/>
      <c r="X166" s="278"/>
      <c r="Y166" s="278"/>
      <c r="Z166" s="148"/>
      <c r="AA166" s="148"/>
      <c r="AB166" s="148"/>
    </row>
    <row r="167" spans="1:28" ht="15.75" customHeight="1">
      <c r="A167" s="26"/>
      <c r="B167" s="26"/>
      <c r="C167" s="176"/>
      <c r="D167" s="180"/>
      <c r="E167" s="148"/>
      <c r="F167" s="148"/>
      <c r="G167" s="148"/>
      <c r="H167" s="148"/>
      <c r="I167" s="148"/>
      <c r="J167" s="148"/>
      <c r="K167" s="148"/>
      <c r="L167" s="148"/>
      <c r="M167" s="148"/>
      <c r="N167" s="148"/>
      <c r="O167" s="148"/>
      <c r="P167" s="148"/>
      <c r="Q167" s="148"/>
      <c r="R167" s="148"/>
      <c r="S167" s="148"/>
      <c r="T167" s="180"/>
      <c r="U167" s="180"/>
      <c r="V167" s="278"/>
      <c r="W167" s="278"/>
      <c r="X167" s="278"/>
      <c r="Y167" s="278"/>
      <c r="Z167" s="180"/>
      <c r="AA167" s="180"/>
      <c r="AB167" s="148"/>
    </row>
    <row r="168" spans="1:28" ht="15.75" customHeight="1">
      <c r="A168" s="26"/>
      <c r="B168" s="26"/>
      <c r="C168" s="176"/>
      <c r="D168" s="180"/>
      <c r="E168" s="148"/>
      <c r="F168" s="148"/>
      <c r="G168" s="148"/>
      <c r="H168" s="148"/>
      <c r="I168" s="148"/>
      <c r="J168" s="148"/>
      <c r="K168" s="148"/>
      <c r="L168" s="148"/>
      <c r="M168" s="148"/>
      <c r="N168" s="148"/>
      <c r="O168" s="148"/>
      <c r="P168" s="148"/>
      <c r="Q168" s="148"/>
      <c r="R168" s="148"/>
      <c r="S168" s="148"/>
      <c r="T168" s="180"/>
      <c r="U168" s="180"/>
      <c r="V168" s="278"/>
      <c r="W168" s="278"/>
      <c r="X168" s="278"/>
      <c r="Y168" s="278"/>
      <c r="Z168" s="180"/>
      <c r="AA168" s="180"/>
      <c r="AB168" s="148"/>
    </row>
    <row r="169" spans="1:28" ht="15.75" customHeight="1">
      <c r="A169" s="26"/>
      <c r="B169" s="26"/>
      <c r="I169" s="1427" t="s">
        <v>1626</v>
      </c>
      <c r="J169" s="1303"/>
      <c r="K169" s="1427" t="s">
        <v>1678</v>
      </c>
      <c r="L169" s="1342"/>
      <c r="M169" s="1342"/>
      <c r="N169" s="1342"/>
      <c r="O169" s="1303"/>
      <c r="P169" s="1427" t="s">
        <v>1679</v>
      </c>
      <c r="Q169" s="1342"/>
      <c r="R169" s="1342"/>
      <c r="S169" s="1342"/>
      <c r="T169" s="1303"/>
      <c r="U169" s="1427" t="s">
        <v>1629</v>
      </c>
      <c r="V169" s="1342"/>
      <c r="W169" s="1342"/>
      <c r="X169" s="1342"/>
      <c r="Y169" s="1303"/>
      <c r="Z169" s="845"/>
      <c r="AA169" s="180"/>
      <c r="AB169" s="148"/>
    </row>
    <row r="170" spans="1:28" ht="15.75" customHeight="1">
      <c r="A170" s="887" t="s">
        <v>1680</v>
      </c>
      <c r="B170" s="895"/>
      <c r="C170" s="896"/>
      <c r="D170" s="896"/>
      <c r="H170" s="897"/>
      <c r="I170" s="898">
        <f t="shared" ref="I170:O170" si="27">I24</f>
        <v>50000</v>
      </c>
      <c r="J170" s="898">
        <f t="shared" si="27"/>
        <v>50000</v>
      </c>
      <c r="K170" s="898">
        <f t="shared" si="27"/>
        <v>50000</v>
      </c>
      <c r="L170" s="898">
        <f t="shared" si="27"/>
        <v>76429</v>
      </c>
      <c r="M170" s="898">
        <f t="shared" si="27"/>
        <v>76429</v>
      </c>
      <c r="N170" s="898">
        <f t="shared" si="27"/>
        <v>76429</v>
      </c>
      <c r="O170" s="898">
        <f t="shared" si="27"/>
        <v>76429</v>
      </c>
      <c r="P170" s="847" t="s">
        <v>1638</v>
      </c>
      <c r="Q170" s="847" t="s">
        <v>1639</v>
      </c>
      <c r="R170" s="847" t="s">
        <v>1640</v>
      </c>
      <c r="S170" s="847" t="s">
        <v>1641</v>
      </c>
      <c r="T170" s="847" t="s">
        <v>1642</v>
      </c>
      <c r="U170" s="847" t="s">
        <v>1643</v>
      </c>
      <c r="V170" s="847" t="s">
        <v>1644</v>
      </c>
      <c r="W170" s="847" t="s">
        <v>1645</v>
      </c>
      <c r="X170" s="847" t="s">
        <v>1646</v>
      </c>
      <c r="Y170" s="847" t="s">
        <v>1647</v>
      </c>
      <c r="Z170" s="848" t="s">
        <v>1648</v>
      </c>
      <c r="AA170" s="180"/>
      <c r="AB170" s="148"/>
    </row>
    <row r="171" spans="1:28" ht="15.75" customHeight="1">
      <c r="B171" s="877" t="s">
        <v>432</v>
      </c>
      <c r="C171" s="896"/>
      <c r="D171" s="896"/>
      <c r="E171" s="899">
        <f t="shared" ref="E171:E173" si="28">SUM(I171:U171)</f>
        <v>30000</v>
      </c>
      <c r="H171" s="897"/>
      <c r="I171" s="858">
        <v>0</v>
      </c>
      <c r="J171" s="858">
        <v>0</v>
      </c>
      <c r="K171" s="858">
        <v>0</v>
      </c>
      <c r="L171" s="853">
        <v>0</v>
      </c>
      <c r="M171" s="853">
        <v>10000</v>
      </c>
      <c r="N171" s="853">
        <v>0</v>
      </c>
      <c r="O171" s="853">
        <v>0</v>
      </c>
      <c r="P171" s="855">
        <v>20000</v>
      </c>
      <c r="Q171" s="855">
        <v>0</v>
      </c>
      <c r="R171" s="855">
        <v>0</v>
      </c>
      <c r="S171" s="855">
        <v>0</v>
      </c>
      <c r="T171" s="855">
        <v>0</v>
      </c>
      <c r="U171" s="861">
        <v>0</v>
      </c>
      <c r="V171" s="861">
        <v>0</v>
      </c>
      <c r="W171" s="861">
        <v>0</v>
      </c>
      <c r="X171" s="861">
        <v>0</v>
      </c>
      <c r="Y171" s="861">
        <v>0</v>
      </c>
      <c r="Z171" s="900">
        <f t="shared" ref="Z171:Z174" si="29">SUM(I171:U171)</f>
        <v>30000</v>
      </c>
      <c r="AA171" s="180"/>
      <c r="AB171" s="148"/>
    </row>
    <row r="172" spans="1:28" ht="15.75" customHeight="1">
      <c r="B172" s="877" t="s">
        <v>1243</v>
      </c>
      <c r="C172" s="896"/>
      <c r="D172" s="896"/>
      <c r="E172" s="899">
        <f t="shared" si="28"/>
        <v>200000</v>
      </c>
      <c r="H172" s="897"/>
      <c r="I172" s="858">
        <v>0</v>
      </c>
      <c r="J172" s="858">
        <v>0</v>
      </c>
      <c r="K172" s="858">
        <v>0</v>
      </c>
      <c r="L172" s="853">
        <v>50000</v>
      </c>
      <c r="M172" s="853">
        <v>30000</v>
      </c>
      <c r="N172" s="853">
        <v>20000</v>
      </c>
      <c r="O172" s="853">
        <v>0</v>
      </c>
      <c r="P172" s="855">
        <v>0</v>
      </c>
      <c r="Q172" s="855">
        <v>50000</v>
      </c>
      <c r="R172" s="855">
        <v>0</v>
      </c>
      <c r="S172" s="855">
        <v>0</v>
      </c>
      <c r="T172" s="855">
        <v>50000</v>
      </c>
      <c r="U172" s="861">
        <v>0</v>
      </c>
      <c r="V172" s="861">
        <v>0</v>
      </c>
      <c r="W172" s="861">
        <v>0</v>
      </c>
      <c r="X172" s="861">
        <v>0</v>
      </c>
      <c r="Y172" s="861">
        <v>0</v>
      </c>
      <c r="Z172" s="900">
        <f t="shared" si="29"/>
        <v>200000</v>
      </c>
      <c r="AA172" s="180"/>
      <c r="AB172" s="148"/>
    </row>
    <row r="173" spans="1:28" ht="15.75" customHeight="1">
      <c r="B173" s="877" t="s">
        <v>1681</v>
      </c>
      <c r="C173" s="896"/>
      <c r="D173" s="896"/>
      <c r="E173" s="899">
        <f t="shared" si="28"/>
        <v>100000</v>
      </c>
      <c r="H173" s="897"/>
      <c r="I173" s="858">
        <v>0</v>
      </c>
      <c r="J173" s="858">
        <v>0</v>
      </c>
      <c r="K173" s="858">
        <v>0</v>
      </c>
      <c r="L173" s="853">
        <v>0</v>
      </c>
      <c r="M173" s="853">
        <v>0</v>
      </c>
      <c r="N173" s="853">
        <v>0</v>
      </c>
      <c r="O173" s="853">
        <v>0</v>
      </c>
      <c r="P173" s="855">
        <v>0</v>
      </c>
      <c r="Q173" s="855">
        <v>50000</v>
      </c>
      <c r="R173" s="855">
        <v>0</v>
      </c>
      <c r="S173" s="855">
        <v>0</v>
      </c>
      <c r="T173" s="855">
        <v>50000</v>
      </c>
      <c r="U173" s="861">
        <v>0</v>
      </c>
      <c r="V173" s="861">
        <v>0</v>
      </c>
      <c r="W173" s="861">
        <v>0</v>
      </c>
      <c r="X173" s="861">
        <v>0</v>
      </c>
      <c r="Y173" s="861">
        <v>0</v>
      </c>
      <c r="Z173" s="900">
        <f t="shared" si="29"/>
        <v>100000</v>
      </c>
      <c r="AA173" s="180"/>
      <c r="AB173" s="148"/>
    </row>
    <row r="174" spans="1:28" ht="15.75" customHeight="1">
      <c r="E174" s="866">
        <f>SUM(E171:E173)</f>
        <v>330000</v>
      </c>
      <c r="I174" s="866">
        <f t="shared" ref="I174:Y174" si="30">SUM(I171:I173)</f>
        <v>0</v>
      </c>
      <c r="J174" s="866">
        <f t="shared" si="30"/>
        <v>0</v>
      </c>
      <c r="K174" s="866">
        <f t="shared" si="30"/>
        <v>0</v>
      </c>
      <c r="L174" s="866">
        <f t="shared" si="30"/>
        <v>50000</v>
      </c>
      <c r="M174" s="866">
        <f t="shared" si="30"/>
        <v>40000</v>
      </c>
      <c r="N174" s="866">
        <f t="shared" si="30"/>
        <v>20000</v>
      </c>
      <c r="O174" s="866">
        <f t="shared" si="30"/>
        <v>0</v>
      </c>
      <c r="P174" s="866">
        <f t="shared" si="30"/>
        <v>20000</v>
      </c>
      <c r="Q174" s="866">
        <f t="shared" si="30"/>
        <v>100000</v>
      </c>
      <c r="R174" s="866">
        <f t="shared" si="30"/>
        <v>0</v>
      </c>
      <c r="S174" s="866">
        <f t="shared" si="30"/>
        <v>0</v>
      </c>
      <c r="T174" s="866">
        <f t="shared" si="30"/>
        <v>100000</v>
      </c>
      <c r="U174" s="866">
        <f t="shared" si="30"/>
        <v>0</v>
      </c>
      <c r="V174" s="866">
        <f t="shared" si="30"/>
        <v>0</v>
      </c>
      <c r="W174" s="866">
        <f t="shared" si="30"/>
        <v>0</v>
      </c>
      <c r="X174" s="866">
        <f t="shared" si="30"/>
        <v>0</v>
      </c>
      <c r="Y174" s="866">
        <f t="shared" si="30"/>
        <v>0</v>
      </c>
      <c r="Z174" s="866">
        <f t="shared" si="29"/>
        <v>330000</v>
      </c>
      <c r="AA174" s="180"/>
      <c r="AB174" s="148"/>
    </row>
    <row r="175" spans="1:28" ht="15.75" customHeight="1">
      <c r="E175" s="897"/>
      <c r="Z175" s="829"/>
      <c r="AA175" s="180"/>
      <c r="AB175" s="148"/>
    </row>
    <row r="176" spans="1:28" ht="15.75" customHeight="1">
      <c r="A176" s="829" t="s">
        <v>1682</v>
      </c>
      <c r="E176" s="897"/>
      <c r="H176" s="901"/>
      <c r="I176" s="901"/>
      <c r="Z176" s="829"/>
      <c r="AA176" s="180"/>
      <c r="AB176" s="148"/>
    </row>
    <row r="177" spans="1:28" ht="15.75" customHeight="1">
      <c r="B177" s="332" t="s">
        <v>1683</v>
      </c>
      <c r="C177" s="332" t="s">
        <v>336</v>
      </c>
      <c r="E177" s="902">
        <f>'Expense Assumptions'!J17</f>
        <v>496999</v>
      </c>
      <c r="I177" s="858">
        <v>0</v>
      </c>
      <c r="J177" s="858">
        <v>0</v>
      </c>
      <c r="K177" s="858">
        <v>0</v>
      </c>
      <c r="L177" s="854">
        <v>0</v>
      </c>
      <c r="M177" s="854">
        <v>0</v>
      </c>
      <c r="N177" s="854">
        <v>0</v>
      </c>
      <c r="O177" s="854">
        <v>0</v>
      </c>
      <c r="P177" s="860">
        <v>0</v>
      </c>
      <c r="Q177" s="860">
        <v>0</v>
      </c>
      <c r="R177" s="860">
        <v>0</v>
      </c>
      <c r="S177" s="860">
        <v>0</v>
      </c>
      <c r="T177" s="860">
        <v>0</v>
      </c>
      <c r="U177" s="861">
        <v>0</v>
      </c>
      <c r="V177" s="861">
        <v>0</v>
      </c>
      <c r="W177" s="861">
        <v>0</v>
      </c>
      <c r="X177" s="861">
        <v>0</v>
      </c>
      <c r="Y177" s="861">
        <v>0</v>
      </c>
      <c r="Z177" s="857">
        <f t="shared" ref="Z177:Z181" si="31">SUM(I177:Y177)</f>
        <v>0</v>
      </c>
      <c r="AA177" s="180"/>
      <c r="AB177" s="148"/>
    </row>
    <row r="178" spans="1:28" ht="15.75" customHeight="1">
      <c r="B178" s="332" t="s">
        <v>1193</v>
      </c>
      <c r="C178" s="332" t="s">
        <v>336</v>
      </c>
      <c r="E178" s="902">
        <f>Inputs!E391</f>
        <v>200000</v>
      </c>
      <c r="I178" s="858">
        <v>0</v>
      </c>
      <c r="J178" s="858">
        <v>0</v>
      </c>
      <c r="K178" s="858">
        <v>0</v>
      </c>
      <c r="L178" s="854">
        <v>0</v>
      </c>
      <c r="M178" s="854">
        <v>0</v>
      </c>
      <c r="N178" s="854">
        <v>0</v>
      </c>
      <c r="O178" s="854">
        <v>0</v>
      </c>
      <c r="P178" s="860">
        <v>0</v>
      </c>
      <c r="Q178" s="860">
        <v>0</v>
      </c>
      <c r="R178" s="860">
        <v>0</v>
      </c>
      <c r="S178" s="860">
        <v>0</v>
      </c>
      <c r="T178" s="860">
        <v>0</v>
      </c>
      <c r="U178" s="861">
        <v>0</v>
      </c>
      <c r="V178" s="861">
        <v>0</v>
      </c>
      <c r="W178" s="861">
        <v>0</v>
      </c>
      <c r="X178" s="861">
        <v>0</v>
      </c>
      <c r="Y178" s="861">
        <v>0</v>
      </c>
      <c r="Z178" s="857">
        <f t="shared" si="31"/>
        <v>0</v>
      </c>
      <c r="AA178" s="180"/>
      <c r="AB178" s="148"/>
    </row>
    <row r="179" spans="1:28" ht="15.75" customHeight="1">
      <c r="B179" s="332" t="s">
        <v>1194</v>
      </c>
      <c r="C179" s="332" t="s">
        <v>336</v>
      </c>
      <c r="E179" s="902">
        <f>Inputs!E392</f>
        <v>100000</v>
      </c>
      <c r="I179" s="858">
        <v>0</v>
      </c>
      <c r="J179" s="858">
        <v>0</v>
      </c>
      <c r="K179" s="858">
        <v>0</v>
      </c>
      <c r="L179" s="854">
        <v>0</v>
      </c>
      <c r="M179" s="854">
        <v>0</v>
      </c>
      <c r="N179" s="854">
        <v>0</v>
      </c>
      <c r="O179" s="854">
        <v>0</v>
      </c>
      <c r="P179" s="860">
        <v>0</v>
      </c>
      <c r="Q179" s="860">
        <v>0</v>
      </c>
      <c r="R179" s="860">
        <v>0</v>
      </c>
      <c r="S179" s="860">
        <v>0</v>
      </c>
      <c r="T179" s="860">
        <v>0</v>
      </c>
      <c r="U179" s="861">
        <v>0</v>
      </c>
      <c r="V179" s="861">
        <v>0</v>
      </c>
      <c r="W179" s="861">
        <v>0</v>
      </c>
      <c r="X179" s="861">
        <v>0</v>
      </c>
      <c r="Y179" s="861">
        <v>0</v>
      </c>
      <c r="Z179" s="857">
        <f t="shared" si="31"/>
        <v>0</v>
      </c>
      <c r="AA179" s="180"/>
      <c r="AB179" s="148"/>
    </row>
    <row r="180" spans="1:28" ht="15.75" customHeight="1">
      <c r="B180" s="332" t="s">
        <v>432</v>
      </c>
      <c r="C180" s="332" t="s">
        <v>336</v>
      </c>
      <c r="E180" s="902">
        <f>Inputs!E393</f>
        <v>30000</v>
      </c>
      <c r="I180" s="858">
        <v>0</v>
      </c>
      <c r="J180" s="858">
        <v>0</v>
      </c>
      <c r="K180" s="858">
        <v>0</v>
      </c>
      <c r="L180" s="854">
        <v>0</v>
      </c>
      <c r="M180" s="854">
        <v>0</v>
      </c>
      <c r="N180" s="854">
        <v>0</v>
      </c>
      <c r="O180" s="854">
        <v>0</v>
      </c>
      <c r="P180" s="860">
        <v>0</v>
      </c>
      <c r="Q180" s="860">
        <v>0</v>
      </c>
      <c r="R180" s="860">
        <v>0</v>
      </c>
      <c r="S180" s="860">
        <v>0</v>
      </c>
      <c r="T180" s="860">
        <v>0</v>
      </c>
      <c r="U180" s="861">
        <v>0</v>
      </c>
      <c r="V180" s="861">
        <v>0</v>
      </c>
      <c r="W180" s="861">
        <v>0</v>
      </c>
      <c r="X180" s="861">
        <v>0</v>
      </c>
      <c r="Y180" s="861">
        <v>0</v>
      </c>
      <c r="Z180" s="857">
        <f t="shared" si="31"/>
        <v>0</v>
      </c>
      <c r="AA180" s="180"/>
      <c r="AB180" s="148"/>
    </row>
    <row r="181" spans="1:28" ht="15.75" customHeight="1">
      <c r="B181" s="332" t="s">
        <v>1684</v>
      </c>
      <c r="C181" s="332" t="s">
        <v>336</v>
      </c>
      <c r="E181" s="902">
        <f>'Expense Assumptions'!F51</f>
        <v>93384.09</v>
      </c>
      <c r="I181" s="858">
        <v>0</v>
      </c>
      <c r="J181" s="858">
        <v>0</v>
      </c>
      <c r="K181" s="858">
        <v>0</v>
      </c>
      <c r="L181" s="854">
        <v>0</v>
      </c>
      <c r="M181" s="854">
        <v>0</v>
      </c>
      <c r="N181" s="854">
        <v>0</v>
      </c>
      <c r="O181" s="854">
        <v>0</v>
      </c>
      <c r="P181" s="860">
        <v>0</v>
      </c>
      <c r="Q181" s="860">
        <v>0</v>
      </c>
      <c r="R181" s="860">
        <v>0</v>
      </c>
      <c r="S181" s="860">
        <v>0</v>
      </c>
      <c r="T181" s="860">
        <v>0</v>
      </c>
      <c r="U181" s="861">
        <v>0</v>
      </c>
      <c r="V181" s="861">
        <v>0</v>
      </c>
      <c r="W181" s="861">
        <v>0</v>
      </c>
      <c r="X181" s="861">
        <v>0</v>
      </c>
      <c r="Y181" s="861">
        <v>0</v>
      </c>
      <c r="Z181" s="857">
        <f t="shared" si="31"/>
        <v>0</v>
      </c>
      <c r="AA181" s="180"/>
      <c r="AB181" s="148"/>
    </row>
    <row r="182" spans="1:28" ht="15.75" customHeight="1">
      <c r="B182" s="332" t="s">
        <v>1685</v>
      </c>
      <c r="C182" s="332" t="s">
        <v>336</v>
      </c>
      <c r="E182" s="902">
        <v>0</v>
      </c>
      <c r="I182" s="866">
        <f t="shared" ref="I182:Z182" si="32">SUM(I177:I181)</f>
        <v>0</v>
      </c>
      <c r="J182" s="866">
        <f t="shared" si="32"/>
        <v>0</v>
      </c>
      <c r="K182" s="866">
        <f t="shared" si="32"/>
        <v>0</v>
      </c>
      <c r="L182" s="866">
        <f t="shared" si="32"/>
        <v>0</v>
      </c>
      <c r="M182" s="866">
        <f t="shared" si="32"/>
        <v>0</v>
      </c>
      <c r="N182" s="866">
        <f t="shared" si="32"/>
        <v>0</v>
      </c>
      <c r="O182" s="866">
        <f t="shared" si="32"/>
        <v>0</v>
      </c>
      <c r="P182" s="866">
        <f t="shared" si="32"/>
        <v>0</v>
      </c>
      <c r="Q182" s="866">
        <f t="shared" si="32"/>
        <v>0</v>
      </c>
      <c r="R182" s="866">
        <f t="shared" si="32"/>
        <v>0</v>
      </c>
      <c r="S182" s="866">
        <f t="shared" si="32"/>
        <v>0</v>
      </c>
      <c r="T182" s="866">
        <f t="shared" si="32"/>
        <v>0</v>
      </c>
      <c r="U182" s="866">
        <f t="shared" si="32"/>
        <v>0</v>
      </c>
      <c r="V182" s="866">
        <f t="shared" si="32"/>
        <v>0</v>
      </c>
      <c r="W182" s="866">
        <f t="shared" si="32"/>
        <v>0</v>
      </c>
      <c r="X182" s="866">
        <f t="shared" si="32"/>
        <v>0</v>
      </c>
      <c r="Y182" s="866">
        <f t="shared" si="32"/>
        <v>0</v>
      </c>
      <c r="Z182" s="866">
        <f t="shared" si="32"/>
        <v>0</v>
      </c>
      <c r="AA182" s="180"/>
      <c r="AB182" s="148"/>
    </row>
    <row r="183" spans="1:28" ht="15.75" customHeight="1">
      <c r="E183" s="902"/>
      <c r="I183" s="903"/>
      <c r="J183" s="903"/>
      <c r="K183" s="903"/>
      <c r="L183" s="891"/>
      <c r="M183" s="891"/>
      <c r="N183" s="891"/>
      <c r="O183" s="891"/>
      <c r="P183" s="891"/>
      <c r="Q183" s="891"/>
      <c r="R183" s="891"/>
      <c r="S183" s="891"/>
      <c r="T183" s="891"/>
      <c r="U183" s="891"/>
      <c r="V183" s="891"/>
      <c r="W183" s="891"/>
      <c r="X183" s="891"/>
      <c r="Y183" s="891"/>
      <c r="Z183" s="904"/>
      <c r="AA183" s="180"/>
      <c r="AB183" s="148"/>
    </row>
    <row r="184" spans="1:28" ht="15.75" customHeight="1">
      <c r="E184" s="905"/>
      <c r="I184" s="903"/>
      <c r="J184" s="903"/>
      <c r="K184" s="903"/>
      <c r="L184" s="891"/>
      <c r="M184" s="891"/>
      <c r="N184" s="891"/>
      <c r="O184" s="891"/>
      <c r="P184" s="891"/>
      <c r="Q184" s="891"/>
      <c r="R184" s="891"/>
      <c r="S184" s="891"/>
      <c r="T184" s="891"/>
      <c r="U184" s="891"/>
      <c r="V184" s="891"/>
      <c r="W184" s="891"/>
      <c r="X184" s="891"/>
      <c r="Y184" s="891"/>
      <c r="Z184" s="904"/>
      <c r="AA184" s="180"/>
      <c r="AB184" s="148"/>
    </row>
    <row r="185" spans="1:28" ht="15.75" customHeight="1">
      <c r="B185" s="829" t="s">
        <v>1686</v>
      </c>
      <c r="C185" s="332" t="s">
        <v>336</v>
      </c>
      <c r="E185" s="902">
        <f>SUM(E177:E182)</f>
        <v>920383.09</v>
      </c>
      <c r="I185" s="858">
        <v>0</v>
      </c>
      <c r="J185" s="858">
        <v>0</v>
      </c>
      <c r="K185" s="858">
        <v>0</v>
      </c>
      <c r="L185" s="854">
        <v>0</v>
      </c>
      <c r="M185" s="854">
        <v>0</v>
      </c>
      <c r="N185" s="854">
        <v>0</v>
      </c>
      <c r="O185" s="854">
        <v>0</v>
      </c>
      <c r="P185" s="860">
        <v>0</v>
      </c>
      <c r="Q185" s="860">
        <v>0</v>
      </c>
      <c r="R185" s="860">
        <v>0</v>
      </c>
      <c r="S185" s="860">
        <v>0</v>
      </c>
      <c r="T185" s="860">
        <v>0</v>
      </c>
      <c r="U185" s="861">
        <v>0</v>
      </c>
      <c r="V185" s="861">
        <v>0</v>
      </c>
      <c r="W185" s="861">
        <v>0</v>
      </c>
      <c r="X185" s="861">
        <v>0</v>
      </c>
      <c r="Y185" s="861">
        <v>0</v>
      </c>
      <c r="Z185" s="857">
        <f t="shared" ref="Z185:Z188" si="33">SUM(I185:Y185)</f>
        <v>0</v>
      </c>
      <c r="AA185" s="180"/>
      <c r="AB185" s="148"/>
    </row>
    <row r="186" spans="1:28" ht="15.75" customHeight="1">
      <c r="E186" s="899"/>
      <c r="I186" s="858">
        <v>0</v>
      </c>
      <c r="J186" s="858">
        <v>0</v>
      </c>
      <c r="K186" s="858">
        <v>0</v>
      </c>
      <c r="L186" s="854">
        <v>0</v>
      </c>
      <c r="M186" s="854">
        <v>0</v>
      </c>
      <c r="N186" s="854">
        <v>0</v>
      </c>
      <c r="O186" s="854">
        <v>0</v>
      </c>
      <c r="P186" s="860">
        <v>0</v>
      </c>
      <c r="Q186" s="860">
        <v>0</v>
      </c>
      <c r="R186" s="860">
        <v>0</v>
      </c>
      <c r="S186" s="860">
        <v>0</v>
      </c>
      <c r="T186" s="860">
        <v>0</v>
      </c>
      <c r="U186" s="861">
        <v>0</v>
      </c>
      <c r="V186" s="861">
        <v>0</v>
      </c>
      <c r="W186" s="861">
        <v>0</v>
      </c>
      <c r="X186" s="861">
        <v>0</v>
      </c>
      <c r="Y186" s="861">
        <v>0</v>
      </c>
      <c r="Z186" s="857">
        <f t="shared" si="33"/>
        <v>0</v>
      </c>
      <c r="AA186" s="180"/>
      <c r="AB186" s="148"/>
    </row>
    <row r="187" spans="1:28" ht="15.75" customHeight="1">
      <c r="B187" s="332" t="s">
        <v>1687</v>
      </c>
      <c r="E187" s="899"/>
      <c r="I187" s="858">
        <v>0</v>
      </c>
      <c r="J187" s="858">
        <v>0</v>
      </c>
      <c r="K187" s="858">
        <v>0</v>
      </c>
      <c r="L187" s="854">
        <v>0</v>
      </c>
      <c r="M187" s="854">
        <v>0</v>
      </c>
      <c r="N187" s="854">
        <v>0</v>
      </c>
      <c r="O187" s="854">
        <v>0</v>
      </c>
      <c r="P187" s="860">
        <v>0</v>
      </c>
      <c r="Q187" s="860">
        <v>0</v>
      </c>
      <c r="R187" s="860">
        <v>0</v>
      </c>
      <c r="S187" s="860">
        <v>0</v>
      </c>
      <c r="T187" s="860">
        <v>0</v>
      </c>
      <c r="U187" s="861">
        <v>0</v>
      </c>
      <c r="V187" s="861">
        <v>0</v>
      </c>
      <c r="W187" s="861">
        <v>0</v>
      </c>
      <c r="X187" s="861">
        <v>0</v>
      </c>
      <c r="Y187" s="861">
        <v>0</v>
      </c>
      <c r="Z187" s="857">
        <f t="shared" si="33"/>
        <v>0</v>
      </c>
      <c r="AA187" s="180"/>
      <c r="AB187" s="148"/>
    </row>
    <row r="188" spans="1:28" ht="15.75" customHeight="1">
      <c r="B188" s="332" t="s">
        <v>1688</v>
      </c>
      <c r="C188" s="332" t="s">
        <v>336</v>
      </c>
      <c r="E188" s="902">
        <f>0</f>
        <v>0</v>
      </c>
      <c r="I188" s="858">
        <v>0</v>
      </c>
      <c r="J188" s="858">
        <v>0</v>
      </c>
      <c r="K188" s="858">
        <v>0</v>
      </c>
      <c r="L188" s="854">
        <v>0</v>
      </c>
      <c r="M188" s="854">
        <v>0</v>
      </c>
      <c r="N188" s="854">
        <v>0</v>
      </c>
      <c r="O188" s="854">
        <v>0</v>
      </c>
      <c r="P188" s="860">
        <v>0</v>
      </c>
      <c r="Q188" s="860">
        <v>0</v>
      </c>
      <c r="R188" s="860">
        <v>0</v>
      </c>
      <c r="S188" s="860">
        <v>0</v>
      </c>
      <c r="T188" s="860">
        <v>0</v>
      </c>
      <c r="U188" s="861">
        <v>0</v>
      </c>
      <c r="V188" s="861">
        <v>0</v>
      </c>
      <c r="W188" s="861">
        <v>0</v>
      </c>
      <c r="X188" s="861">
        <v>0</v>
      </c>
      <c r="Y188" s="861">
        <v>0</v>
      </c>
      <c r="Z188" s="857">
        <f t="shared" si="33"/>
        <v>0</v>
      </c>
      <c r="AA188" s="180"/>
      <c r="AB188" s="148"/>
    </row>
    <row r="189" spans="1:28" ht="15.75" customHeight="1">
      <c r="B189" s="332" t="s">
        <v>1689</v>
      </c>
      <c r="C189" s="332" t="s">
        <v>336</v>
      </c>
      <c r="E189" s="902">
        <f>E177+E180+E178+E179+E181</f>
        <v>920383.09</v>
      </c>
      <c r="I189" s="866">
        <f t="shared" ref="I189:Z189" si="34">SUM(I185:I188)</f>
        <v>0</v>
      </c>
      <c r="J189" s="866">
        <f t="shared" si="34"/>
        <v>0</v>
      </c>
      <c r="K189" s="866">
        <f t="shared" si="34"/>
        <v>0</v>
      </c>
      <c r="L189" s="866">
        <f t="shared" si="34"/>
        <v>0</v>
      </c>
      <c r="M189" s="866">
        <f t="shared" si="34"/>
        <v>0</v>
      </c>
      <c r="N189" s="866">
        <f t="shared" si="34"/>
        <v>0</v>
      </c>
      <c r="O189" s="866">
        <f t="shared" si="34"/>
        <v>0</v>
      </c>
      <c r="P189" s="866">
        <f t="shared" si="34"/>
        <v>0</v>
      </c>
      <c r="Q189" s="866">
        <f t="shared" si="34"/>
        <v>0</v>
      </c>
      <c r="R189" s="866">
        <f t="shared" si="34"/>
        <v>0</v>
      </c>
      <c r="S189" s="866">
        <f t="shared" si="34"/>
        <v>0</v>
      </c>
      <c r="T189" s="866">
        <f t="shared" si="34"/>
        <v>0</v>
      </c>
      <c r="U189" s="866">
        <f t="shared" si="34"/>
        <v>0</v>
      </c>
      <c r="V189" s="866">
        <f t="shared" si="34"/>
        <v>0</v>
      </c>
      <c r="W189" s="866">
        <f t="shared" si="34"/>
        <v>0</v>
      </c>
      <c r="X189" s="866">
        <f t="shared" si="34"/>
        <v>0</v>
      </c>
      <c r="Y189" s="866">
        <f t="shared" si="34"/>
        <v>0</v>
      </c>
      <c r="Z189" s="866">
        <f t="shared" si="34"/>
        <v>0</v>
      </c>
      <c r="AA189" s="180"/>
      <c r="AB189" s="148"/>
    </row>
    <row r="190" spans="1:28" ht="15.75" customHeight="1">
      <c r="A190" s="26"/>
      <c r="B190" s="26"/>
      <c r="C190" s="176"/>
      <c r="D190" s="180"/>
      <c r="E190" s="148"/>
      <c r="F190" s="148"/>
      <c r="G190" s="148"/>
      <c r="H190" s="148"/>
      <c r="I190" s="148"/>
      <c r="J190" s="148"/>
      <c r="K190" s="148"/>
      <c r="L190" s="148"/>
      <c r="M190" s="148"/>
      <c r="N190" s="148"/>
      <c r="O190" s="148"/>
      <c r="P190" s="148"/>
      <c r="Q190" s="148"/>
      <c r="R190" s="148"/>
      <c r="S190" s="148"/>
      <c r="T190" s="180"/>
      <c r="U190" s="180"/>
      <c r="V190" s="278"/>
      <c r="W190" s="278"/>
      <c r="X190" s="278"/>
      <c r="Y190" s="278"/>
      <c r="Z190" s="180"/>
      <c r="AA190" s="180"/>
      <c r="AB190" s="148"/>
    </row>
    <row r="191" spans="1:28" ht="15.75" customHeight="1">
      <c r="A191" s="26"/>
      <c r="B191" s="26"/>
      <c r="C191" s="176"/>
      <c r="D191" s="180"/>
      <c r="E191" s="148"/>
      <c r="F191" s="148"/>
      <c r="G191" s="148"/>
      <c r="H191" s="148"/>
      <c r="I191" s="148"/>
      <c r="J191" s="148"/>
      <c r="K191" s="148"/>
      <c r="L191" s="148"/>
      <c r="M191" s="148"/>
      <c r="N191" s="148"/>
      <c r="O191" s="148"/>
      <c r="P191" s="148"/>
      <c r="Q191" s="148"/>
      <c r="R191" s="148"/>
      <c r="S191" s="148"/>
      <c r="T191" s="180"/>
      <c r="U191" s="180"/>
      <c r="V191" s="278"/>
      <c r="W191" s="278"/>
      <c r="X191" s="278"/>
      <c r="Y191" s="278"/>
      <c r="Z191" s="180"/>
      <c r="AA191" s="180"/>
      <c r="AB191" s="148"/>
    </row>
    <row r="192" spans="1:28" ht="15.75" customHeight="1">
      <c r="A192" s="26"/>
      <c r="B192" s="26"/>
      <c r="C192" s="176"/>
      <c r="D192" s="180"/>
      <c r="E192" s="148"/>
      <c r="F192" s="148"/>
      <c r="G192" s="148"/>
      <c r="H192" s="148"/>
      <c r="I192" s="148"/>
      <c r="J192" s="148"/>
      <c r="K192" s="148"/>
      <c r="L192" s="148"/>
      <c r="M192" s="148"/>
      <c r="N192" s="148"/>
      <c r="O192" s="148"/>
      <c r="P192" s="148"/>
      <c r="Q192" s="148"/>
      <c r="R192" s="148"/>
      <c r="S192" s="148"/>
      <c r="T192" s="180"/>
      <c r="U192" s="180"/>
      <c r="V192" s="278"/>
      <c r="W192" s="278"/>
      <c r="X192" s="278"/>
      <c r="Y192" s="278"/>
      <c r="Z192" s="180"/>
      <c r="AA192" s="180"/>
      <c r="AB192" s="148"/>
    </row>
    <row r="193" spans="1:30" ht="15.75" customHeight="1">
      <c r="A193" s="26"/>
      <c r="B193" s="26"/>
      <c r="C193" s="176"/>
      <c r="D193" s="180"/>
      <c r="E193" s="148"/>
      <c r="F193" s="148"/>
      <c r="G193" s="148"/>
      <c r="H193" s="148"/>
      <c r="I193" s="148"/>
      <c r="J193" s="148"/>
      <c r="K193" s="148"/>
      <c r="L193" s="148"/>
      <c r="M193" s="148"/>
      <c r="N193" s="148"/>
      <c r="O193" s="148"/>
      <c r="P193" s="148"/>
      <c r="Q193" s="148"/>
      <c r="R193" s="148"/>
      <c r="S193" s="148"/>
      <c r="T193" s="180"/>
      <c r="U193" s="180"/>
      <c r="V193" s="278"/>
      <c r="W193" s="278"/>
      <c r="X193" s="278"/>
      <c r="Y193" s="278"/>
      <c r="Z193" s="180"/>
      <c r="AA193" s="180"/>
      <c r="AB193" s="148"/>
    </row>
    <row r="194" spans="1:30" ht="15.75" customHeight="1">
      <c r="A194" s="26"/>
      <c r="B194" s="26"/>
      <c r="C194" s="176"/>
      <c r="D194" s="180"/>
      <c r="E194" s="148"/>
      <c r="F194" s="148"/>
      <c r="G194" s="148"/>
      <c r="H194" s="148"/>
      <c r="I194" s="148"/>
      <c r="J194" s="148"/>
      <c r="K194" s="148"/>
      <c r="L194" s="148"/>
      <c r="M194" s="148"/>
      <c r="N194" s="148"/>
      <c r="O194" s="148"/>
      <c r="P194" s="148"/>
      <c r="Q194" s="148"/>
      <c r="R194" s="148"/>
      <c r="S194" s="148"/>
      <c r="T194" s="180"/>
      <c r="U194" s="180"/>
      <c r="V194" s="278"/>
      <c r="W194" s="278"/>
      <c r="X194" s="278"/>
      <c r="Y194" s="278"/>
      <c r="Z194" s="180"/>
      <c r="AA194" s="180"/>
      <c r="AB194" s="148"/>
    </row>
    <row r="195" spans="1:30" ht="15.75" customHeight="1">
      <c r="A195" s="143" t="s">
        <v>1690</v>
      </c>
      <c r="B195" s="143"/>
      <c r="C195" s="143"/>
      <c r="D195" s="906"/>
      <c r="E195" s="906"/>
      <c r="F195" s="906"/>
      <c r="G195" s="906"/>
      <c r="H195" s="180"/>
      <c r="I195" s="180"/>
      <c r="J195" s="180"/>
      <c r="K195" s="180"/>
      <c r="L195" s="180"/>
      <c r="M195" s="180"/>
      <c r="N195" s="180"/>
      <c r="O195" s="180"/>
      <c r="P195" s="180"/>
      <c r="Q195" s="180"/>
      <c r="R195" s="180"/>
      <c r="S195" s="180"/>
      <c r="T195" s="180"/>
      <c r="U195" s="180"/>
      <c r="V195" s="278"/>
      <c r="W195" s="278"/>
      <c r="X195" s="278"/>
      <c r="Y195" s="278"/>
      <c r="Z195" s="180"/>
      <c r="AA195" s="180"/>
      <c r="AB195" s="180"/>
    </row>
    <row r="196" spans="1:30" ht="15.75" customHeight="1">
      <c r="A196" s="26"/>
      <c r="B196" s="26"/>
      <c r="C196" s="26"/>
      <c r="D196" s="180"/>
      <c r="E196" s="180"/>
      <c r="F196" s="180"/>
      <c r="G196" s="180"/>
      <c r="H196" s="180"/>
      <c r="I196" s="180"/>
      <c r="J196" s="180"/>
      <c r="K196" s="180"/>
      <c r="L196" s="180"/>
      <c r="M196" s="180"/>
      <c r="N196" s="180"/>
      <c r="O196" s="180"/>
      <c r="P196" s="180"/>
      <c r="Q196" s="180"/>
      <c r="R196" s="180"/>
      <c r="S196" s="180"/>
      <c r="T196" s="180"/>
      <c r="U196" s="180"/>
      <c r="V196" s="278"/>
      <c r="W196" s="278"/>
      <c r="X196" s="278"/>
      <c r="Y196" s="278"/>
      <c r="Z196" s="180"/>
      <c r="AA196" s="180"/>
      <c r="AB196" s="180"/>
    </row>
    <row r="197" spans="1:30" ht="15.75" customHeight="1">
      <c r="A197" s="907" t="s">
        <v>1691</v>
      </c>
      <c r="B197" s="907"/>
      <c r="C197" s="907"/>
      <c r="D197" s="908"/>
      <c r="E197" s="908"/>
      <c r="F197" s="908"/>
      <c r="G197" s="908"/>
      <c r="H197" s="180"/>
      <c r="I197" s="180"/>
      <c r="J197" s="180"/>
      <c r="K197" s="180"/>
      <c r="L197" s="180"/>
      <c r="M197" s="180"/>
      <c r="N197" s="180"/>
      <c r="O197" s="180"/>
      <c r="P197" s="180"/>
      <c r="Q197" s="180"/>
      <c r="R197" s="180"/>
      <c r="S197" s="180"/>
      <c r="T197" s="180"/>
      <c r="U197" s="180"/>
      <c r="V197" s="278"/>
      <c r="W197" s="278"/>
      <c r="X197" s="278"/>
      <c r="Y197" s="278"/>
      <c r="Z197" s="180"/>
      <c r="AA197" s="180"/>
      <c r="AB197" s="180"/>
    </row>
    <row r="198" spans="1:30" ht="15.75" customHeight="1">
      <c r="A198" s="26" t="s">
        <v>1692</v>
      </c>
      <c r="B198" s="909" t="s">
        <v>278</v>
      </c>
      <c r="C198" s="910">
        <f>Inputs!E18</f>
        <v>46420</v>
      </c>
      <c r="D198" s="180"/>
      <c r="E198" s="180"/>
      <c r="F198" s="180"/>
      <c r="G198" s="180"/>
      <c r="H198" s="180"/>
      <c r="I198" s="180"/>
      <c r="J198" s="180"/>
      <c r="K198" s="180"/>
      <c r="L198" s="180"/>
      <c r="M198" s="180"/>
      <c r="N198" s="180"/>
      <c r="O198" s="180"/>
      <c r="P198" s="180"/>
      <c r="Q198" s="180"/>
      <c r="R198" s="180"/>
      <c r="S198" s="180"/>
      <c r="T198" s="180"/>
      <c r="U198" s="180"/>
      <c r="V198" s="278"/>
      <c r="W198" s="278"/>
      <c r="X198" s="278"/>
      <c r="Y198" s="278"/>
      <c r="Z198" s="180"/>
      <c r="AA198" s="180"/>
      <c r="AB198" s="180"/>
    </row>
    <row r="199" spans="1:30" ht="15.75" customHeight="1">
      <c r="A199" s="26" t="s">
        <v>1693</v>
      </c>
      <c r="B199" s="909" t="s">
        <v>278</v>
      </c>
      <c r="C199" s="911">
        <f>Inputs!E19</f>
        <v>46568</v>
      </c>
      <c r="D199" s="180"/>
      <c r="E199" s="180"/>
      <c r="F199" s="180"/>
      <c r="G199" s="180"/>
      <c r="H199" s="180"/>
      <c r="I199" s="180"/>
      <c r="J199" s="180"/>
      <c r="K199" s="180"/>
      <c r="L199" s="180"/>
      <c r="M199" s="180"/>
      <c r="N199" s="180"/>
      <c r="O199" s="180"/>
      <c r="P199" s="180"/>
      <c r="Q199" s="180"/>
      <c r="R199" s="180"/>
      <c r="S199" s="180"/>
      <c r="T199" s="180"/>
      <c r="U199" s="180"/>
      <c r="V199" s="278"/>
      <c r="W199" s="278"/>
      <c r="X199" s="278"/>
      <c r="Y199" s="278"/>
      <c r="Z199" s="180"/>
      <c r="AA199" s="180"/>
      <c r="AB199" s="180"/>
    </row>
    <row r="200" spans="1:30" ht="15.75" customHeight="1">
      <c r="A200" s="26" t="s">
        <v>1694</v>
      </c>
      <c r="B200" s="909" t="s">
        <v>278</v>
      </c>
      <c r="C200" s="911">
        <f>Inputs!E22</f>
        <v>46569</v>
      </c>
      <c r="D200" s="180"/>
      <c r="E200" s="180"/>
      <c r="F200" s="180"/>
      <c r="G200" s="180"/>
      <c r="H200" s="180"/>
      <c r="I200" s="180"/>
      <c r="J200" s="180"/>
      <c r="K200" s="180"/>
      <c r="L200" s="180"/>
      <c r="M200" s="180"/>
      <c r="N200" s="180"/>
      <c r="O200" s="180"/>
      <c r="P200" s="180"/>
      <c r="Q200" s="180"/>
      <c r="R200" s="180"/>
      <c r="S200" s="180"/>
      <c r="T200" s="180"/>
      <c r="U200" s="180"/>
      <c r="V200" s="180"/>
      <c r="W200" s="180"/>
      <c r="X200" s="180"/>
      <c r="Y200" s="180"/>
      <c r="Z200" s="180"/>
      <c r="AA200" s="180"/>
      <c r="AB200" s="180"/>
    </row>
    <row r="201" spans="1:30" ht="15.75" customHeight="1">
      <c r="A201" s="26" t="s">
        <v>962</v>
      </c>
      <c r="B201" s="909" t="s">
        <v>336</v>
      </c>
      <c r="C201" s="912">
        <f>Inputs!E159</f>
        <v>19761525</v>
      </c>
      <c r="D201" s="180"/>
      <c r="E201" s="180"/>
      <c r="F201" s="180"/>
      <c r="G201" s="180"/>
      <c r="H201" s="180"/>
      <c r="I201" s="180"/>
      <c r="J201" s="180"/>
      <c r="K201" s="180"/>
      <c r="L201" s="180"/>
      <c r="M201" s="180"/>
      <c r="N201" s="180"/>
      <c r="O201" s="180"/>
      <c r="P201" s="180"/>
      <c r="Q201" s="180"/>
      <c r="R201" s="180"/>
      <c r="S201" s="180"/>
      <c r="T201" s="180"/>
      <c r="U201" s="180"/>
      <c r="V201" s="180"/>
      <c r="W201" s="180"/>
      <c r="X201" s="180"/>
      <c r="Y201" s="180"/>
      <c r="Z201" s="180"/>
      <c r="AA201" s="180"/>
      <c r="AB201" s="180"/>
    </row>
    <row r="202" spans="1:30" ht="15.75" customHeight="1">
      <c r="A202" s="26" t="s">
        <v>1695</v>
      </c>
      <c r="B202" s="909" t="s">
        <v>336</v>
      </c>
      <c r="C202" s="912">
        <f>Inputs!E34</f>
        <v>819000</v>
      </c>
      <c r="D202" s="180"/>
      <c r="E202" s="180"/>
      <c r="F202" s="180"/>
      <c r="G202" s="180"/>
      <c r="H202" s="180"/>
      <c r="I202" s="180"/>
      <c r="J202" s="180"/>
      <c r="K202" s="180"/>
      <c r="L202" s="180"/>
      <c r="M202" s="180"/>
      <c r="N202" s="180"/>
      <c r="O202" s="180"/>
      <c r="P202" s="180"/>
      <c r="Q202" s="180"/>
      <c r="R202" s="180"/>
      <c r="S202" s="180"/>
      <c r="T202" s="180"/>
      <c r="U202" s="180"/>
      <c r="V202" s="180"/>
      <c r="W202" s="180"/>
      <c r="X202" s="180"/>
      <c r="Y202" s="180"/>
      <c r="Z202" s="180"/>
      <c r="AA202" s="180"/>
      <c r="AB202" s="180"/>
    </row>
    <row r="203" spans="1:30" ht="15.75" customHeight="1">
      <c r="A203" s="26" t="str">
        <f>Inputs!C16</f>
        <v>Major Capex Start</v>
      </c>
      <c r="B203" s="909" t="s">
        <v>278</v>
      </c>
      <c r="C203" s="913">
        <f>Inputs!E16</f>
        <v>46419</v>
      </c>
      <c r="D203" s="180"/>
      <c r="E203" s="180"/>
      <c r="F203" s="180">
        <f>F218*C206/2</f>
        <v>0</v>
      </c>
      <c r="G203" s="180"/>
      <c r="H203" s="180"/>
      <c r="I203" s="180"/>
      <c r="J203" s="180"/>
      <c r="K203" s="180"/>
      <c r="L203" s="180"/>
      <c r="M203" s="180"/>
      <c r="N203" s="180"/>
      <c r="O203" s="180"/>
      <c r="P203" s="180"/>
      <c r="Q203" s="180"/>
      <c r="R203" s="180"/>
      <c r="S203" s="180"/>
      <c r="T203" s="180"/>
      <c r="U203" s="180"/>
      <c r="V203" s="180"/>
      <c r="W203" s="180"/>
      <c r="X203" s="180"/>
      <c r="Y203" s="180"/>
      <c r="Z203" s="180"/>
      <c r="AA203" s="180"/>
      <c r="AB203" s="180"/>
    </row>
    <row r="204" spans="1:30" ht="15.75" customHeight="1">
      <c r="A204" s="26" t="str">
        <f>Inputs!C17</f>
        <v>Major Capex End</v>
      </c>
      <c r="B204" s="909" t="s">
        <v>278</v>
      </c>
      <c r="C204" s="913">
        <f>Inputs!E17</f>
        <v>46568</v>
      </c>
      <c r="D204" s="180"/>
      <c r="E204" s="180"/>
      <c r="F204" s="180"/>
      <c r="G204" s="180"/>
      <c r="H204" s="180"/>
      <c r="I204" s="180"/>
      <c r="J204" s="180"/>
      <c r="K204" s="180"/>
      <c r="L204" s="180"/>
      <c r="M204" s="180"/>
      <c r="N204" s="180"/>
      <c r="O204" s="180"/>
      <c r="P204" s="180"/>
      <c r="Q204" s="180"/>
      <c r="R204" s="180"/>
      <c r="S204" s="180"/>
      <c r="T204" s="180"/>
      <c r="U204" s="180"/>
      <c r="V204" s="180"/>
      <c r="W204" s="180"/>
      <c r="X204" s="180"/>
      <c r="Y204" s="180"/>
      <c r="Z204" s="180"/>
      <c r="AA204" s="180"/>
      <c r="AB204" s="180"/>
    </row>
    <row r="205" spans="1:30" ht="15.75" customHeight="1">
      <c r="A205" s="26" t="s">
        <v>1338</v>
      </c>
      <c r="B205" s="909" t="s">
        <v>762</v>
      </c>
      <c r="C205" s="914">
        <f>Inputs!E519</f>
        <v>20</v>
      </c>
      <c r="D205" s="180"/>
      <c r="E205" s="180"/>
      <c r="F205" s="180"/>
      <c r="G205" s="180"/>
      <c r="H205" s="180"/>
      <c r="I205" s="180"/>
      <c r="J205" s="180"/>
      <c r="K205" s="180"/>
      <c r="L205" s="180"/>
      <c r="M205" s="180"/>
      <c r="N205" s="180"/>
      <c r="O205" s="180"/>
      <c r="P205" s="180"/>
      <c r="Q205" s="180"/>
      <c r="R205" s="180"/>
      <c r="S205" s="180"/>
      <c r="T205" s="180"/>
      <c r="U205" s="180"/>
      <c r="V205" s="180"/>
      <c r="W205" s="180"/>
      <c r="X205" s="180"/>
      <c r="Y205" s="180"/>
      <c r="Z205" s="180"/>
      <c r="AA205" s="180"/>
      <c r="AB205" s="180"/>
    </row>
    <row r="206" spans="1:30" ht="15.75" customHeight="1">
      <c r="A206" s="26" t="s">
        <v>1336</v>
      </c>
      <c r="B206" s="909" t="s">
        <v>808</v>
      </c>
      <c r="C206" s="915">
        <v>0</v>
      </c>
      <c r="D206" s="180"/>
      <c r="E206" s="180"/>
      <c r="F206" s="180"/>
      <c r="G206" s="180"/>
      <c r="H206" s="180"/>
      <c r="I206" s="180"/>
      <c r="J206" s="180"/>
      <c r="K206" s="180"/>
      <c r="L206" s="180"/>
      <c r="M206" s="180"/>
      <c r="N206" s="180"/>
      <c r="O206" s="180"/>
      <c r="P206" s="180"/>
      <c r="Q206" s="180"/>
      <c r="R206" s="180"/>
      <c r="S206" s="180"/>
      <c r="T206" s="180"/>
      <c r="U206" s="180"/>
      <c r="V206" s="180"/>
      <c r="W206" s="180"/>
      <c r="X206" s="180"/>
      <c r="Y206" s="180"/>
      <c r="Z206" s="180"/>
      <c r="AA206" s="180"/>
      <c r="AB206" s="180"/>
    </row>
    <row r="207" spans="1:30" ht="15.75" customHeight="1">
      <c r="A207" s="916" t="s">
        <v>1696</v>
      </c>
      <c r="B207" s="916"/>
      <c r="C207" s="916"/>
      <c r="D207" s="917"/>
      <c r="E207" s="917"/>
      <c r="F207" s="917"/>
      <c r="G207" s="917"/>
      <c r="H207" s="917"/>
      <c r="I207" s="917"/>
      <c r="J207" s="917"/>
      <c r="K207" s="917"/>
      <c r="L207" s="917"/>
      <c r="M207" s="917"/>
      <c r="N207" s="917"/>
      <c r="O207" s="917"/>
      <c r="P207" s="917"/>
      <c r="Q207" s="917"/>
      <c r="R207" s="917"/>
      <c r="S207" s="180"/>
      <c r="T207" s="180"/>
      <c r="U207" s="180"/>
      <c r="V207" s="180"/>
      <c r="W207" s="180"/>
      <c r="X207" s="180"/>
      <c r="Y207" s="180"/>
      <c r="Z207" s="180"/>
      <c r="AA207" s="180"/>
      <c r="AB207" s="180"/>
      <c r="AC207" s="180"/>
      <c r="AD207" s="180"/>
    </row>
    <row r="208" spans="1:30" ht="15.75" customHeight="1">
      <c r="A208" s="918" t="s">
        <v>1697</v>
      </c>
      <c r="B208" s="918"/>
      <c r="C208" s="918"/>
      <c r="D208" s="919" t="str">
        <f>'P&amp;L'!G6</f>
        <v>FY25</v>
      </c>
      <c r="E208" s="919" t="str">
        <f>'P&amp;L'!H6</f>
        <v>FY26</v>
      </c>
      <c r="F208" s="919" t="str">
        <f>'P&amp;L'!I6</f>
        <v>FY27</v>
      </c>
      <c r="G208" s="919" t="str">
        <f>'P&amp;L'!J6</f>
        <v>FY28</v>
      </c>
      <c r="H208" s="919" t="str">
        <f>'P&amp;L'!K6</f>
        <v>FY29</v>
      </c>
      <c r="I208" s="919" t="str">
        <f>'P&amp;L'!L6</f>
        <v>FY30</v>
      </c>
      <c r="J208" s="919" t="str">
        <f>'P&amp;L'!M6</f>
        <v>FY31</v>
      </c>
      <c r="K208" s="919" t="str">
        <f>'P&amp;L'!N6</f>
        <v>FY32</v>
      </c>
      <c r="L208" s="919" t="str">
        <f>'P&amp;L'!O6</f>
        <v>FY33</v>
      </c>
      <c r="M208" s="919" t="str">
        <f>'P&amp;L'!P6</f>
        <v>FY34</v>
      </c>
      <c r="N208" s="919" t="str">
        <f>'P&amp;L'!Q6</f>
        <v>FY35</v>
      </c>
      <c r="O208" s="919" t="str">
        <f>'P&amp;L'!R6</f>
        <v>FY36</v>
      </c>
      <c r="P208" s="919" t="str">
        <f>'P&amp;L'!S6</f>
        <v>FY37</v>
      </c>
      <c r="Q208" s="919" t="str">
        <f>'P&amp;L'!T6</f>
        <v>FY38</v>
      </c>
      <c r="R208" s="919" t="s">
        <v>770</v>
      </c>
      <c r="S208" s="180"/>
      <c r="T208" s="180"/>
      <c r="U208" s="180"/>
      <c r="V208" s="180"/>
      <c r="W208" s="180"/>
      <c r="X208" s="180"/>
      <c r="Y208" s="180"/>
      <c r="Z208" s="180"/>
      <c r="AA208" s="180"/>
      <c r="AB208" s="180"/>
      <c r="AC208" s="180"/>
      <c r="AD208" s="180"/>
    </row>
    <row r="209" spans="1:30" ht="15.75" customHeight="1">
      <c r="A209" s="26" t="s">
        <v>1698</v>
      </c>
      <c r="B209" s="26"/>
      <c r="C209" s="26"/>
      <c r="D209" s="920">
        <f>'P&amp;L'!G4</f>
        <v>45689</v>
      </c>
      <c r="E209" s="920">
        <f>'P&amp;L'!H4</f>
        <v>45839</v>
      </c>
      <c r="F209" s="920">
        <f>'P&amp;L'!I4</f>
        <v>46204</v>
      </c>
      <c r="G209" s="920">
        <f>'P&amp;L'!J4</f>
        <v>46569</v>
      </c>
      <c r="H209" s="920">
        <f>'P&amp;L'!K4</f>
        <v>46935</v>
      </c>
      <c r="I209" s="920">
        <f>'P&amp;L'!L4</f>
        <v>47300</v>
      </c>
      <c r="J209" s="920">
        <f>'P&amp;L'!M4</f>
        <v>47665</v>
      </c>
      <c r="K209" s="920">
        <f>'P&amp;L'!N4</f>
        <v>48030</v>
      </c>
      <c r="L209" s="920">
        <f>'P&amp;L'!O4</f>
        <v>48396</v>
      </c>
      <c r="M209" s="920">
        <f>'P&amp;L'!P4</f>
        <v>48761</v>
      </c>
      <c r="N209" s="920">
        <f>'P&amp;L'!Q4</f>
        <v>49126</v>
      </c>
      <c r="O209" s="920">
        <f>'P&amp;L'!R4</f>
        <v>49491</v>
      </c>
      <c r="P209" s="920">
        <f>'P&amp;L'!S4</f>
        <v>49857</v>
      </c>
      <c r="Q209" s="920">
        <f>'P&amp;L'!T4</f>
        <v>50222</v>
      </c>
      <c r="R209" s="180"/>
      <c r="S209" s="180"/>
      <c r="T209" s="180"/>
      <c r="U209" s="180"/>
      <c r="V209" s="180"/>
      <c r="W209" s="180"/>
      <c r="X209" s="180"/>
      <c r="Y209" s="180"/>
      <c r="Z209" s="180"/>
      <c r="AA209" s="180"/>
      <c r="AB209" s="180"/>
      <c r="AC209" s="180"/>
      <c r="AD209" s="180"/>
    </row>
    <row r="210" spans="1:30" ht="15.75" customHeight="1">
      <c r="A210" s="26" t="s">
        <v>1699</v>
      </c>
      <c r="B210" s="26"/>
      <c r="C210" s="26"/>
      <c r="D210" s="920">
        <f>'P&amp;L'!G5</f>
        <v>45838</v>
      </c>
      <c r="E210" s="920">
        <f>'P&amp;L'!H5</f>
        <v>46203</v>
      </c>
      <c r="F210" s="920">
        <f>'P&amp;L'!I5</f>
        <v>46568</v>
      </c>
      <c r="G210" s="920">
        <f>'P&amp;L'!J5</f>
        <v>46934</v>
      </c>
      <c r="H210" s="920">
        <f>'P&amp;L'!K5</f>
        <v>47299</v>
      </c>
      <c r="I210" s="920">
        <f>'P&amp;L'!L5</f>
        <v>47664</v>
      </c>
      <c r="J210" s="920">
        <f>'P&amp;L'!M5</f>
        <v>48029</v>
      </c>
      <c r="K210" s="920">
        <f>'P&amp;L'!N5</f>
        <v>48395</v>
      </c>
      <c r="L210" s="920">
        <f>'P&amp;L'!O5</f>
        <v>48760</v>
      </c>
      <c r="M210" s="920">
        <f>'P&amp;L'!P5</f>
        <v>49125</v>
      </c>
      <c r="N210" s="920">
        <f>'P&amp;L'!Q5</f>
        <v>49490</v>
      </c>
      <c r="O210" s="920">
        <f>'P&amp;L'!R5</f>
        <v>49856</v>
      </c>
      <c r="P210" s="920">
        <f>'P&amp;L'!S5</f>
        <v>50221</v>
      </c>
      <c r="Q210" s="920">
        <f>'P&amp;L'!T5</f>
        <v>50586</v>
      </c>
      <c r="R210" s="180"/>
      <c r="S210" s="180"/>
      <c r="T210" s="180"/>
      <c r="U210" s="180"/>
      <c r="V210" s="180"/>
      <c r="W210" s="180"/>
      <c r="X210" s="180"/>
      <c r="Y210" s="180"/>
      <c r="Z210" s="180"/>
      <c r="AA210" s="180"/>
      <c r="AB210" s="180"/>
      <c r="AC210" s="180"/>
      <c r="AD210" s="180"/>
    </row>
    <row r="211" spans="1:30" ht="16.5" customHeight="1">
      <c r="A211" s="26" t="s">
        <v>401</v>
      </c>
      <c r="B211" s="26"/>
      <c r="C211" s="26"/>
      <c r="D211" s="190">
        <f t="shared" ref="D211:Q211" si="35">IF(AND(D$210&gt;=$C$198,D$209&lt;=$C$199),1,0)</f>
        <v>0</v>
      </c>
      <c r="E211" s="190">
        <f t="shared" si="35"/>
        <v>0</v>
      </c>
      <c r="F211" s="190">
        <f t="shared" si="35"/>
        <v>1</v>
      </c>
      <c r="G211" s="190">
        <f t="shared" si="35"/>
        <v>0</v>
      </c>
      <c r="H211" s="190">
        <f t="shared" si="35"/>
        <v>0</v>
      </c>
      <c r="I211" s="190">
        <f t="shared" si="35"/>
        <v>0</v>
      </c>
      <c r="J211" s="190">
        <f t="shared" si="35"/>
        <v>0</v>
      </c>
      <c r="K211" s="190">
        <f t="shared" si="35"/>
        <v>0</v>
      </c>
      <c r="L211" s="190">
        <f t="shared" si="35"/>
        <v>0</v>
      </c>
      <c r="M211" s="190">
        <f t="shared" si="35"/>
        <v>0</v>
      </c>
      <c r="N211" s="190">
        <f t="shared" si="35"/>
        <v>0</v>
      </c>
      <c r="O211" s="190">
        <f t="shared" si="35"/>
        <v>0</v>
      </c>
      <c r="P211" s="190">
        <f t="shared" si="35"/>
        <v>0</v>
      </c>
      <c r="Q211" s="190">
        <f t="shared" si="35"/>
        <v>0</v>
      </c>
      <c r="R211" s="180"/>
      <c r="S211" s="180"/>
      <c r="T211" s="180"/>
      <c r="U211" s="180"/>
      <c r="V211" s="180"/>
      <c r="W211" s="180"/>
      <c r="X211" s="180"/>
      <c r="Y211" s="180"/>
      <c r="Z211" s="180"/>
      <c r="AA211" s="180"/>
      <c r="AB211" s="180"/>
      <c r="AC211" s="180"/>
      <c r="AD211" s="180"/>
    </row>
    <row r="212" spans="1:30" ht="15.75" customHeight="1">
      <c r="A212" s="26" t="s">
        <v>1700</v>
      </c>
      <c r="B212" s="26"/>
      <c r="C212" s="26"/>
      <c r="D212" s="190">
        <f t="shared" ref="D212:Q212" si="36">IF(D209&gt;=$C$200, 1, 0)</f>
        <v>0</v>
      </c>
      <c r="E212" s="190">
        <f t="shared" si="36"/>
        <v>0</v>
      </c>
      <c r="F212" s="190">
        <f t="shared" si="36"/>
        <v>0</v>
      </c>
      <c r="G212" s="190">
        <f t="shared" si="36"/>
        <v>1</v>
      </c>
      <c r="H212" s="190">
        <f t="shared" si="36"/>
        <v>1</v>
      </c>
      <c r="I212" s="190">
        <f t="shared" si="36"/>
        <v>1</v>
      </c>
      <c r="J212" s="190">
        <f t="shared" si="36"/>
        <v>1</v>
      </c>
      <c r="K212" s="190">
        <f t="shared" si="36"/>
        <v>1</v>
      </c>
      <c r="L212" s="190">
        <f t="shared" si="36"/>
        <v>1</v>
      </c>
      <c r="M212" s="190">
        <f t="shared" si="36"/>
        <v>1</v>
      </c>
      <c r="N212" s="190">
        <f t="shared" si="36"/>
        <v>1</v>
      </c>
      <c r="O212" s="190">
        <f t="shared" si="36"/>
        <v>1</v>
      </c>
      <c r="P212" s="190">
        <f t="shared" si="36"/>
        <v>1</v>
      </c>
      <c r="Q212" s="190">
        <f t="shared" si="36"/>
        <v>1</v>
      </c>
      <c r="R212" s="180"/>
      <c r="S212" s="180"/>
      <c r="T212" s="180"/>
      <c r="U212" s="180"/>
      <c r="V212" s="180"/>
      <c r="W212" s="180"/>
      <c r="X212" s="180"/>
      <c r="Y212" s="180"/>
      <c r="Z212" s="180"/>
      <c r="AA212" s="180"/>
      <c r="AB212" s="180"/>
      <c r="AC212" s="180"/>
      <c r="AD212" s="180"/>
    </row>
    <row r="213" spans="1:30" ht="15.75" customHeight="1">
      <c r="A213" s="26" t="str">
        <f t="shared" ref="A213:A214" si="37">A203</f>
        <v>Major Capex Start</v>
      </c>
      <c r="B213" s="26"/>
      <c r="C213" s="26"/>
      <c r="D213" s="190">
        <f t="shared" ref="D213:Q213" si="38">IF(D209&gt;=$C$203, 1, 0)</f>
        <v>0</v>
      </c>
      <c r="E213" s="190">
        <f t="shared" si="38"/>
        <v>0</v>
      </c>
      <c r="F213" s="190">
        <f t="shared" si="38"/>
        <v>0</v>
      </c>
      <c r="G213" s="190">
        <f t="shared" si="38"/>
        <v>1</v>
      </c>
      <c r="H213" s="190">
        <f t="shared" si="38"/>
        <v>1</v>
      </c>
      <c r="I213" s="190">
        <f t="shared" si="38"/>
        <v>1</v>
      </c>
      <c r="J213" s="190">
        <f t="shared" si="38"/>
        <v>1</v>
      </c>
      <c r="K213" s="190">
        <f t="shared" si="38"/>
        <v>1</v>
      </c>
      <c r="L213" s="190">
        <f t="shared" si="38"/>
        <v>1</v>
      </c>
      <c r="M213" s="190">
        <f t="shared" si="38"/>
        <v>1</v>
      </c>
      <c r="N213" s="190">
        <f t="shared" si="38"/>
        <v>1</v>
      </c>
      <c r="O213" s="190">
        <f t="shared" si="38"/>
        <v>1</v>
      </c>
      <c r="P213" s="190">
        <f t="shared" si="38"/>
        <v>1</v>
      </c>
      <c r="Q213" s="190">
        <f t="shared" si="38"/>
        <v>1</v>
      </c>
      <c r="R213" s="180"/>
      <c r="S213" s="180"/>
      <c r="T213" s="180"/>
      <c r="U213" s="180"/>
      <c r="V213" s="180"/>
      <c r="W213" s="180"/>
      <c r="X213" s="180"/>
      <c r="Y213" s="180"/>
      <c r="Z213" s="180"/>
      <c r="AA213" s="180"/>
      <c r="AB213" s="180"/>
      <c r="AC213" s="180"/>
      <c r="AD213" s="180"/>
    </row>
    <row r="214" spans="1:30" ht="15.75" customHeight="1">
      <c r="A214" s="26" t="str">
        <f t="shared" si="37"/>
        <v>Major Capex End</v>
      </c>
      <c r="B214" s="26"/>
      <c r="C214" s="26"/>
      <c r="D214" s="190">
        <f t="shared" ref="D214:Q214" si="39">IF(D209&gt;=$C$204, 1, 0)</f>
        <v>0</v>
      </c>
      <c r="E214" s="190">
        <f t="shared" si="39"/>
        <v>0</v>
      </c>
      <c r="F214" s="190">
        <f t="shared" si="39"/>
        <v>0</v>
      </c>
      <c r="G214" s="190">
        <f t="shared" si="39"/>
        <v>1</v>
      </c>
      <c r="H214" s="190">
        <f t="shared" si="39"/>
        <v>1</v>
      </c>
      <c r="I214" s="190">
        <f t="shared" si="39"/>
        <v>1</v>
      </c>
      <c r="J214" s="190">
        <f t="shared" si="39"/>
        <v>1</v>
      </c>
      <c r="K214" s="190">
        <f t="shared" si="39"/>
        <v>1</v>
      </c>
      <c r="L214" s="190">
        <f t="shared" si="39"/>
        <v>1</v>
      </c>
      <c r="M214" s="190">
        <f t="shared" si="39"/>
        <v>1</v>
      </c>
      <c r="N214" s="190">
        <f t="shared" si="39"/>
        <v>1</v>
      </c>
      <c r="O214" s="190">
        <f t="shared" si="39"/>
        <v>1</v>
      </c>
      <c r="P214" s="190">
        <f t="shared" si="39"/>
        <v>1</v>
      </c>
      <c r="Q214" s="190">
        <f t="shared" si="39"/>
        <v>1</v>
      </c>
      <c r="R214" s="180"/>
      <c r="S214" s="180"/>
      <c r="T214" s="180"/>
      <c r="U214" s="180"/>
      <c r="V214" s="180"/>
      <c r="W214" s="180"/>
      <c r="X214" s="180"/>
      <c r="Y214" s="180"/>
      <c r="Z214" s="180"/>
      <c r="AA214" s="180"/>
      <c r="AB214" s="180"/>
      <c r="AC214" s="180"/>
      <c r="AD214" s="180"/>
    </row>
    <row r="215" spans="1:30" ht="15.75" customHeight="1">
      <c r="A215" s="26"/>
      <c r="B215" s="26"/>
      <c r="C215" s="26"/>
      <c r="D215" s="180"/>
      <c r="E215" s="180"/>
      <c r="F215" s="180"/>
      <c r="G215" s="180"/>
      <c r="H215" s="180"/>
      <c r="I215" s="180"/>
      <c r="J215" s="180"/>
      <c r="K215" s="180"/>
      <c r="L215" s="180"/>
      <c r="M215" s="180"/>
      <c r="N215" s="180"/>
      <c r="O215" s="180"/>
      <c r="P215" s="180"/>
      <c r="Q215" s="180"/>
      <c r="R215" s="180"/>
      <c r="S215" s="180"/>
      <c r="T215" s="180"/>
      <c r="U215" s="180"/>
      <c r="V215" s="180"/>
      <c r="W215" s="180"/>
      <c r="X215" s="180"/>
      <c r="Y215" s="180"/>
      <c r="Z215" s="180"/>
      <c r="AA215" s="180"/>
      <c r="AB215" s="180"/>
      <c r="AC215" s="180"/>
      <c r="AD215" s="180"/>
    </row>
    <row r="216" spans="1:30" ht="15.75" customHeight="1">
      <c r="A216" s="907" t="s">
        <v>1701</v>
      </c>
      <c r="B216" s="907"/>
      <c r="C216" s="907"/>
      <c r="D216" s="908"/>
      <c r="E216" s="908"/>
      <c r="F216" s="908"/>
      <c r="G216" s="908"/>
      <c r="H216" s="908"/>
      <c r="I216" s="908"/>
      <c r="J216" s="908"/>
      <c r="K216" s="908"/>
      <c r="L216" s="908"/>
      <c r="M216" s="908"/>
      <c r="N216" s="908"/>
      <c r="O216" s="908"/>
      <c r="P216" s="908"/>
      <c r="Q216" s="908"/>
      <c r="R216" s="908"/>
      <c r="S216" s="180"/>
      <c r="T216" s="180"/>
      <c r="U216" s="180"/>
      <c r="V216" s="180"/>
      <c r="W216" s="180"/>
      <c r="X216" s="180"/>
      <c r="Y216" s="180"/>
      <c r="Z216" s="180"/>
      <c r="AA216" s="180"/>
      <c r="AB216" s="180"/>
      <c r="AC216" s="180"/>
      <c r="AD216" s="180"/>
    </row>
    <row r="217" spans="1:30" ht="15.75" customHeight="1">
      <c r="A217" s="26" t="s">
        <v>1702</v>
      </c>
      <c r="B217" s="26"/>
      <c r="C217" s="26"/>
      <c r="D217" s="227">
        <v>0</v>
      </c>
      <c r="E217" s="227">
        <f t="shared" ref="E217:Q217" si="40">D221</f>
        <v>0</v>
      </c>
      <c r="F217" s="227">
        <f t="shared" si="40"/>
        <v>0</v>
      </c>
      <c r="G217" s="227">
        <f t="shared" si="40"/>
        <v>19761525</v>
      </c>
      <c r="H217" s="227">
        <f t="shared" si="40"/>
        <v>0</v>
      </c>
      <c r="I217" s="227">
        <f t="shared" si="40"/>
        <v>0</v>
      </c>
      <c r="J217" s="227">
        <f t="shared" si="40"/>
        <v>0</v>
      </c>
      <c r="K217" s="227">
        <f t="shared" si="40"/>
        <v>0</v>
      </c>
      <c r="L217" s="227">
        <f t="shared" si="40"/>
        <v>0</v>
      </c>
      <c r="M217" s="227">
        <f t="shared" si="40"/>
        <v>0</v>
      </c>
      <c r="N217" s="227">
        <f t="shared" si="40"/>
        <v>0</v>
      </c>
      <c r="O217" s="227">
        <f t="shared" si="40"/>
        <v>0</v>
      </c>
      <c r="P217" s="227">
        <f t="shared" si="40"/>
        <v>0</v>
      </c>
      <c r="Q217" s="227">
        <f t="shared" si="40"/>
        <v>0</v>
      </c>
      <c r="R217" s="227"/>
      <c r="S217" s="180"/>
      <c r="T217" s="180"/>
      <c r="U217" s="180"/>
      <c r="V217" s="180"/>
      <c r="W217" s="180"/>
      <c r="X217" s="180"/>
      <c r="Y217" s="180"/>
      <c r="Z217" s="180"/>
      <c r="AA217" s="180"/>
      <c r="AB217" s="180"/>
      <c r="AC217" s="180"/>
      <c r="AD217" s="180"/>
    </row>
    <row r="218" spans="1:30" ht="15.75" customHeight="1">
      <c r="A218" s="26" t="s">
        <v>1703</v>
      </c>
      <c r="B218" s="26"/>
      <c r="C218" s="26"/>
      <c r="D218" s="227">
        <f t="shared" ref="D218:Q218" si="41">IF(D211=1,$C$201*MAX(0,MIN(D$210,$C$199)-MAX(D$209,$C$198)+1)/($C$199-$C$198+1),0)</f>
        <v>0</v>
      </c>
      <c r="E218" s="227">
        <f t="shared" si="41"/>
        <v>0</v>
      </c>
      <c r="F218" s="227">
        <f t="shared" si="41"/>
        <v>19761525</v>
      </c>
      <c r="G218" s="227">
        <f t="shared" si="41"/>
        <v>0</v>
      </c>
      <c r="H218" s="227">
        <f t="shared" si="41"/>
        <v>0</v>
      </c>
      <c r="I218" s="227">
        <f t="shared" si="41"/>
        <v>0</v>
      </c>
      <c r="J218" s="227">
        <f t="shared" si="41"/>
        <v>0</v>
      </c>
      <c r="K218" s="227">
        <f t="shared" si="41"/>
        <v>0</v>
      </c>
      <c r="L218" s="227">
        <f t="shared" si="41"/>
        <v>0</v>
      </c>
      <c r="M218" s="227">
        <f t="shared" si="41"/>
        <v>0</v>
      </c>
      <c r="N218" s="227">
        <f t="shared" si="41"/>
        <v>0</v>
      </c>
      <c r="O218" s="227">
        <f t="shared" si="41"/>
        <v>0</v>
      </c>
      <c r="P218" s="227">
        <f t="shared" si="41"/>
        <v>0</v>
      </c>
      <c r="Q218" s="227">
        <f t="shared" si="41"/>
        <v>0</v>
      </c>
      <c r="R218" s="227">
        <f t="shared" ref="R218:R219" si="42">SUM(D218:Q218)</f>
        <v>19761525</v>
      </c>
      <c r="S218" s="180"/>
      <c r="T218" s="180"/>
      <c r="U218" s="180"/>
      <c r="V218" s="180"/>
      <c r="W218" s="180"/>
      <c r="X218" s="180"/>
      <c r="Y218" s="180"/>
      <c r="Z218" s="180"/>
      <c r="AA218" s="180"/>
      <c r="AB218" s="180"/>
      <c r="AC218" s="180"/>
      <c r="AD218" s="180"/>
    </row>
    <row r="219" spans="1:30" ht="15.75" customHeight="1">
      <c r="A219" s="26" t="s">
        <v>1704</v>
      </c>
      <c r="B219" s="26"/>
      <c r="C219" s="26"/>
      <c r="D219" s="921">
        <f t="shared" ref="D219:Q219" si="43">IF(D211=1, (D217+D218/2)*$C$206, 0)</f>
        <v>0</v>
      </c>
      <c r="E219" s="921">
        <f t="shared" si="43"/>
        <v>0</v>
      </c>
      <c r="F219" s="921">
        <f t="shared" si="43"/>
        <v>0</v>
      </c>
      <c r="G219" s="921">
        <f t="shared" si="43"/>
        <v>0</v>
      </c>
      <c r="H219" s="921">
        <f t="shared" si="43"/>
        <v>0</v>
      </c>
      <c r="I219" s="921">
        <f t="shared" si="43"/>
        <v>0</v>
      </c>
      <c r="J219" s="921">
        <f t="shared" si="43"/>
        <v>0</v>
      </c>
      <c r="K219" s="921">
        <f t="shared" si="43"/>
        <v>0</v>
      </c>
      <c r="L219" s="921">
        <f t="shared" si="43"/>
        <v>0</v>
      </c>
      <c r="M219" s="921">
        <f t="shared" si="43"/>
        <v>0</v>
      </c>
      <c r="N219" s="921">
        <f t="shared" si="43"/>
        <v>0</v>
      </c>
      <c r="O219" s="921">
        <f t="shared" si="43"/>
        <v>0</v>
      </c>
      <c r="P219" s="921">
        <f t="shared" si="43"/>
        <v>0</v>
      </c>
      <c r="Q219" s="921">
        <f t="shared" si="43"/>
        <v>0</v>
      </c>
      <c r="R219" s="227">
        <f t="shared" si="42"/>
        <v>0</v>
      </c>
      <c r="S219" s="180"/>
      <c r="T219" s="180"/>
      <c r="U219" s="180"/>
      <c r="V219" s="180"/>
      <c r="W219" s="180"/>
      <c r="X219" s="180"/>
      <c r="Y219" s="180"/>
      <c r="Z219" s="180"/>
      <c r="AA219" s="180"/>
      <c r="AB219" s="180"/>
      <c r="AC219" s="180"/>
      <c r="AD219" s="180"/>
    </row>
    <row r="220" spans="1:30" ht="15.75" customHeight="1">
      <c r="A220" s="26" t="s">
        <v>1705</v>
      </c>
      <c r="B220" s="26"/>
      <c r="C220" s="26"/>
      <c r="D220" s="227">
        <v>0</v>
      </c>
      <c r="E220" s="227">
        <f t="shared" ref="E220:Q220" si="44">IF(AND(E212=1,D212=0),-D221,0)</f>
        <v>0</v>
      </c>
      <c r="F220" s="227">
        <f t="shared" si="44"/>
        <v>0</v>
      </c>
      <c r="G220" s="227">
        <f t="shared" si="44"/>
        <v>-19761525</v>
      </c>
      <c r="H220" s="227">
        <f t="shared" si="44"/>
        <v>0</v>
      </c>
      <c r="I220" s="227">
        <f t="shared" si="44"/>
        <v>0</v>
      </c>
      <c r="J220" s="227">
        <f t="shared" si="44"/>
        <v>0</v>
      </c>
      <c r="K220" s="227">
        <f t="shared" si="44"/>
        <v>0</v>
      </c>
      <c r="L220" s="227">
        <f t="shared" si="44"/>
        <v>0</v>
      </c>
      <c r="M220" s="227">
        <f t="shared" si="44"/>
        <v>0</v>
      </c>
      <c r="N220" s="227">
        <f t="shared" si="44"/>
        <v>0</v>
      </c>
      <c r="O220" s="227">
        <f t="shared" si="44"/>
        <v>0</v>
      </c>
      <c r="P220" s="227">
        <f t="shared" si="44"/>
        <v>0</v>
      </c>
      <c r="Q220" s="227">
        <f t="shared" si="44"/>
        <v>0</v>
      </c>
      <c r="R220" s="227"/>
      <c r="S220" s="180"/>
      <c r="T220" s="180"/>
      <c r="U220" s="180"/>
      <c r="V220" s="180"/>
      <c r="W220" s="180"/>
      <c r="X220" s="180"/>
      <c r="Y220" s="180"/>
      <c r="Z220" s="180"/>
      <c r="AA220" s="180"/>
      <c r="AB220" s="180"/>
      <c r="AC220" s="180"/>
      <c r="AD220" s="180"/>
    </row>
    <row r="221" spans="1:30" ht="15.75" customHeight="1">
      <c r="A221" s="922" t="s">
        <v>1706</v>
      </c>
      <c r="B221" s="922"/>
      <c r="C221" s="922"/>
      <c r="D221" s="923">
        <f t="shared" ref="D221:R221" si="45">D217+D218+D219+D220</f>
        <v>0</v>
      </c>
      <c r="E221" s="923">
        <f t="shared" si="45"/>
        <v>0</v>
      </c>
      <c r="F221" s="923">
        <f t="shared" si="45"/>
        <v>19761525</v>
      </c>
      <c r="G221" s="923">
        <f t="shared" si="45"/>
        <v>0</v>
      </c>
      <c r="H221" s="923">
        <f t="shared" si="45"/>
        <v>0</v>
      </c>
      <c r="I221" s="923">
        <f t="shared" si="45"/>
        <v>0</v>
      </c>
      <c r="J221" s="923">
        <f t="shared" si="45"/>
        <v>0</v>
      </c>
      <c r="K221" s="923">
        <f t="shared" si="45"/>
        <v>0</v>
      </c>
      <c r="L221" s="923">
        <f t="shared" si="45"/>
        <v>0</v>
      </c>
      <c r="M221" s="923">
        <f t="shared" si="45"/>
        <v>0</v>
      </c>
      <c r="N221" s="923">
        <f t="shared" si="45"/>
        <v>0</v>
      </c>
      <c r="O221" s="923">
        <f t="shared" si="45"/>
        <v>0</v>
      </c>
      <c r="P221" s="923">
        <f t="shared" si="45"/>
        <v>0</v>
      </c>
      <c r="Q221" s="923">
        <f t="shared" si="45"/>
        <v>0</v>
      </c>
      <c r="R221" s="923">
        <f t="shared" si="45"/>
        <v>19761525</v>
      </c>
      <c r="S221" s="180">
        <v>0</v>
      </c>
      <c r="T221" s="180">
        <v>0</v>
      </c>
      <c r="U221" s="180"/>
      <c r="V221" s="180"/>
      <c r="W221" s="180"/>
      <c r="X221" s="180"/>
      <c r="Y221" s="180"/>
      <c r="Z221" s="180"/>
      <c r="AA221" s="180"/>
      <c r="AB221" s="180"/>
      <c r="AC221" s="180"/>
      <c r="AD221" s="180"/>
    </row>
    <row r="222" spans="1:30" ht="15.75" customHeight="1">
      <c r="A222" s="26"/>
      <c r="B222" s="26"/>
      <c r="C222" s="26"/>
      <c r="D222" s="227"/>
      <c r="E222" s="227"/>
      <c r="F222" s="227"/>
      <c r="G222" s="227"/>
      <c r="H222" s="227"/>
      <c r="I222" s="227"/>
      <c r="J222" s="227"/>
      <c r="K222" s="227"/>
      <c r="L222" s="227"/>
      <c r="M222" s="227"/>
      <c r="N222" s="227"/>
      <c r="O222" s="227"/>
      <c r="P222" s="227"/>
      <c r="Q222" s="227"/>
      <c r="R222" s="227"/>
      <c r="S222" s="180"/>
      <c r="T222" s="180"/>
      <c r="U222" s="180"/>
      <c r="V222" s="180"/>
      <c r="W222" s="180"/>
      <c r="X222" s="180"/>
      <c r="Y222" s="180"/>
      <c r="Z222" s="180"/>
      <c r="AA222" s="180"/>
      <c r="AB222" s="180"/>
      <c r="AC222" s="180"/>
      <c r="AD222" s="180"/>
    </row>
    <row r="223" spans="1:30" ht="15.75" customHeight="1">
      <c r="A223" s="907" t="s">
        <v>1707</v>
      </c>
      <c r="B223" s="907"/>
      <c r="C223" s="907"/>
      <c r="D223" s="924"/>
      <c r="E223" s="924"/>
      <c r="F223" s="924"/>
      <c r="G223" s="924"/>
      <c r="H223" s="924"/>
      <c r="I223" s="924"/>
      <c r="J223" s="924"/>
      <c r="K223" s="924"/>
      <c r="L223" s="924"/>
      <c r="M223" s="924"/>
      <c r="N223" s="924"/>
      <c r="O223" s="924"/>
      <c r="P223" s="924"/>
      <c r="Q223" s="924"/>
      <c r="R223" s="924"/>
      <c r="S223" s="180"/>
      <c r="T223" s="180"/>
      <c r="U223" s="180"/>
      <c r="V223" s="180"/>
      <c r="W223" s="180"/>
      <c r="X223" s="180"/>
      <c r="Y223" s="180"/>
      <c r="Z223" s="180"/>
      <c r="AA223" s="180"/>
      <c r="AB223" s="180"/>
      <c r="AC223" s="180"/>
      <c r="AD223" s="180"/>
    </row>
    <row r="224" spans="1:30" ht="15.75" customHeight="1">
      <c r="A224" s="26" t="s">
        <v>1708</v>
      </c>
      <c r="B224" s="26"/>
      <c r="C224" s="26"/>
      <c r="D224" s="227">
        <f>IF(D210&gt;=Inputs!$E$14,$C$202,0)</f>
        <v>0</v>
      </c>
      <c r="E224" s="227">
        <f>IF(AND(E210&gt;=Inputs!$E$14,D224=0),$C$202,0)</f>
        <v>0</v>
      </c>
      <c r="F224" s="227">
        <f>IF(AND(F210&gt;=Inputs!$E$14,SUM($D224:E224)=0),$C$202,0)</f>
        <v>819000</v>
      </c>
      <c r="G224" s="227">
        <f>IF(AND(G210&gt;=Inputs!$E$14,SUM($D224:F224)=0),$C$202,0)</f>
        <v>0</v>
      </c>
      <c r="H224" s="227">
        <f>IF(AND(H210&gt;=Inputs!$E$14,SUM($D224:G224)=0),$C$202,0)</f>
        <v>0</v>
      </c>
      <c r="I224" s="227">
        <f>IF(AND(I210&gt;=Inputs!$E$14,SUM($D224:H224)=0),$C$202,0)</f>
        <v>0</v>
      </c>
      <c r="J224" s="227">
        <f>IF(AND(J210&gt;=Inputs!$E$14,SUM($D224:I224)=0),$C$202,0)</f>
        <v>0</v>
      </c>
      <c r="K224" s="227">
        <f>IF(AND(K210&gt;=Inputs!$E$14,SUM($D224:J224)=0),$C$202,0)</f>
        <v>0</v>
      </c>
      <c r="L224" s="227">
        <f>IF(AND(L210&gt;=Inputs!$E$14,SUM($D224:K224)=0),$C$202,0)</f>
        <v>0</v>
      </c>
      <c r="M224" s="227">
        <f>IF(AND(M210&gt;=Inputs!$E$14,SUM($D224:L224)=0),$C$202,0)</f>
        <v>0</v>
      </c>
      <c r="N224" s="227">
        <f>IF(AND(N210&gt;=Inputs!$E$14,SUM($D224:M224)=0),$C$202,0)</f>
        <v>0</v>
      </c>
      <c r="O224" s="227">
        <f>IF(AND(O210&gt;=Inputs!$E$14,SUM($D224:N224)=0),$C$202,0)</f>
        <v>0</v>
      </c>
      <c r="P224" s="227">
        <f>IF(AND(P210&gt;=Inputs!$E$14,SUM($D224:O224)=0),$C$202,0)</f>
        <v>0</v>
      </c>
      <c r="Q224" s="227">
        <f>IF(AND(Q210&gt;=Inputs!$E$14,SUM($D224:P224)=0),$C$202,0)</f>
        <v>0</v>
      </c>
      <c r="R224" s="227">
        <f>SUM(D224:Q224)</f>
        <v>819000</v>
      </c>
      <c r="S224" s="180"/>
      <c r="T224" s="180"/>
      <c r="U224" s="180"/>
      <c r="V224" s="180"/>
      <c r="W224" s="180"/>
      <c r="X224" s="180"/>
      <c r="Y224" s="180"/>
      <c r="Z224" s="180"/>
      <c r="AA224" s="180"/>
      <c r="AB224" s="180"/>
      <c r="AC224" s="180"/>
      <c r="AD224" s="180"/>
    </row>
    <row r="225" spans="1:30" ht="15.75" customHeight="1">
      <c r="A225" s="26" t="s">
        <v>1709</v>
      </c>
      <c r="B225" s="26"/>
      <c r="C225" s="26"/>
      <c r="D225" s="227">
        <f>D224</f>
        <v>0</v>
      </c>
      <c r="E225" s="227">
        <f t="shared" ref="E225:Q225" si="46">D225+E224</f>
        <v>0</v>
      </c>
      <c r="F225" s="227">
        <f t="shared" si="46"/>
        <v>819000</v>
      </c>
      <c r="G225" s="227">
        <f t="shared" si="46"/>
        <v>819000</v>
      </c>
      <c r="H225" s="227">
        <f t="shared" si="46"/>
        <v>819000</v>
      </c>
      <c r="I225" s="227">
        <f t="shared" si="46"/>
        <v>819000</v>
      </c>
      <c r="J225" s="227">
        <f t="shared" si="46"/>
        <v>819000</v>
      </c>
      <c r="K225" s="227">
        <f t="shared" si="46"/>
        <v>819000</v>
      </c>
      <c r="L225" s="227">
        <f t="shared" si="46"/>
        <v>819000</v>
      </c>
      <c r="M225" s="227">
        <f t="shared" si="46"/>
        <v>819000</v>
      </c>
      <c r="N225" s="227">
        <f t="shared" si="46"/>
        <v>819000</v>
      </c>
      <c r="O225" s="227">
        <f t="shared" si="46"/>
        <v>819000</v>
      </c>
      <c r="P225" s="227">
        <f t="shared" si="46"/>
        <v>819000</v>
      </c>
      <c r="Q225" s="227">
        <f t="shared" si="46"/>
        <v>819000</v>
      </c>
      <c r="R225" s="227"/>
      <c r="S225" s="180">
        <f>O225</f>
        <v>819000</v>
      </c>
      <c r="T225" s="180">
        <f>S225</f>
        <v>819000</v>
      </c>
      <c r="U225" s="180"/>
      <c r="V225" s="180"/>
      <c r="W225" s="180"/>
      <c r="X225" s="180"/>
      <c r="Y225" s="180"/>
      <c r="Z225" s="180"/>
      <c r="AA225" s="180"/>
      <c r="AB225" s="180"/>
      <c r="AC225" s="180"/>
      <c r="AD225" s="180"/>
    </row>
    <row r="226" spans="1:30" ht="15.75" customHeight="1">
      <c r="A226" s="26"/>
      <c r="B226" s="26"/>
      <c r="C226" s="26"/>
      <c r="D226" s="227"/>
      <c r="E226" s="227"/>
      <c r="F226" s="227"/>
      <c r="G226" s="227"/>
      <c r="H226" s="227"/>
      <c r="I226" s="227"/>
      <c r="J226" s="227"/>
      <c r="K226" s="227"/>
      <c r="L226" s="227"/>
      <c r="M226" s="227"/>
      <c r="N226" s="227"/>
      <c r="O226" s="227"/>
      <c r="P226" s="227"/>
      <c r="Q226" s="227"/>
      <c r="R226" s="227"/>
      <c r="S226" s="180"/>
      <c r="T226" s="180"/>
      <c r="U226" s="180"/>
      <c r="V226" s="180"/>
      <c r="W226" s="180"/>
      <c r="X226" s="180"/>
      <c r="Y226" s="180"/>
      <c r="Z226" s="180"/>
      <c r="AA226" s="180"/>
      <c r="AB226" s="180"/>
      <c r="AC226" s="180"/>
      <c r="AD226" s="180"/>
    </row>
    <row r="227" spans="1:30" ht="15.75" customHeight="1">
      <c r="A227" s="925" t="s">
        <v>1710</v>
      </c>
      <c r="B227" s="925"/>
      <c r="C227" s="925"/>
      <c r="D227" s="926">
        <f t="shared" ref="D227:E227" si="47">D218+D219+D224</f>
        <v>0</v>
      </c>
      <c r="E227" s="926">
        <f t="shared" si="47"/>
        <v>0</v>
      </c>
      <c r="F227" s="926">
        <f>F218+F224</f>
        <v>20580525</v>
      </c>
      <c r="G227" s="926">
        <f t="shared" ref="G227:O227" si="48">G218+G219+G224</f>
        <v>0</v>
      </c>
      <c r="H227" s="926">
        <f t="shared" si="48"/>
        <v>0</v>
      </c>
      <c r="I227" s="926">
        <f t="shared" si="48"/>
        <v>0</v>
      </c>
      <c r="J227" s="926">
        <f t="shared" si="48"/>
        <v>0</v>
      </c>
      <c r="K227" s="926">
        <f t="shared" si="48"/>
        <v>0</v>
      </c>
      <c r="L227" s="926">
        <f t="shared" si="48"/>
        <v>0</v>
      </c>
      <c r="M227" s="926">
        <f t="shared" si="48"/>
        <v>0</v>
      </c>
      <c r="N227" s="926">
        <f t="shared" si="48"/>
        <v>0</v>
      </c>
      <c r="O227" s="926">
        <f t="shared" si="48"/>
        <v>0</v>
      </c>
      <c r="P227" s="926"/>
      <c r="Q227" s="926"/>
      <c r="R227" s="926">
        <f>SUM(D227:O227)</f>
        <v>20580525</v>
      </c>
      <c r="S227" s="180">
        <v>0</v>
      </c>
      <c r="T227" s="180">
        <v>0</v>
      </c>
      <c r="U227" s="180"/>
      <c r="V227" s="180"/>
      <c r="W227" s="180"/>
      <c r="X227" s="180"/>
      <c r="Y227" s="180"/>
      <c r="Z227" s="180"/>
      <c r="AA227" s="180"/>
      <c r="AB227" s="180"/>
      <c r="AC227" s="180"/>
      <c r="AD227" s="180"/>
    </row>
    <row r="228" spans="1:30" ht="15.75" customHeight="1">
      <c r="A228" s="26"/>
      <c r="B228" s="26"/>
      <c r="C228" s="26"/>
      <c r="D228" s="227"/>
      <c r="E228" s="227"/>
      <c r="F228" s="227"/>
      <c r="G228" s="227"/>
      <c r="H228" s="227"/>
      <c r="I228" s="227"/>
      <c r="J228" s="227"/>
      <c r="K228" s="227"/>
      <c r="L228" s="227"/>
      <c r="M228" s="227"/>
      <c r="N228" s="227"/>
      <c r="O228" s="227"/>
      <c r="P228" s="227"/>
      <c r="Q228" s="227"/>
      <c r="R228" s="227"/>
      <c r="S228" s="180"/>
      <c r="T228" s="180"/>
      <c r="U228" s="180"/>
      <c r="V228" s="180"/>
      <c r="W228" s="180"/>
      <c r="X228" s="180"/>
      <c r="Y228" s="180"/>
      <c r="Z228" s="180"/>
      <c r="AA228" s="180"/>
      <c r="AB228" s="180"/>
      <c r="AC228" s="180"/>
      <c r="AD228" s="180"/>
    </row>
    <row r="229" spans="1:30" ht="15.75" customHeight="1">
      <c r="A229" s="916" t="s">
        <v>1711</v>
      </c>
      <c r="B229" s="916"/>
      <c r="C229" s="916"/>
      <c r="D229" s="927"/>
      <c r="E229" s="927"/>
      <c r="F229" s="927"/>
      <c r="G229" s="927"/>
      <c r="H229" s="927"/>
      <c r="I229" s="927"/>
      <c r="J229" s="927"/>
      <c r="K229" s="927"/>
      <c r="L229" s="927"/>
      <c r="M229" s="927"/>
      <c r="N229" s="927"/>
      <c r="O229" s="927"/>
      <c r="P229" s="927"/>
      <c r="Q229" s="927"/>
      <c r="R229" s="927"/>
      <c r="S229" s="180"/>
      <c r="T229" s="180"/>
      <c r="U229" s="180"/>
      <c r="V229" s="180"/>
      <c r="W229" s="180"/>
      <c r="X229" s="180"/>
      <c r="Y229" s="180"/>
      <c r="Z229" s="180"/>
      <c r="AA229" s="180"/>
      <c r="AB229" s="180"/>
      <c r="AC229" s="180"/>
      <c r="AD229" s="180"/>
    </row>
    <row r="230" spans="1:30" ht="15.75" customHeight="1">
      <c r="A230" s="26" t="s">
        <v>1712</v>
      </c>
      <c r="B230" s="26"/>
      <c r="C230" s="26"/>
      <c r="D230" s="227">
        <v>0</v>
      </c>
      <c r="E230" s="227">
        <f t="shared" ref="E230:Q230" si="49">D232</f>
        <v>0</v>
      </c>
      <c r="F230" s="227">
        <f t="shared" si="49"/>
        <v>0</v>
      </c>
      <c r="G230" s="227">
        <f t="shared" si="49"/>
        <v>0</v>
      </c>
      <c r="H230" s="227">
        <f t="shared" si="49"/>
        <v>19761525</v>
      </c>
      <c r="I230" s="227">
        <f t="shared" si="49"/>
        <v>19761525</v>
      </c>
      <c r="J230" s="227">
        <f t="shared" si="49"/>
        <v>19761525</v>
      </c>
      <c r="K230" s="227">
        <f t="shared" si="49"/>
        <v>19761525</v>
      </c>
      <c r="L230" s="227">
        <f t="shared" si="49"/>
        <v>19761525</v>
      </c>
      <c r="M230" s="227">
        <f t="shared" si="49"/>
        <v>19761525</v>
      </c>
      <c r="N230" s="227">
        <f t="shared" si="49"/>
        <v>19761525</v>
      </c>
      <c r="O230" s="227">
        <f t="shared" si="49"/>
        <v>19761525</v>
      </c>
      <c r="P230" s="227">
        <f t="shared" si="49"/>
        <v>19761525</v>
      </c>
      <c r="Q230" s="227">
        <f t="shared" si="49"/>
        <v>19761525</v>
      </c>
      <c r="R230" s="227"/>
      <c r="S230" s="180"/>
      <c r="T230" s="180"/>
      <c r="U230" s="180"/>
      <c r="V230" s="180"/>
      <c r="W230" s="180"/>
      <c r="X230" s="180"/>
      <c r="Y230" s="180"/>
      <c r="Z230" s="180"/>
      <c r="AA230" s="180"/>
      <c r="AB230" s="180"/>
      <c r="AC230" s="180"/>
      <c r="AD230" s="180"/>
    </row>
    <row r="231" spans="1:30" ht="15.75" customHeight="1">
      <c r="A231" s="26" t="s">
        <v>1713</v>
      </c>
      <c r="B231" s="26"/>
      <c r="C231" s="26"/>
      <c r="D231" s="227">
        <f t="shared" ref="D231:Q231" si="50">-D220</f>
        <v>0</v>
      </c>
      <c r="E231" s="227">
        <f t="shared" si="50"/>
        <v>0</v>
      </c>
      <c r="F231" s="227">
        <f t="shared" si="50"/>
        <v>0</v>
      </c>
      <c r="G231" s="227">
        <f t="shared" si="50"/>
        <v>19761525</v>
      </c>
      <c r="H231" s="227">
        <f t="shared" si="50"/>
        <v>0</v>
      </c>
      <c r="I231" s="227">
        <f t="shared" si="50"/>
        <v>0</v>
      </c>
      <c r="J231" s="227">
        <f t="shared" si="50"/>
        <v>0</v>
      </c>
      <c r="K231" s="227">
        <f t="shared" si="50"/>
        <v>0</v>
      </c>
      <c r="L231" s="227">
        <f t="shared" si="50"/>
        <v>0</v>
      </c>
      <c r="M231" s="227">
        <f t="shared" si="50"/>
        <v>0</v>
      </c>
      <c r="N231" s="227">
        <f t="shared" si="50"/>
        <v>0</v>
      </c>
      <c r="O231" s="227">
        <f t="shared" si="50"/>
        <v>0</v>
      </c>
      <c r="P231" s="227">
        <f t="shared" si="50"/>
        <v>0</v>
      </c>
      <c r="Q231" s="227">
        <f t="shared" si="50"/>
        <v>0</v>
      </c>
      <c r="R231" s="227"/>
      <c r="S231" s="180"/>
      <c r="T231" s="180"/>
      <c r="U231" s="180"/>
      <c r="V231" s="180"/>
      <c r="W231" s="180"/>
      <c r="X231" s="180"/>
      <c r="Y231" s="180"/>
      <c r="Z231" s="180"/>
      <c r="AA231" s="180"/>
      <c r="AB231" s="180"/>
      <c r="AC231" s="180"/>
      <c r="AD231" s="180"/>
    </row>
    <row r="232" spans="1:30" ht="15.75" customHeight="1">
      <c r="A232" s="928" t="s">
        <v>1714</v>
      </c>
      <c r="B232" s="928"/>
      <c r="C232" s="928"/>
      <c r="D232" s="929">
        <f t="shared" ref="D232:Q232" si="51">D230+D231</f>
        <v>0</v>
      </c>
      <c r="E232" s="929">
        <f t="shared" si="51"/>
        <v>0</v>
      </c>
      <c r="F232" s="929">
        <f t="shared" si="51"/>
        <v>0</v>
      </c>
      <c r="G232" s="929">
        <f t="shared" si="51"/>
        <v>19761525</v>
      </c>
      <c r="H232" s="929">
        <f t="shared" si="51"/>
        <v>19761525</v>
      </c>
      <c r="I232" s="929">
        <f t="shared" si="51"/>
        <v>19761525</v>
      </c>
      <c r="J232" s="929">
        <f t="shared" si="51"/>
        <v>19761525</v>
      </c>
      <c r="K232" s="929">
        <f t="shared" si="51"/>
        <v>19761525</v>
      </c>
      <c r="L232" s="929">
        <f t="shared" si="51"/>
        <v>19761525</v>
      </c>
      <c r="M232" s="929">
        <f t="shared" si="51"/>
        <v>19761525</v>
      </c>
      <c r="N232" s="929">
        <f t="shared" si="51"/>
        <v>19761525</v>
      </c>
      <c r="O232" s="929">
        <f t="shared" si="51"/>
        <v>19761525</v>
      </c>
      <c r="P232" s="929">
        <f t="shared" si="51"/>
        <v>19761525</v>
      </c>
      <c r="Q232" s="929">
        <f t="shared" si="51"/>
        <v>19761525</v>
      </c>
      <c r="R232" s="929"/>
      <c r="S232" s="180">
        <f>O232</f>
        <v>19761525</v>
      </c>
      <c r="T232" s="180">
        <f>S232</f>
        <v>19761525</v>
      </c>
      <c r="U232" s="180"/>
      <c r="V232" s="180"/>
      <c r="W232" s="180"/>
      <c r="X232" s="180"/>
      <c r="Y232" s="180"/>
      <c r="Z232" s="180"/>
      <c r="AA232" s="180"/>
      <c r="AB232" s="180"/>
      <c r="AC232" s="180"/>
      <c r="AD232" s="180"/>
    </row>
    <row r="233" spans="1:30" ht="15.75" customHeight="1">
      <c r="A233" s="26"/>
      <c r="B233" s="26"/>
      <c r="C233" s="26"/>
      <c r="D233" s="227"/>
      <c r="E233" s="227"/>
      <c r="F233" s="227"/>
      <c r="G233" s="227"/>
      <c r="H233" s="227"/>
      <c r="I233" s="227"/>
      <c r="J233" s="227"/>
      <c r="K233" s="227"/>
      <c r="L233" s="227"/>
      <c r="M233" s="227"/>
      <c r="N233" s="227"/>
      <c r="O233" s="227"/>
      <c r="P233" s="227"/>
      <c r="Q233" s="227"/>
      <c r="R233" s="227"/>
      <c r="S233" s="180"/>
      <c r="T233" s="180"/>
      <c r="U233" s="180"/>
      <c r="V233" s="180"/>
      <c r="W233" s="180"/>
      <c r="X233" s="180"/>
      <c r="Y233" s="180"/>
      <c r="Z233" s="180"/>
      <c r="AA233" s="180"/>
      <c r="AB233" s="180"/>
      <c r="AC233" s="180"/>
      <c r="AD233" s="180"/>
    </row>
    <row r="234" spans="1:30" ht="15.75" customHeight="1">
      <c r="A234" s="26" t="s">
        <v>1715</v>
      </c>
      <c r="B234" s="26"/>
      <c r="C234" s="26"/>
      <c r="D234" s="227">
        <v>0</v>
      </c>
      <c r="E234" s="227">
        <f t="shared" ref="E234:Q234" si="52">D236</f>
        <v>0</v>
      </c>
      <c r="F234" s="227">
        <f t="shared" si="52"/>
        <v>0</v>
      </c>
      <c r="G234" s="227">
        <f t="shared" si="52"/>
        <v>0</v>
      </c>
      <c r="H234" s="227">
        <f t="shared" si="52"/>
        <v>988076.25</v>
      </c>
      <c r="I234" s="227">
        <f t="shared" si="52"/>
        <v>1976152.5</v>
      </c>
      <c r="J234" s="227">
        <f t="shared" si="52"/>
        <v>2964228.75</v>
      </c>
      <c r="K234" s="227">
        <f t="shared" si="52"/>
        <v>3952305</v>
      </c>
      <c r="L234" s="227">
        <f t="shared" si="52"/>
        <v>4940381.25</v>
      </c>
      <c r="M234" s="227">
        <f t="shared" si="52"/>
        <v>5928457.5</v>
      </c>
      <c r="N234" s="227">
        <f t="shared" si="52"/>
        <v>6916533.75</v>
      </c>
      <c r="O234" s="227">
        <f t="shared" si="52"/>
        <v>7904610</v>
      </c>
      <c r="P234" s="227">
        <f t="shared" si="52"/>
        <v>8892686.25</v>
      </c>
      <c r="Q234" s="227">
        <f t="shared" si="52"/>
        <v>9880762.5</v>
      </c>
      <c r="R234" s="227"/>
      <c r="S234" s="180">
        <f>O236</f>
        <v>8892686.25</v>
      </c>
      <c r="T234" s="180">
        <f>S236</f>
        <v>9880762.5</v>
      </c>
      <c r="U234" s="180"/>
      <c r="V234" s="180"/>
      <c r="W234" s="180"/>
      <c r="X234" s="180"/>
      <c r="Y234" s="180"/>
      <c r="Z234" s="180"/>
      <c r="AA234" s="180"/>
      <c r="AB234" s="180"/>
      <c r="AC234" s="180"/>
      <c r="AD234" s="180"/>
    </row>
    <row r="235" spans="1:30" ht="15.75" customHeight="1">
      <c r="A235" s="26" t="s">
        <v>1716</v>
      </c>
      <c r="B235" s="26"/>
      <c r="C235" s="26"/>
      <c r="D235" s="227">
        <f t="shared" ref="D235:Q235" si="53">IF(D212=1, D232/$C$205, 0)</f>
        <v>0</v>
      </c>
      <c r="E235" s="227">
        <f t="shared" si="53"/>
        <v>0</v>
      </c>
      <c r="F235" s="227">
        <f t="shared" si="53"/>
        <v>0</v>
      </c>
      <c r="G235" s="227">
        <f t="shared" si="53"/>
        <v>988076.25</v>
      </c>
      <c r="H235" s="227">
        <f t="shared" si="53"/>
        <v>988076.25</v>
      </c>
      <c r="I235" s="227">
        <f t="shared" si="53"/>
        <v>988076.25</v>
      </c>
      <c r="J235" s="227">
        <f t="shared" si="53"/>
        <v>988076.25</v>
      </c>
      <c r="K235" s="227">
        <f t="shared" si="53"/>
        <v>988076.25</v>
      </c>
      <c r="L235" s="227">
        <f t="shared" si="53"/>
        <v>988076.25</v>
      </c>
      <c r="M235" s="227">
        <f t="shared" si="53"/>
        <v>988076.25</v>
      </c>
      <c r="N235" s="227">
        <f t="shared" si="53"/>
        <v>988076.25</v>
      </c>
      <c r="O235" s="227">
        <f t="shared" si="53"/>
        <v>988076.25</v>
      </c>
      <c r="P235" s="227">
        <f t="shared" si="53"/>
        <v>988076.25</v>
      </c>
      <c r="Q235" s="227">
        <f t="shared" si="53"/>
        <v>988076.25</v>
      </c>
      <c r="R235" s="227">
        <f>SUM(D235:Q235)</f>
        <v>10868838.75</v>
      </c>
      <c r="S235" s="180">
        <f>O235</f>
        <v>988076.25</v>
      </c>
      <c r="T235" s="180">
        <f>S235</f>
        <v>988076.25</v>
      </c>
      <c r="U235" s="180"/>
      <c r="V235" s="180"/>
      <c r="W235" s="180"/>
      <c r="X235" s="180"/>
      <c r="Y235" s="180"/>
      <c r="Z235" s="180"/>
      <c r="AA235" s="180"/>
      <c r="AB235" s="180"/>
      <c r="AC235" s="180"/>
      <c r="AD235" s="180"/>
    </row>
    <row r="236" spans="1:30" ht="15.75" customHeight="1">
      <c r="A236" s="928" t="s">
        <v>1717</v>
      </c>
      <c r="B236" s="928"/>
      <c r="C236" s="928"/>
      <c r="D236" s="929">
        <f t="shared" ref="D236:Q236" si="54">D234+D235</f>
        <v>0</v>
      </c>
      <c r="E236" s="929">
        <f t="shared" si="54"/>
        <v>0</v>
      </c>
      <c r="F236" s="929">
        <f t="shared" si="54"/>
        <v>0</v>
      </c>
      <c r="G236" s="929">
        <f t="shared" si="54"/>
        <v>988076.25</v>
      </c>
      <c r="H236" s="929">
        <f t="shared" si="54"/>
        <v>1976152.5</v>
      </c>
      <c r="I236" s="929">
        <f t="shared" si="54"/>
        <v>2964228.75</v>
      </c>
      <c r="J236" s="929">
        <f t="shared" si="54"/>
        <v>3952305</v>
      </c>
      <c r="K236" s="929">
        <f t="shared" si="54"/>
        <v>4940381.25</v>
      </c>
      <c r="L236" s="929">
        <f t="shared" si="54"/>
        <v>5928457.5</v>
      </c>
      <c r="M236" s="929">
        <f t="shared" si="54"/>
        <v>6916533.75</v>
      </c>
      <c r="N236" s="929">
        <f t="shared" si="54"/>
        <v>7904610</v>
      </c>
      <c r="O236" s="929">
        <f t="shared" si="54"/>
        <v>8892686.25</v>
      </c>
      <c r="P236" s="929">
        <f t="shared" si="54"/>
        <v>9880762.5</v>
      </c>
      <c r="Q236" s="929">
        <f t="shared" si="54"/>
        <v>10868838.75</v>
      </c>
      <c r="R236" s="929"/>
      <c r="S236" s="180">
        <f t="shared" ref="S236:T236" si="55">S234+S235</f>
        <v>9880762.5</v>
      </c>
      <c r="T236" s="180">
        <f t="shared" si="55"/>
        <v>10868838.75</v>
      </c>
      <c r="U236" s="180"/>
      <c r="V236" s="180"/>
      <c r="W236" s="180"/>
      <c r="X236" s="180"/>
      <c r="Y236" s="180"/>
      <c r="Z236" s="180"/>
      <c r="AA236" s="180"/>
      <c r="AB236" s="180"/>
      <c r="AC236" s="180"/>
      <c r="AD236" s="180"/>
    </row>
    <row r="237" spans="1:30" ht="15.75" customHeight="1">
      <c r="A237" s="26"/>
      <c r="B237" s="26"/>
      <c r="C237" s="26"/>
      <c r="D237" s="227"/>
      <c r="E237" s="227"/>
      <c r="F237" s="227"/>
      <c r="G237" s="227"/>
      <c r="H237" s="227"/>
      <c r="I237" s="227"/>
      <c r="J237" s="227"/>
      <c r="K237" s="227"/>
      <c r="L237" s="227"/>
      <c r="M237" s="227"/>
      <c r="N237" s="227"/>
      <c r="O237" s="227"/>
      <c r="P237" s="227"/>
      <c r="Q237" s="227"/>
      <c r="R237" s="227"/>
      <c r="S237" s="180"/>
      <c r="T237" s="180"/>
      <c r="U237" s="180"/>
      <c r="V237" s="180"/>
      <c r="W237" s="180"/>
      <c r="X237" s="180"/>
      <c r="Y237" s="180"/>
      <c r="Z237" s="180"/>
      <c r="AA237" s="180"/>
      <c r="AB237" s="180"/>
      <c r="AC237" s="180"/>
      <c r="AD237" s="180"/>
    </row>
    <row r="238" spans="1:30" ht="15.75" customHeight="1">
      <c r="A238" s="925" t="s">
        <v>1718</v>
      </c>
      <c r="B238" s="925"/>
      <c r="C238" s="925"/>
      <c r="D238" s="926">
        <f t="shared" ref="D238:Q238" si="56">D232-D236</f>
        <v>0</v>
      </c>
      <c r="E238" s="926">
        <f t="shared" si="56"/>
        <v>0</v>
      </c>
      <c r="F238" s="926">
        <f t="shared" si="56"/>
        <v>0</v>
      </c>
      <c r="G238" s="926">
        <f t="shared" si="56"/>
        <v>18773448.75</v>
      </c>
      <c r="H238" s="926">
        <f t="shared" si="56"/>
        <v>17785372.5</v>
      </c>
      <c r="I238" s="926">
        <f t="shared" si="56"/>
        <v>16797296.25</v>
      </c>
      <c r="J238" s="926">
        <f t="shared" si="56"/>
        <v>15809220</v>
      </c>
      <c r="K238" s="926">
        <f t="shared" si="56"/>
        <v>14821143.75</v>
      </c>
      <c r="L238" s="926">
        <f t="shared" si="56"/>
        <v>13833067.5</v>
      </c>
      <c r="M238" s="926">
        <f t="shared" si="56"/>
        <v>12844991.25</v>
      </c>
      <c r="N238" s="926">
        <f t="shared" si="56"/>
        <v>11856915</v>
      </c>
      <c r="O238" s="926">
        <f t="shared" si="56"/>
        <v>10868838.75</v>
      </c>
      <c r="P238" s="926">
        <f t="shared" si="56"/>
        <v>9880762.5</v>
      </c>
      <c r="Q238" s="926">
        <f t="shared" si="56"/>
        <v>8892686.25</v>
      </c>
      <c r="R238" s="926"/>
      <c r="S238" s="180">
        <f t="shared" ref="S238:T238" si="57">S232-S236</f>
        <v>9880762.5</v>
      </c>
      <c r="T238" s="180">
        <f t="shared" si="57"/>
        <v>8892686.25</v>
      </c>
      <c r="U238" s="180"/>
      <c r="V238" s="180"/>
      <c r="W238" s="180"/>
      <c r="X238" s="180"/>
      <c r="Y238" s="180"/>
      <c r="Z238" s="180"/>
      <c r="AA238" s="180"/>
      <c r="AB238" s="180"/>
      <c r="AC238" s="180"/>
      <c r="AD238" s="180"/>
    </row>
    <row r="239" spans="1:30" ht="15.75" customHeight="1">
      <c r="A239" s="26"/>
      <c r="B239" s="26"/>
      <c r="C239" s="26"/>
      <c r="D239" s="180"/>
      <c r="E239" s="180"/>
      <c r="F239" s="180"/>
      <c r="G239" s="180"/>
      <c r="H239" s="180"/>
      <c r="I239" s="180"/>
      <c r="J239" s="180"/>
      <c r="K239" s="180"/>
      <c r="L239" s="180"/>
      <c r="M239" s="180"/>
      <c r="N239" s="180"/>
      <c r="O239" s="180"/>
      <c r="P239" s="180"/>
      <c r="Q239" s="180"/>
      <c r="R239" s="180"/>
      <c r="S239" s="180"/>
      <c r="T239" s="180"/>
      <c r="U239" s="180"/>
      <c r="V239" s="180"/>
      <c r="W239" s="180"/>
      <c r="X239" s="180"/>
      <c r="Y239" s="180"/>
      <c r="Z239" s="180"/>
      <c r="AA239" s="180"/>
      <c r="AB239" s="180"/>
      <c r="AC239" s="180"/>
      <c r="AD239" s="180"/>
    </row>
    <row r="240" spans="1:30" ht="15.75" customHeight="1">
      <c r="A240" s="930" t="s">
        <v>1719</v>
      </c>
      <c r="B240" s="931"/>
      <c r="C240" s="931"/>
      <c r="D240" s="932"/>
      <c r="E240" s="933"/>
      <c r="F240" s="934"/>
      <c r="G240" s="934"/>
      <c r="H240" s="934"/>
      <c r="I240" s="934"/>
      <c r="J240" s="934"/>
      <c r="K240" s="934"/>
      <c r="L240" s="934"/>
      <c r="M240" s="934"/>
      <c r="N240" s="934"/>
      <c r="O240" s="934"/>
      <c r="P240" s="934"/>
      <c r="Q240" s="934"/>
      <c r="R240" s="934"/>
      <c r="S240" s="180"/>
      <c r="T240" s="180"/>
      <c r="U240" s="180"/>
      <c r="V240" s="180"/>
      <c r="W240" s="180"/>
      <c r="X240" s="180"/>
      <c r="Y240" s="180"/>
      <c r="Z240" s="180"/>
      <c r="AA240" s="180"/>
      <c r="AB240" s="180"/>
      <c r="AC240" s="180"/>
      <c r="AD240" s="180"/>
    </row>
    <row r="241" spans="1:28" ht="15.75" customHeight="1">
      <c r="A241" s="935" t="s">
        <v>1720</v>
      </c>
      <c r="B241" s="936">
        <f>R219</f>
        <v>0</v>
      </c>
      <c r="C241" s="376"/>
      <c r="D241" s="937" t="s">
        <v>1721</v>
      </c>
      <c r="E241" s="938">
        <f>$C$206</f>
        <v>0</v>
      </c>
      <c r="F241" s="180"/>
      <c r="G241" s="180"/>
      <c r="H241" s="180"/>
      <c r="I241" s="180"/>
      <c r="J241" s="180"/>
      <c r="K241" s="180"/>
      <c r="L241" s="180"/>
      <c r="M241" s="180"/>
      <c r="N241" s="180"/>
      <c r="O241" s="180"/>
      <c r="P241" s="180"/>
      <c r="Q241" s="180"/>
      <c r="R241" s="180"/>
      <c r="S241" s="180"/>
      <c r="T241" s="180"/>
      <c r="U241" s="180"/>
      <c r="V241" s="180"/>
      <c r="W241" s="180"/>
      <c r="X241" s="180"/>
      <c r="Y241" s="180"/>
      <c r="Z241" s="180"/>
      <c r="AA241" s="180"/>
      <c r="AB241" s="180"/>
    </row>
    <row r="242" spans="1:28" ht="15.75" customHeight="1">
      <c r="A242" s="935" t="s">
        <v>1722</v>
      </c>
      <c r="B242" s="936">
        <f>R218</f>
        <v>19761525</v>
      </c>
      <c r="C242" s="376" t="s">
        <v>1723</v>
      </c>
      <c r="D242" s="937">
        <f>$C$201</f>
        <v>19761525</v>
      </c>
      <c r="E242" s="938" t="str">
        <f>IF(B242=D242,"✓ OK","✗ CHECK")</f>
        <v>✓ OK</v>
      </c>
      <c r="F242" s="180"/>
      <c r="G242" s="180"/>
      <c r="H242" s="180"/>
      <c r="I242" s="180"/>
      <c r="J242" s="180"/>
      <c r="K242" s="180"/>
      <c r="L242" s="180"/>
      <c r="M242" s="180"/>
      <c r="N242" s="180"/>
      <c r="O242" s="180"/>
      <c r="P242" s="180"/>
      <c r="Q242" s="180"/>
      <c r="R242" s="180"/>
      <c r="S242" s="180"/>
      <c r="T242" s="180"/>
      <c r="U242" s="180"/>
      <c r="V242" s="180"/>
      <c r="W242" s="180"/>
      <c r="X242" s="180"/>
      <c r="Y242" s="180"/>
      <c r="Z242" s="180"/>
      <c r="AA242" s="180"/>
      <c r="AB242" s="180"/>
    </row>
    <row r="243" spans="1:28" ht="15.75" customHeight="1">
      <c r="A243" s="935" t="s">
        <v>1724</v>
      </c>
      <c r="B243" s="936">
        <f>R227</f>
        <v>20580525</v>
      </c>
      <c r="C243" s="376"/>
      <c r="D243" s="937"/>
      <c r="E243" s="938"/>
      <c r="F243" s="180"/>
      <c r="G243" s="180"/>
      <c r="H243" s="180"/>
      <c r="I243" s="180"/>
      <c r="J243" s="180"/>
      <c r="K243" s="180"/>
      <c r="L243" s="180"/>
      <c r="M243" s="180"/>
      <c r="N243" s="180"/>
      <c r="O243" s="180"/>
      <c r="P243" s="180"/>
      <c r="Q243" s="180"/>
      <c r="R243" s="180"/>
      <c r="S243" s="180"/>
      <c r="T243" s="180"/>
      <c r="U243" s="180"/>
      <c r="V243" s="180"/>
      <c r="W243" s="180"/>
      <c r="X243" s="180"/>
      <c r="Y243" s="180"/>
      <c r="Z243" s="180"/>
      <c r="AA243" s="180"/>
      <c r="AB243" s="180"/>
    </row>
    <row r="244" spans="1:28" ht="15.75" customHeight="1">
      <c r="A244" s="935" t="s">
        <v>1725</v>
      </c>
      <c r="B244" s="936">
        <f>O221</f>
        <v>0</v>
      </c>
      <c r="C244" s="376" t="s">
        <v>1726</v>
      </c>
      <c r="D244" s="937" t="str">
        <f>IF(B244=0,"✓ Cleared","✗ Check")</f>
        <v>✓ Cleared</v>
      </c>
      <c r="E244" s="938"/>
      <c r="F244" s="180"/>
      <c r="G244" s="180"/>
      <c r="H244" s="180"/>
      <c r="I244" s="180"/>
      <c r="J244" s="180"/>
      <c r="K244" s="180"/>
      <c r="L244" s="180"/>
      <c r="M244" s="180"/>
      <c r="N244" s="180"/>
      <c r="O244" s="180"/>
      <c r="P244" s="180"/>
      <c r="Q244" s="180"/>
      <c r="R244" s="180"/>
      <c r="S244" s="180"/>
      <c r="T244" s="180"/>
      <c r="U244" s="180"/>
      <c r="V244" s="180"/>
      <c r="W244" s="180"/>
      <c r="X244" s="180"/>
      <c r="Y244" s="180"/>
      <c r="Z244" s="180"/>
      <c r="AA244" s="180"/>
      <c r="AB244" s="180"/>
    </row>
    <row r="245" spans="1:28" ht="15.75" customHeight="1">
      <c r="A245" s="939" t="s">
        <v>1727</v>
      </c>
      <c r="B245" s="940"/>
      <c r="C245" s="940"/>
      <c r="D245" s="941"/>
      <c r="E245" s="942"/>
      <c r="F245" s="943"/>
      <c r="G245" s="943"/>
      <c r="H245" s="943"/>
      <c r="I245" s="943"/>
      <c r="J245" s="943"/>
      <c r="K245" s="943"/>
      <c r="L245" s="943"/>
      <c r="M245" s="943"/>
      <c r="N245" s="943"/>
      <c r="O245" s="943"/>
      <c r="P245" s="943"/>
      <c r="Q245" s="180"/>
      <c r="R245" s="180"/>
      <c r="S245" s="180"/>
      <c r="T245" s="180"/>
      <c r="U245" s="180"/>
      <c r="V245" s="180"/>
      <c r="W245" s="180"/>
      <c r="X245" s="180"/>
      <c r="Y245" s="180"/>
      <c r="Z245" s="180"/>
      <c r="AA245" s="180"/>
      <c r="AB245" s="180"/>
    </row>
    <row r="246" spans="1:28" ht="15.75" customHeight="1"/>
    <row r="247" spans="1:28" ht="15.75" customHeight="1"/>
    <row r="248" spans="1:28" ht="15.75" customHeight="1"/>
    <row r="249" spans="1:28" ht="15.75" customHeight="1"/>
    <row r="250" spans="1:28" ht="15.75" customHeight="1"/>
    <row r="251" spans="1:28" ht="15.75" customHeight="1"/>
    <row r="252" spans="1:28" ht="15.75" customHeight="1"/>
    <row r="253" spans="1:28" ht="15.75" customHeight="1"/>
    <row r="254" spans="1:28" ht="15.75" customHeight="1"/>
    <row r="255" spans="1:28" ht="15.75" customHeight="1"/>
    <row r="256" spans="1:28"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10">
    <mergeCell ref="A41:A43"/>
    <mergeCell ref="I169:J169"/>
    <mergeCell ref="U169:Y169"/>
    <mergeCell ref="K169:O169"/>
    <mergeCell ref="P169:T169"/>
    <mergeCell ref="AB6:AB13"/>
    <mergeCell ref="I22:K22"/>
    <mergeCell ref="L22:O22"/>
    <mergeCell ref="P22:T22"/>
    <mergeCell ref="U22:Y22"/>
  </mergeCells>
  <hyperlinks>
    <hyperlink ref="B41" r:id="rId1" xr:uid="{00000000-0004-0000-0D00-000000000000}"/>
    <hyperlink ref="A144" r:id="rId2" xr:uid="{00000000-0004-0000-0D00-000001000000}"/>
    <hyperlink ref="A165" r:id="rId3" xr:uid="{00000000-0004-0000-0D00-000002000000}"/>
  </hyperlinks>
  <pageMargins left="0.7" right="0.7" top="0.75" bottom="0.75" header="0" footer="0"/>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E699"/>
    <pageSetUpPr fitToPage="1"/>
  </sheetPr>
  <dimension ref="A1:U1000"/>
  <sheetViews>
    <sheetView showGridLines="0" workbookViewId="0">
      <selection activeCell="E27" sqref="E27"/>
    </sheetView>
  </sheetViews>
  <sheetFormatPr defaultColWidth="12.6328125" defaultRowHeight="15" customHeight="1"/>
  <cols>
    <col min="1" max="1" width="34" customWidth="1"/>
    <col min="2" max="2" width="11.6328125" customWidth="1"/>
    <col min="3" max="3" width="14.08984375" customWidth="1"/>
    <col min="4" max="4" width="30" customWidth="1"/>
    <col min="5" max="12" width="20.453125" customWidth="1"/>
    <col min="13" max="21" width="8.90625" customWidth="1"/>
  </cols>
  <sheetData>
    <row r="1" spans="1:21" ht="24" customHeight="1">
      <c r="A1" s="944" t="s">
        <v>1728</v>
      </c>
      <c r="B1" s="26"/>
      <c r="C1" s="26"/>
      <c r="D1" s="26"/>
      <c r="E1" s="26"/>
      <c r="F1" s="26"/>
      <c r="G1" s="26"/>
      <c r="H1" s="26"/>
      <c r="I1" s="26"/>
      <c r="J1" s="26"/>
      <c r="K1" s="26"/>
      <c r="L1" s="26"/>
      <c r="M1" s="26"/>
      <c r="N1" s="26"/>
      <c r="O1" s="26"/>
      <c r="P1" s="26"/>
      <c r="Q1" s="26"/>
      <c r="R1" s="26"/>
      <c r="S1" s="26"/>
      <c r="T1" s="26"/>
      <c r="U1" s="26"/>
    </row>
    <row r="2" spans="1:21" ht="16.5" customHeight="1">
      <c r="A2" s="712" t="s">
        <v>1729</v>
      </c>
      <c r="B2" s="26"/>
      <c r="C2" s="26"/>
      <c r="D2" s="26"/>
      <c r="E2" s="26"/>
      <c r="F2" s="26"/>
      <c r="G2" s="26"/>
      <c r="H2" s="26"/>
      <c r="I2" s="26"/>
      <c r="J2" s="26"/>
      <c r="K2" s="26"/>
      <c r="L2" s="26"/>
      <c r="M2" s="26"/>
      <c r="N2" s="26"/>
      <c r="O2" s="26"/>
      <c r="P2" s="26"/>
      <c r="Q2" s="26"/>
      <c r="R2" s="26"/>
      <c r="S2" s="26"/>
      <c r="T2" s="26"/>
      <c r="U2" s="26"/>
    </row>
    <row r="3" spans="1:21" ht="24" customHeight="1">
      <c r="A3" s="26"/>
      <c r="B3" s="26"/>
      <c r="C3" s="26"/>
      <c r="D3" s="26"/>
      <c r="E3" s="26"/>
      <c r="F3" s="26"/>
      <c r="G3" s="26"/>
      <c r="H3" s="26"/>
      <c r="I3" s="26"/>
      <c r="J3" s="26"/>
      <c r="K3" s="26"/>
      <c r="L3" s="26"/>
      <c r="M3" s="26"/>
      <c r="T3" s="26"/>
      <c r="U3" s="26"/>
    </row>
    <row r="4" spans="1:21" ht="15" customHeight="1">
      <c r="A4" s="945" t="s">
        <v>1730</v>
      </c>
      <c r="B4" s="946" t="s">
        <v>1731</v>
      </c>
      <c r="C4" s="26"/>
      <c r="D4" s="1430" t="s">
        <v>1732</v>
      </c>
      <c r="E4" s="1431"/>
      <c r="F4" s="1431"/>
      <c r="G4" s="1431"/>
      <c r="H4" s="1431"/>
      <c r="I4" s="1431"/>
      <c r="J4" s="1431"/>
      <c r="K4" s="1431"/>
      <c r="L4" s="1432"/>
      <c r="M4" s="26"/>
      <c r="T4" s="26"/>
      <c r="U4" s="26"/>
    </row>
    <row r="5" spans="1:21" ht="15" customHeight="1">
      <c r="A5" s="947" t="s">
        <v>1733</v>
      </c>
      <c r="B5" s="948"/>
      <c r="C5" s="26"/>
      <c r="D5" s="949" t="s">
        <v>113</v>
      </c>
      <c r="E5" s="950" t="s">
        <v>1734</v>
      </c>
      <c r="F5" s="950" t="s">
        <v>1735</v>
      </c>
      <c r="G5" s="950" t="s">
        <v>1736</v>
      </c>
      <c r="H5" s="950" t="s">
        <v>1737</v>
      </c>
      <c r="I5" s="950" t="s">
        <v>1738</v>
      </c>
      <c r="J5" s="950" t="s">
        <v>1739</v>
      </c>
      <c r="K5" s="950" t="s">
        <v>1740</v>
      </c>
      <c r="L5" s="950" t="s">
        <v>1741</v>
      </c>
      <c r="M5" s="26"/>
      <c r="T5" s="26"/>
      <c r="U5" s="26"/>
    </row>
    <row r="6" spans="1:21" ht="15" customHeight="1">
      <c r="A6" s="24" t="s">
        <v>1309</v>
      </c>
      <c r="B6" s="951">
        <f>Inputs!E495</f>
        <v>1</v>
      </c>
      <c r="C6" s="176"/>
      <c r="D6" s="952" t="s">
        <v>1731</v>
      </c>
      <c r="E6" s="953">
        <v>1</v>
      </c>
      <c r="F6" s="953">
        <v>1</v>
      </c>
      <c r="G6" s="954">
        <v>0</v>
      </c>
      <c r="H6" s="954">
        <v>0</v>
      </c>
      <c r="I6" s="953">
        <v>1</v>
      </c>
      <c r="J6" s="953">
        <v>1</v>
      </c>
      <c r="K6" s="953">
        <v>1</v>
      </c>
      <c r="L6" s="955">
        <v>120</v>
      </c>
      <c r="M6" s="26"/>
      <c r="T6" s="26"/>
      <c r="U6" s="26"/>
    </row>
    <row r="7" spans="1:21" ht="15" customHeight="1">
      <c r="A7" s="24" t="s">
        <v>1311</v>
      </c>
      <c r="B7" s="951">
        <f>Inputs!E496</f>
        <v>1</v>
      </c>
      <c r="C7" s="176"/>
      <c r="D7" s="952" t="s">
        <v>1742</v>
      </c>
      <c r="E7" s="953">
        <v>1.1000000000000001</v>
      </c>
      <c r="F7" s="953">
        <v>0.95</v>
      </c>
      <c r="G7" s="954">
        <v>0</v>
      </c>
      <c r="H7" s="954">
        <v>0</v>
      </c>
      <c r="I7" s="953">
        <v>0.95</v>
      </c>
      <c r="J7" s="953">
        <v>0.95</v>
      </c>
      <c r="K7" s="953">
        <v>1.25</v>
      </c>
      <c r="L7" s="955">
        <v>150</v>
      </c>
      <c r="M7" s="26"/>
      <c r="T7" s="26"/>
      <c r="U7" s="26"/>
    </row>
    <row r="8" spans="1:21" ht="15" customHeight="1">
      <c r="A8" s="24" t="s">
        <v>1743</v>
      </c>
      <c r="B8" s="956">
        <f>Inputs!E500</f>
        <v>0</v>
      </c>
      <c r="C8" s="176"/>
      <c r="D8" s="952" t="s">
        <v>1744</v>
      </c>
      <c r="E8" s="953">
        <v>0.85</v>
      </c>
      <c r="F8" s="953">
        <v>1.1000000000000001</v>
      </c>
      <c r="G8" s="954">
        <v>0</v>
      </c>
      <c r="H8" s="954">
        <v>0</v>
      </c>
      <c r="I8" s="953">
        <v>1.1000000000000001</v>
      </c>
      <c r="J8" s="953">
        <v>1.05</v>
      </c>
      <c r="K8" s="953">
        <v>0.75</v>
      </c>
      <c r="L8" s="955">
        <v>90</v>
      </c>
      <c r="M8" s="26"/>
      <c r="T8" s="26"/>
      <c r="U8" s="26"/>
    </row>
    <row r="9" spans="1:21" ht="15" customHeight="1">
      <c r="A9" s="24" t="s">
        <v>1745</v>
      </c>
      <c r="B9" s="956">
        <f>Inputs!E501</f>
        <v>0</v>
      </c>
      <c r="C9" s="176"/>
      <c r="D9" s="952" t="s">
        <v>1746</v>
      </c>
      <c r="E9" s="953">
        <v>1</v>
      </c>
      <c r="F9" s="953">
        <v>1</v>
      </c>
      <c r="G9" s="954">
        <v>3</v>
      </c>
      <c r="H9" s="954">
        <v>0</v>
      </c>
      <c r="I9" s="953">
        <v>1</v>
      </c>
      <c r="J9" s="953">
        <v>1</v>
      </c>
      <c r="K9" s="953">
        <v>1</v>
      </c>
      <c r="L9" s="955">
        <v>120</v>
      </c>
      <c r="M9" s="26"/>
      <c r="T9" s="26"/>
      <c r="U9" s="26"/>
    </row>
    <row r="10" spans="1:21" ht="15" customHeight="1">
      <c r="A10" s="24" t="s">
        <v>1312</v>
      </c>
      <c r="B10" s="951">
        <f>Inputs!E497</f>
        <v>1</v>
      </c>
      <c r="C10" s="176"/>
      <c r="D10" s="952" t="s">
        <v>1747</v>
      </c>
      <c r="E10" s="953">
        <v>1</v>
      </c>
      <c r="F10" s="953">
        <v>1</v>
      </c>
      <c r="G10" s="954">
        <v>6</v>
      </c>
      <c r="H10" s="954">
        <v>0</v>
      </c>
      <c r="I10" s="953">
        <v>1</v>
      </c>
      <c r="J10" s="953">
        <v>1</v>
      </c>
      <c r="K10" s="953">
        <v>1</v>
      </c>
      <c r="L10" s="955">
        <v>120</v>
      </c>
      <c r="M10" s="26"/>
      <c r="T10" s="26"/>
      <c r="U10" s="26"/>
    </row>
    <row r="11" spans="1:21" ht="15" customHeight="1">
      <c r="A11" s="24" t="s">
        <v>1313</v>
      </c>
      <c r="B11" s="951">
        <f>Inputs!E498</f>
        <v>1</v>
      </c>
      <c r="C11" s="176"/>
      <c r="D11" s="952" t="s">
        <v>1748</v>
      </c>
      <c r="E11" s="953">
        <v>1</v>
      </c>
      <c r="F11" s="953">
        <v>1</v>
      </c>
      <c r="G11" s="954">
        <v>0</v>
      </c>
      <c r="H11" s="954">
        <v>0</v>
      </c>
      <c r="I11" s="953">
        <v>1.1000000000000001</v>
      </c>
      <c r="J11" s="953">
        <v>1</v>
      </c>
      <c r="K11" s="953">
        <v>1</v>
      </c>
      <c r="L11" s="955">
        <v>120</v>
      </c>
      <c r="M11" s="26"/>
      <c r="T11" s="26"/>
      <c r="U11" s="26"/>
    </row>
    <row r="12" spans="1:21" ht="15" customHeight="1">
      <c r="A12" s="24" t="s">
        <v>1314</v>
      </c>
      <c r="B12" s="951">
        <f>Inputs!E499</f>
        <v>1</v>
      </c>
      <c r="C12" s="176"/>
      <c r="D12" s="952" t="s">
        <v>1749</v>
      </c>
      <c r="E12" s="953">
        <v>1</v>
      </c>
      <c r="F12" s="953">
        <v>1</v>
      </c>
      <c r="G12" s="954">
        <v>0</v>
      </c>
      <c r="H12" s="954">
        <v>0</v>
      </c>
      <c r="I12" s="953">
        <v>1.2</v>
      </c>
      <c r="J12" s="953">
        <v>1</v>
      </c>
      <c r="K12" s="953">
        <v>1</v>
      </c>
      <c r="L12" s="955">
        <v>120</v>
      </c>
      <c r="M12" s="26"/>
      <c r="T12" s="26"/>
      <c r="U12" s="26"/>
    </row>
    <row r="13" spans="1:21" ht="15" customHeight="1">
      <c r="A13" s="140"/>
      <c r="B13" s="176"/>
      <c r="C13" s="176"/>
      <c r="D13" s="952" t="s">
        <v>1750</v>
      </c>
      <c r="E13" s="953">
        <v>0.9</v>
      </c>
      <c r="F13" s="953">
        <v>1</v>
      </c>
      <c r="G13" s="954">
        <v>0</v>
      </c>
      <c r="H13" s="954">
        <v>0</v>
      </c>
      <c r="I13" s="953">
        <v>1</v>
      </c>
      <c r="J13" s="953">
        <v>1</v>
      </c>
      <c r="K13" s="953">
        <v>1</v>
      </c>
      <c r="L13" s="955">
        <v>120</v>
      </c>
      <c r="M13" s="26"/>
      <c r="T13" s="26"/>
      <c r="U13" s="26"/>
    </row>
    <row r="14" spans="1:21" ht="15" customHeight="1">
      <c r="A14" s="140"/>
      <c r="B14" s="176"/>
      <c r="C14" s="176"/>
      <c r="D14" s="176"/>
      <c r="E14" s="176"/>
      <c r="F14" s="176"/>
      <c r="G14" s="176"/>
      <c r="H14" s="176"/>
      <c r="I14" s="176"/>
      <c r="J14" s="176"/>
      <c r="K14" s="176"/>
      <c r="L14" s="176"/>
      <c r="M14" s="26"/>
      <c r="T14" s="26"/>
      <c r="U14" s="26"/>
    </row>
    <row r="15" spans="1:21" ht="15" customHeight="1">
      <c r="A15" s="957" t="s">
        <v>1751</v>
      </c>
      <c r="B15" s="958"/>
      <c r="C15" s="958"/>
      <c r="D15" s="958"/>
      <c r="E15" s="958"/>
      <c r="F15" s="958"/>
      <c r="G15" s="176"/>
      <c r="H15" s="959" t="s">
        <v>1752</v>
      </c>
      <c r="I15" s="958"/>
      <c r="J15" s="958"/>
      <c r="K15" s="958"/>
      <c r="L15" s="958"/>
      <c r="M15" s="26"/>
      <c r="T15" s="26"/>
      <c r="U15" s="26"/>
    </row>
    <row r="16" spans="1:21" ht="15" customHeight="1">
      <c r="A16" s="947" t="s">
        <v>211</v>
      </c>
      <c r="B16" s="183" t="s">
        <v>1753</v>
      </c>
      <c r="C16" s="183" t="s">
        <v>1754</v>
      </c>
      <c r="D16" s="1556" t="s">
        <v>1755</v>
      </c>
      <c r="E16" s="1556" t="s">
        <v>1756</v>
      </c>
      <c r="F16" s="1556" t="s">
        <v>1757</v>
      </c>
      <c r="G16" s="176"/>
      <c r="H16" s="183" t="s">
        <v>113</v>
      </c>
      <c r="I16" s="183" t="s">
        <v>1758</v>
      </c>
      <c r="J16" s="183" t="s">
        <v>115</v>
      </c>
      <c r="K16" s="183" t="s">
        <v>1759</v>
      </c>
      <c r="L16" s="183" t="s">
        <v>117</v>
      </c>
      <c r="M16" s="26"/>
      <c r="T16" s="26"/>
      <c r="U16" s="26"/>
    </row>
    <row r="17" spans="1:12" ht="15" customHeight="1">
      <c r="A17" s="140" t="s">
        <v>1760</v>
      </c>
      <c r="B17" s="960">
        <f>IFERROR(Dashboard!N7/B6,Dashboard!N7)</f>
        <v>24417930.216067705</v>
      </c>
      <c r="C17" s="1553">
        <f>Dashboard!N7</f>
        <v>24417930.216067705</v>
      </c>
      <c r="D17" s="1553">
        <f t="shared" ref="D17:D22" si="0">C17-B17</f>
        <v>0</v>
      </c>
      <c r="E17" s="1557">
        <f t="shared" ref="E17:E22" si="1">IFERROR(D17/B17,0)</f>
        <v>0</v>
      </c>
      <c r="F17" s="409" t="str">
        <f t="shared" ref="F17:F20" si="2">IF(E17&gt;0.02,"▲ Up",IF(E17&lt;-0.02,"▼ Down","◆ Same"))</f>
        <v>◆ Same</v>
      </c>
      <c r="G17" s="176"/>
      <c r="H17" s="176" t="s">
        <v>1731</v>
      </c>
      <c r="I17" s="890">
        <v>0</v>
      </c>
      <c r="J17" s="890">
        <v>0</v>
      </c>
      <c r="K17" s="176" t="s">
        <v>1761</v>
      </c>
      <c r="L17" s="176" t="s">
        <v>1762</v>
      </c>
    </row>
    <row r="18" spans="1:12" ht="15" customHeight="1">
      <c r="A18" s="140" t="s">
        <v>1763</v>
      </c>
      <c r="B18" s="960">
        <f>IFERROR(Dashboard!N7/B6 - (Dashboard!N7-Dashboard!N8)/B7, Dashboard!N8)</f>
        <v>12008306.676067084</v>
      </c>
      <c r="C18" s="1553">
        <f>Dashboard!N8</f>
        <v>12008306.676067084</v>
      </c>
      <c r="D18" s="1553">
        <f t="shared" si="0"/>
        <v>0</v>
      </c>
      <c r="E18" s="1557">
        <f t="shared" si="1"/>
        <v>0</v>
      </c>
      <c r="F18" s="409" t="str">
        <f t="shared" si="2"/>
        <v>◆ Same</v>
      </c>
      <c r="G18" s="176"/>
      <c r="H18" s="176" t="s">
        <v>1742</v>
      </c>
      <c r="I18" s="890">
        <v>0.1</v>
      </c>
      <c r="J18" s="890">
        <v>-0.05</v>
      </c>
      <c r="K18" s="184">
        <f>3-5%</f>
        <v>2.95</v>
      </c>
      <c r="L18" s="176" t="s">
        <v>1764</v>
      </c>
    </row>
    <row r="19" spans="1:12" ht="15" customHeight="1">
      <c r="A19" s="140" t="s">
        <v>221</v>
      </c>
      <c r="B19" s="961">
        <f>Valuations!C20</f>
        <v>0.24794586632771631</v>
      </c>
      <c r="C19" s="1554">
        <f>Valuations!C20</f>
        <v>0.24794586632771631</v>
      </c>
      <c r="D19" s="1554">
        <f t="shared" si="0"/>
        <v>0</v>
      </c>
      <c r="E19" s="1557">
        <f t="shared" si="1"/>
        <v>0</v>
      </c>
      <c r="F19" s="409" t="str">
        <f t="shared" si="2"/>
        <v>◆ Same</v>
      </c>
      <c r="G19" s="176"/>
      <c r="H19" s="176" t="s">
        <v>1744</v>
      </c>
      <c r="I19" s="890">
        <v>-0.15</v>
      </c>
      <c r="J19" s="890">
        <v>0.1</v>
      </c>
      <c r="K19" s="184">
        <f>-5-8%</f>
        <v>-5.08</v>
      </c>
      <c r="L19" s="176" t="s">
        <v>1765</v>
      </c>
    </row>
    <row r="20" spans="1:12" ht="15" customHeight="1">
      <c r="A20" s="140" t="s">
        <v>223</v>
      </c>
      <c r="B20" s="961">
        <f>Valuations!C22</f>
        <v>0.33284790951683618</v>
      </c>
      <c r="C20" s="1554">
        <f>Valuations!C22</f>
        <v>0.33284790951683618</v>
      </c>
      <c r="D20" s="1554">
        <f t="shared" si="0"/>
        <v>0</v>
      </c>
      <c r="E20" s="1557">
        <f t="shared" si="1"/>
        <v>0</v>
      </c>
      <c r="F20" s="409" t="str">
        <f t="shared" si="2"/>
        <v>◆ Same</v>
      </c>
      <c r="G20" s="176"/>
      <c r="H20" s="176" t="s">
        <v>1766</v>
      </c>
      <c r="I20" s="890">
        <v>0</v>
      </c>
      <c r="J20" s="890">
        <v>0</v>
      </c>
      <c r="K20" s="184">
        <f>-1-2%</f>
        <v>-1.02</v>
      </c>
      <c r="L20" s="176" t="s">
        <v>1767</v>
      </c>
    </row>
    <row r="21" spans="1:12" ht="15.75" customHeight="1">
      <c r="A21" s="140" t="s">
        <v>251</v>
      </c>
      <c r="B21" s="960">
        <f>Inputs!E159</f>
        <v>19761525</v>
      </c>
      <c r="C21" s="1553">
        <f>Inputs!E159*B10</f>
        <v>19761525</v>
      </c>
      <c r="D21" s="1553">
        <f t="shared" si="0"/>
        <v>0</v>
      </c>
      <c r="E21" s="1557">
        <f t="shared" si="1"/>
        <v>0</v>
      </c>
      <c r="F21" s="409" t="str">
        <f>IF(E21&gt;0.02,"▼ Up (Bad)",IF(E21&lt;-0.02,"▲ Down (Good)","◆ Same"))</f>
        <v>◆ Same</v>
      </c>
      <c r="G21" s="176"/>
      <c r="H21" s="176" t="s">
        <v>1768</v>
      </c>
      <c r="I21" s="890">
        <v>0</v>
      </c>
      <c r="J21" s="890">
        <v>0</v>
      </c>
      <c r="K21" s="184">
        <f>-2-4%</f>
        <v>-2.04</v>
      </c>
      <c r="L21" s="176" t="s">
        <v>1765</v>
      </c>
    </row>
    <row r="22" spans="1:12" ht="15.75" customHeight="1">
      <c r="A22" s="140" t="s">
        <v>1769</v>
      </c>
      <c r="B22" s="962">
        <f>Dashboard!F11</f>
        <v>3.7480650108967009</v>
      </c>
      <c r="C22" s="153">
        <f>Dashboard!F11</f>
        <v>3.7480650108967009</v>
      </c>
      <c r="D22" s="153">
        <f t="shared" si="0"/>
        <v>0</v>
      </c>
      <c r="E22" s="1557">
        <f t="shared" si="1"/>
        <v>0</v>
      </c>
      <c r="F22" s="409" t="str">
        <f>IF(E22&gt;0.02,"▲ Up",IF(E22&lt;-0.02,"▼ Down","◆ Same"))</f>
        <v>◆ Same</v>
      </c>
      <c r="G22" s="176"/>
      <c r="H22" s="176" t="s">
        <v>1770</v>
      </c>
      <c r="I22" s="890">
        <v>0</v>
      </c>
      <c r="J22" s="890">
        <v>0.1</v>
      </c>
      <c r="K22" s="184">
        <f>-2-3%</f>
        <v>-2.0299999999999998</v>
      </c>
      <c r="L22" s="176" t="s">
        <v>1767</v>
      </c>
    </row>
    <row r="23" spans="1:12" ht="15.75" customHeight="1">
      <c r="A23" s="140" t="s">
        <v>227</v>
      </c>
      <c r="B23" s="963" t="str">
        <f>Valuations!C25</f>
        <v>FY30</v>
      </c>
      <c r="C23" s="1555" t="str">
        <f>Valuations!C25</f>
        <v>FY30</v>
      </c>
      <c r="D23" s="409">
        <f>IFERROR(VALUE(RIGHT(C23,2))-VALUE(RIGHT(B23,2)),0)</f>
        <v>0</v>
      </c>
      <c r="E23" s="409" t="str">
        <f>"N/A"</f>
        <v>N/A</v>
      </c>
      <c r="F23" s="409" t="str">
        <f>"-"</f>
        <v>-</v>
      </c>
      <c r="G23" s="176"/>
      <c r="H23" s="176" t="s">
        <v>1771</v>
      </c>
      <c r="I23" s="890">
        <v>0</v>
      </c>
      <c r="J23" s="890">
        <v>0.2</v>
      </c>
      <c r="K23" s="184">
        <f>-4-5%</f>
        <v>-4.05</v>
      </c>
      <c r="L23" s="176" t="s">
        <v>1765</v>
      </c>
    </row>
    <row r="24" spans="1:12" ht="15.75" customHeight="1">
      <c r="A24" s="140" t="s">
        <v>1772</v>
      </c>
      <c r="B24" s="964">
        <f>Inputs!E510</f>
        <v>1</v>
      </c>
      <c r="C24" s="176"/>
      <c r="D24" s="176"/>
      <c r="E24" s="176"/>
      <c r="F24" s="176"/>
      <c r="G24" s="176"/>
      <c r="H24" s="176" t="s">
        <v>1773</v>
      </c>
      <c r="I24" s="890">
        <v>-0.1</v>
      </c>
      <c r="J24" s="890">
        <v>0</v>
      </c>
      <c r="K24" s="184">
        <f>-2-3%</f>
        <v>-2.0299999999999998</v>
      </c>
      <c r="L24" s="176" t="s">
        <v>1767</v>
      </c>
    </row>
    <row r="25" spans="1:12" ht="15.75" customHeight="1">
      <c r="A25" s="143" t="s">
        <v>1774</v>
      </c>
      <c r="B25" s="965"/>
      <c r="C25" s="26"/>
      <c r="D25" s="26"/>
      <c r="E25" s="26"/>
      <c r="F25" s="26"/>
      <c r="G25" s="26"/>
      <c r="H25" s="26"/>
      <c r="I25" s="26"/>
      <c r="J25" s="26"/>
      <c r="K25" s="26"/>
      <c r="L25" s="26"/>
    </row>
    <row r="26" spans="1:12" ht="15.75" customHeight="1">
      <c r="A26" s="209" t="s">
        <v>1775</v>
      </c>
      <c r="B26" s="209" t="s">
        <v>212</v>
      </c>
      <c r="C26" s="26"/>
      <c r="D26" s="26"/>
      <c r="E26" s="26"/>
      <c r="F26" s="26"/>
      <c r="G26" s="26"/>
      <c r="H26" s="26"/>
      <c r="I26" s="26"/>
      <c r="J26" s="26"/>
      <c r="K26" s="26"/>
      <c r="L26" s="26"/>
    </row>
    <row r="27" spans="1:12" ht="15.75" customHeight="1">
      <c r="A27" s="26" t="s">
        <v>1322</v>
      </c>
      <c r="B27" s="966">
        <f>Inputs!E505</f>
        <v>1</v>
      </c>
      <c r="C27" s="26"/>
      <c r="D27" s="26"/>
      <c r="E27" s="26"/>
      <c r="F27" s="26"/>
      <c r="G27" s="26"/>
      <c r="H27" s="26"/>
      <c r="I27" s="26"/>
      <c r="J27" s="26"/>
      <c r="K27" s="26"/>
      <c r="L27" s="26"/>
    </row>
    <row r="28" spans="1:12" ht="15.75" customHeight="1">
      <c r="A28" s="26" t="s">
        <v>1324</v>
      </c>
      <c r="B28" s="966">
        <f>Inputs!E506</f>
        <v>1</v>
      </c>
      <c r="C28" s="26"/>
      <c r="D28" s="26"/>
      <c r="E28" s="26"/>
      <c r="F28" s="26"/>
      <c r="G28" s="26"/>
      <c r="H28" s="26"/>
      <c r="I28" s="26"/>
      <c r="J28" s="26"/>
      <c r="K28" s="26"/>
      <c r="L28" s="26"/>
    </row>
    <row r="29" spans="1:12" ht="15.75" customHeight="1">
      <c r="A29" s="26" t="s">
        <v>1326</v>
      </c>
      <c r="B29" s="966">
        <f>Inputs!E507</f>
        <v>1</v>
      </c>
      <c r="C29" s="26"/>
      <c r="D29" s="26"/>
      <c r="E29" s="26"/>
      <c r="F29" s="26"/>
      <c r="G29" s="26"/>
      <c r="H29" s="26"/>
      <c r="I29" s="26"/>
      <c r="J29" s="26"/>
      <c r="K29" s="26"/>
      <c r="L29" s="26"/>
    </row>
    <row r="30" spans="1:12" ht="15.75" customHeight="1">
      <c r="A30" s="26" t="s">
        <v>1776</v>
      </c>
      <c r="B30" s="966">
        <f>Inputs!E497</f>
        <v>1</v>
      </c>
      <c r="C30" s="26"/>
      <c r="D30" s="26"/>
      <c r="E30" s="26"/>
      <c r="F30" s="26"/>
      <c r="G30" s="26"/>
      <c r="H30" s="26"/>
      <c r="I30" s="26"/>
      <c r="J30" s="26"/>
      <c r="K30" s="26"/>
      <c r="L30" s="26"/>
    </row>
    <row r="31" spans="1:12" ht="15.75" customHeight="1">
      <c r="A31" s="26" t="s">
        <v>1328</v>
      </c>
      <c r="B31" s="966">
        <f>Inputs!E508</f>
        <v>1</v>
      </c>
      <c r="C31" s="26"/>
      <c r="D31" s="26"/>
      <c r="E31" s="26"/>
      <c r="F31" s="26"/>
      <c r="G31" s="26"/>
      <c r="H31" s="26"/>
      <c r="I31" s="26"/>
      <c r="J31" s="26"/>
      <c r="K31" s="26"/>
      <c r="L31" s="26"/>
    </row>
    <row r="32" spans="1:12" ht="15.75" customHeight="1">
      <c r="A32" s="26" t="s">
        <v>1330</v>
      </c>
      <c r="B32" s="966">
        <f>Inputs!E509</f>
        <v>1</v>
      </c>
      <c r="C32" s="26"/>
      <c r="D32" s="26"/>
      <c r="E32" s="26"/>
      <c r="F32" s="26"/>
      <c r="G32" s="26"/>
      <c r="H32" s="26"/>
      <c r="I32" s="26"/>
      <c r="J32" s="26"/>
      <c r="K32" s="26"/>
      <c r="L32" s="26"/>
    </row>
    <row r="33" spans="1:12" ht="15.75" customHeight="1">
      <c r="A33" s="26" t="s">
        <v>1332</v>
      </c>
      <c r="B33" s="966">
        <f>Inputs!E510</f>
        <v>1</v>
      </c>
      <c r="C33" s="26"/>
      <c r="D33" s="26"/>
      <c r="E33" s="26"/>
      <c r="F33" s="26"/>
      <c r="G33" s="26"/>
      <c r="H33" s="26"/>
      <c r="I33" s="26"/>
      <c r="J33" s="26"/>
      <c r="K33" s="26"/>
      <c r="L33" s="26"/>
    </row>
    <row r="34" spans="1:12" ht="15.75" customHeight="1">
      <c r="A34" s="26"/>
      <c r="B34" s="26"/>
      <c r="C34" s="26"/>
      <c r="D34" s="26"/>
      <c r="E34" s="26"/>
      <c r="F34" s="26"/>
      <c r="G34" s="26"/>
      <c r="H34" s="26"/>
      <c r="I34" s="26"/>
      <c r="J34" s="26"/>
      <c r="K34" s="26"/>
      <c r="L34" s="26"/>
    </row>
    <row r="35" spans="1:12" ht="15.75" customHeight="1">
      <c r="A35" s="143" t="s">
        <v>1777</v>
      </c>
      <c r="B35" s="965"/>
      <c r="C35" s="965"/>
      <c r="D35" s="965"/>
      <c r="E35" s="965"/>
      <c r="F35" s="965"/>
      <c r="G35" s="26"/>
      <c r="H35" s="26"/>
      <c r="I35" s="26"/>
      <c r="J35" s="26"/>
      <c r="K35" s="26"/>
      <c r="L35" s="26"/>
    </row>
    <row r="36" spans="1:12" ht="15.75" customHeight="1">
      <c r="A36" s="156" t="s">
        <v>1778</v>
      </c>
      <c r="B36" s="26"/>
      <c r="C36" s="26"/>
      <c r="D36" s="26"/>
      <c r="E36" s="26"/>
      <c r="F36" s="26"/>
      <c r="G36" s="26"/>
      <c r="H36" s="26"/>
      <c r="I36" s="26"/>
      <c r="J36" s="26"/>
      <c r="K36" s="26"/>
      <c r="L36" s="26"/>
    </row>
    <row r="37" spans="1:12" ht="15.75" customHeight="1">
      <c r="A37" s="156" t="s">
        <v>1779</v>
      </c>
      <c r="B37" s="26"/>
      <c r="C37" s="26"/>
      <c r="D37" s="26"/>
      <c r="E37" s="26"/>
      <c r="F37" s="26"/>
      <c r="G37" s="26"/>
      <c r="H37" s="26"/>
      <c r="I37" s="26"/>
      <c r="J37" s="26"/>
      <c r="K37" s="26"/>
      <c r="L37" s="26"/>
    </row>
    <row r="38" spans="1:12" ht="15.75" customHeight="1">
      <c r="A38" s="156" t="s">
        <v>1780</v>
      </c>
      <c r="B38" s="26"/>
      <c r="C38" s="26"/>
      <c r="D38" s="26"/>
      <c r="E38" s="26"/>
      <c r="F38" s="26"/>
      <c r="G38" s="26"/>
      <c r="H38" s="26"/>
      <c r="I38" s="26"/>
      <c r="J38" s="26"/>
      <c r="K38" s="26"/>
      <c r="L38" s="26"/>
    </row>
    <row r="39" spans="1:12" ht="15.75" customHeight="1">
      <c r="A39" s="156" t="s">
        <v>1781</v>
      </c>
      <c r="B39" s="26"/>
      <c r="C39" s="26"/>
      <c r="D39" s="26"/>
      <c r="E39" s="26"/>
      <c r="F39" s="26"/>
      <c r="G39" s="26"/>
      <c r="H39" s="26"/>
      <c r="I39" s="26"/>
      <c r="J39" s="26"/>
      <c r="K39" s="26"/>
      <c r="L39" s="26"/>
    </row>
    <row r="40" spans="1:12" ht="15.75" customHeight="1">
      <c r="A40" s="156" t="s">
        <v>1782</v>
      </c>
      <c r="B40" s="26"/>
      <c r="C40" s="26"/>
      <c r="D40" s="26"/>
      <c r="E40" s="26"/>
      <c r="F40" s="26"/>
      <c r="G40" s="26"/>
      <c r="H40" s="26"/>
      <c r="I40" s="26"/>
      <c r="J40" s="26"/>
      <c r="K40" s="26"/>
      <c r="L40" s="26"/>
    </row>
    <row r="41" spans="1:12" ht="15.75" customHeight="1"/>
    <row r="42" spans="1:12" ht="15.75" customHeight="1"/>
    <row r="43" spans="1:12" ht="15.75" customHeight="1"/>
    <row r="44" spans="1:12" ht="15.75" customHeight="1"/>
    <row r="45" spans="1:12" ht="15.75" customHeight="1"/>
    <row r="46" spans="1:12" ht="15.75" customHeight="1"/>
    <row r="47" spans="1:12" ht="15.75" customHeight="1"/>
    <row r="48" spans="1:1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D4:L4"/>
  </mergeCells>
  <dataValidations count="1">
    <dataValidation type="list" allowBlank="1" showErrorMessage="1" sqref="B4" xr:uid="{00000000-0002-0000-0E00-000000000000}">
      <formula1>"Base,Optimistic,Pessimistic,Delayed Opening +3m,Delayed Opening +6m,Higher Capex +10%,Higher Capex +20%,Sponsorship Underperformance"</formula1>
    </dataValidation>
  </dataValidations>
  <pageMargins left="0.25" right="0.25" top="0.35" bottom="0.35" header="0" footer="0"/>
  <pageSetup fitToHeight="0" orientation="landscape"/>
  <headerFooter>
    <oddHeader>&amp;C&amp;A</oddHeader>
    <oddFooter>&amp;CPage &amp;P of</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C6E0B4"/>
    <outlinePr summaryBelow="0" summaryRight="0"/>
  </sheetPr>
  <dimension ref="A1:AB1002"/>
  <sheetViews>
    <sheetView showGridLines="0" workbookViewId="0">
      <pane xSplit="2" ySplit="4" topLeftCell="C17" activePane="bottomRight" state="frozen"/>
      <selection pane="topRight" activeCell="C1" sqref="C1"/>
      <selection pane="bottomLeft" activeCell="A5" sqref="A5"/>
      <selection pane="bottomRight" activeCell="H51" sqref="H51"/>
    </sheetView>
  </sheetViews>
  <sheetFormatPr defaultColWidth="12.6328125" defaultRowHeight="15" customHeight="1"/>
  <cols>
    <col min="1" max="1" width="2.90625" customWidth="1"/>
    <col min="2" max="2" width="41.81640625" customWidth="1"/>
    <col min="3" max="16" width="16" customWidth="1"/>
    <col min="17" max="17" width="18.1796875" customWidth="1"/>
  </cols>
  <sheetData>
    <row r="1" spans="1:28" ht="30" customHeight="1" thickBot="1">
      <c r="A1" s="1488" t="s">
        <v>1783</v>
      </c>
      <c r="B1" s="1567"/>
      <c r="C1" s="1567"/>
      <c r="D1" s="1567"/>
      <c r="E1" s="1567"/>
      <c r="F1" s="1567"/>
      <c r="G1" s="1567"/>
      <c r="H1" s="1567"/>
      <c r="I1" s="1567"/>
      <c r="J1" s="1567"/>
      <c r="K1" s="1567"/>
      <c r="L1" s="1567"/>
      <c r="M1" s="1567"/>
      <c r="N1" s="1567"/>
      <c r="O1" s="1567"/>
      <c r="P1" s="1567"/>
      <c r="Q1" s="1567"/>
      <c r="R1" s="970"/>
      <c r="S1" s="970"/>
      <c r="T1" s="970"/>
      <c r="U1" s="970"/>
      <c r="V1" s="970"/>
      <c r="W1" s="970"/>
      <c r="X1" s="970"/>
      <c r="Y1" s="970"/>
      <c r="Z1" s="970"/>
      <c r="AA1" s="970"/>
      <c r="AB1" s="970"/>
    </row>
    <row r="2" spans="1:28" ht="18" customHeight="1">
      <c r="A2" s="1569" t="s">
        <v>334</v>
      </c>
      <c r="B2" s="1568"/>
      <c r="C2" s="1568"/>
      <c r="D2" s="1568"/>
      <c r="E2" s="1568"/>
      <c r="F2" s="1568"/>
      <c r="G2" s="1568"/>
      <c r="H2" s="1568"/>
      <c r="I2" s="1568"/>
      <c r="J2" s="1568"/>
      <c r="K2" s="1568"/>
      <c r="L2" s="1568"/>
      <c r="M2" s="1568"/>
      <c r="N2" s="1568"/>
      <c r="O2" s="1568"/>
      <c r="P2" s="1568"/>
      <c r="Q2" s="1568"/>
      <c r="R2" s="970"/>
      <c r="S2" s="970"/>
      <c r="T2" s="970"/>
      <c r="U2" s="970"/>
      <c r="V2" s="970"/>
      <c r="W2" s="970"/>
      <c r="X2" s="970"/>
      <c r="Y2" s="970"/>
      <c r="Z2" s="970"/>
      <c r="AA2" s="970"/>
      <c r="AB2" s="970"/>
    </row>
    <row r="3" spans="1:28" ht="14.5">
      <c r="A3" s="1558"/>
      <c r="B3" s="1558"/>
      <c r="C3" s="1558"/>
      <c r="D3" s="1558"/>
      <c r="E3" s="1558"/>
      <c r="F3" s="1558"/>
      <c r="G3" s="1558"/>
      <c r="H3" s="1558"/>
      <c r="I3" s="1558"/>
      <c r="J3" s="1558"/>
      <c r="K3" s="1558"/>
      <c r="L3" s="1558"/>
      <c r="M3" s="1558"/>
      <c r="N3" s="1558"/>
      <c r="O3" s="1558"/>
      <c r="P3" s="1558"/>
      <c r="Q3" s="1558"/>
      <c r="R3" s="970"/>
      <c r="S3" s="970"/>
      <c r="T3" s="970"/>
      <c r="U3" s="970"/>
      <c r="V3" s="970"/>
      <c r="W3" s="970"/>
      <c r="X3" s="970"/>
      <c r="Y3" s="970"/>
      <c r="Z3" s="970"/>
      <c r="AA3" s="970"/>
      <c r="AB3" s="970"/>
    </row>
    <row r="4" spans="1:28" ht="14.5">
      <c r="A4" s="1558"/>
      <c r="B4" s="1559"/>
      <c r="C4" s="1573" t="s">
        <v>150</v>
      </c>
      <c r="D4" s="1573" t="s">
        <v>151</v>
      </c>
      <c r="E4" s="1573" t="s">
        <v>152</v>
      </c>
      <c r="F4" s="1573" t="s">
        <v>153</v>
      </c>
      <c r="G4" s="1573" t="s">
        <v>154</v>
      </c>
      <c r="H4" s="1573" t="s">
        <v>155</v>
      </c>
      <c r="I4" s="1573" t="s">
        <v>201</v>
      </c>
      <c r="J4" s="1573" t="s">
        <v>202</v>
      </c>
      <c r="K4" s="1573" t="s">
        <v>203</v>
      </c>
      <c r="L4" s="1573" t="s">
        <v>204</v>
      </c>
      <c r="M4" s="1573" t="s">
        <v>205</v>
      </c>
      <c r="N4" s="1573" t="s">
        <v>206</v>
      </c>
      <c r="O4" s="1573" t="s">
        <v>207</v>
      </c>
      <c r="P4" s="1573" t="s">
        <v>208</v>
      </c>
      <c r="Q4" s="1573" t="s">
        <v>770</v>
      </c>
      <c r="R4" s="970"/>
      <c r="S4" s="970"/>
      <c r="T4" s="970"/>
      <c r="U4" s="970"/>
      <c r="V4" s="970"/>
      <c r="W4" s="970"/>
      <c r="X4" s="970"/>
      <c r="Y4" s="970"/>
      <c r="Z4" s="970"/>
      <c r="AA4" s="970"/>
      <c r="AB4" s="970"/>
    </row>
    <row r="5" spans="1:28" ht="14.5">
      <c r="A5" s="1558"/>
      <c r="B5" s="1558"/>
      <c r="C5" s="1558"/>
      <c r="D5" s="1558"/>
      <c r="E5" s="1558"/>
      <c r="F5" s="1558"/>
      <c r="G5" s="1558"/>
      <c r="H5" s="1558"/>
      <c r="I5" s="1558"/>
      <c r="J5" s="1558"/>
      <c r="K5" s="1558"/>
      <c r="L5" s="1558"/>
      <c r="M5" s="1558"/>
      <c r="N5" s="1558"/>
      <c r="O5" s="1558"/>
      <c r="P5" s="1558"/>
      <c r="Q5" s="1558"/>
      <c r="R5" s="970"/>
      <c r="S5" s="970"/>
      <c r="T5" s="970"/>
      <c r="U5" s="970"/>
      <c r="V5" s="970"/>
      <c r="W5" s="970"/>
      <c r="X5" s="970"/>
      <c r="Y5" s="970"/>
      <c r="Z5" s="970"/>
      <c r="AA5" s="970"/>
      <c r="AB5" s="970"/>
    </row>
    <row r="6" spans="1:28" ht="22" customHeight="1">
      <c r="A6" s="1558"/>
      <c r="B6" s="1570" t="s">
        <v>1784</v>
      </c>
      <c r="C6" s="1571"/>
      <c r="D6" s="1571"/>
      <c r="E6" s="1571"/>
      <c r="F6" s="1571"/>
      <c r="G6" s="1571"/>
      <c r="H6" s="1571"/>
      <c r="I6" s="1571"/>
      <c r="J6" s="1571"/>
      <c r="K6" s="1571"/>
      <c r="L6" s="1571"/>
      <c r="M6" s="1571"/>
      <c r="N6" s="1571"/>
      <c r="O6" s="1571"/>
      <c r="P6" s="1571"/>
      <c r="Q6" s="1571"/>
      <c r="R6" s="970"/>
      <c r="S6" s="970"/>
      <c r="T6" s="970"/>
      <c r="U6" s="970"/>
      <c r="V6" s="970"/>
      <c r="W6" s="970"/>
      <c r="X6" s="970"/>
      <c r="Y6" s="970"/>
      <c r="Z6" s="970"/>
      <c r="AA6" s="970"/>
      <c r="AB6" s="970"/>
    </row>
    <row r="7" spans="1:28" ht="14.5">
      <c r="A7" s="1558"/>
      <c r="B7" s="1561" t="s">
        <v>193</v>
      </c>
      <c r="C7" s="1576">
        <f>'P&amp;L'!G28</f>
        <v>0</v>
      </c>
      <c r="D7" s="1576">
        <f>'P&amp;L'!H28</f>
        <v>0</v>
      </c>
      <c r="E7" s="1576">
        <f>'P&amp;L'!I28</f>
        <v>0</v>
      </c>
      <c r="F7" s="1576">
        <f>'P&amp;L'!J28</f>
        <v>18772333.414999999</v>
      </c>
      <c r="G7" s="1576">
        <f>'P&amp;L'!K28</f>
        <v>19676502.288939998</v>
      </c>
      <c r="H7" s="1576">
        <f>'P&amp;L'!L28</f>
        <v>20615521.882462904</v>
      </c>
      <c r="I7" s="1576">
        <f>'P&amp;L'!M28</f>
        <v>21808634.554464001</v>
      </c>
      <c r="J7" s="1576">
        <f>'P&amp;L'!N28</f>
        <v>22300756.692269798</v>
      </c>
      <c r="K7" s="1576">
        <f>'P&amp;L'!O28</f>
        <v>22807316.061739061</v>
      </c>
      <c r="L7" s="1576">
        <f>'P&amp;L'!P28</f>
        <v>23328737.619009934</v>
      </c>
      <c r="M7" s="1576">
        <f>'P&amp;L'!Q28</f>
        <v>23865458.864884399</v>
      </c>
      <c r="N7" s="1576">
        <f>'P&amp;L'!R28</f>
        <v>24417930.216067705</v>
      </c>
      <c r="O7" s="1576">
        <f>'P&amp;L'!S28</f>
        <v>24986615.387417436</v>
      </c>
      <c r="P7" s="1576">
        <f>'P&amp;L'!T28</f>
        <v>25571991.785529338</v>
      </c>
      <c r="Q7" s="1576">
        <f t="shared" ref="Q7:Q16" si="0">SUM(C7:N7)</f>
        <v>197593191.59483781</v>
      </c>
      <c r="R7" s="970"/>
      <c r="S7" s="970"/>
      <c r="T7" s="970"/>
      <c r="U7" s="970"/>
      <c r="V7" s="970"/>
      <c r="W7" s="970"/>
      <c r="X7" s="970"/>
      <c r="Y7" s="970"/>
      <c r="Z7" s="970"/>
      <c r="AA7" s="970"/>
      <c r="AB7" s="970"/>
    </row>
    <row r="8" spans="1:28" ht="14.5">
      <c r="A8" s="1558"/>
      <c r="B8" s="1561" t="s">
        <v>369</v>
      </c>
      <c r="C8" s="1576">
        <f>'P&amp;L'!G35</f>
        <v>0</v>
      </c>
      <c r="D8" s="1576">
        <f>'P&amp;L'!H35</f>
        <v>0</v>
      </c>
      <c r="E8" s="1576">
        <f>'P&amp;L'!I35</f>
        <v>0</v>
      </c>
      <c r="F8" s="1576">
        <f>'P&amp;L'!J35</f>
        <v>2168980.59</v>
      </c>
      <c r="G8" s="1576">
        <f>'P&amp;L'!K35</f>
        <v>2325901.7123999991</v>
      </c>
      <c r="H8" s="1576">
        <f>'P&amp;L'!L35</f>
        <v>2489948.7060000002</v>
      </c>
      <c r="I8" s="1576">
        <f>'P&amp;L'!M35</f>
        <v>2536926.42</v>
      </c>
      <c r="J8" s="1576">
        <f>'P&amp;L'!N35</f>
        <v>2611117.7526000002</v>
      </c>
      <c r="K8" s="1576">
        <f>'P&amp;L'!O35</f>
        <v>2687534.8251780006</v>
      </c>
      <c r="L8" s="1576">
        <f>'P&amp;L'!P35</f>
        <v>2766244.4099333407</v>
      </c>
      <c r="M8" s="1576">
        <f>'P&amp;L'!Q35</f>
        <v>2847315.2822313411</v>
      </c>
      <c r="N8" s="1576">
        <f>'P&amp;L'!R35</f>
        <v>2930818.2806982808</v>
      </c>
      <c r="O8" s="1576">
        <f>'P&amp;L'!S35</f>
        <v>3016826.3691192307</v>
      </c>
      <c r="P8" s="1576">
        <f>'P&amp;L'!T35</f>
        <v>3105414.7001928072</v>
      </c>
      <c r="Q8" s="1576">
        <f t="shared" si="0"/>
        <v>23364787.979040962</v>
      </c>
      <c r="R8" s="970"/>
      <c r="S8" s="970"/>
      <c r="T8" s="970"/>
      <c r="U8" s="970"/>
      <c r="V8" s="970"/>
      <c r="W8" s="970"/>
      <c r="X8" s="970"/>
      <c r="Y8" s="970"/>
      <c r="Z8" s="970"/>
      <c r="AA8" s="970"/>
      <c r="AB8" s="970"/>
    </row>
    <row r="9" spans="1:28" ht="14.5">
      <c r="A9" s="1558"/>
      <c r="B9" s="1562" t="s">
        <v>264</v>
      </c>
      <c r="C9" s="1577">
        <f t="shared" ref="C9:P9" si="1">C7-C8</f>
        <v>0</v>
      </c>
      <c r="D9" s="1577">
        <f t="shared" si="1"/>
        <v>0</v>
      </c>
      <c r="E9" s="1577">
        <f t="shared" si="1"/>
        <v>0</v>
      </c>
      <c r="F9" s="1577">
        <f t="shared" si="1"/>
        <v>16603352.824999999</v>
      </c>
      <c r="G9" s="1577">
        <f t="shared" si="1"/>
        <v>17350600.576539997</v>
      </c>
      <c r="H9" s="1577">
        <f t="shared" si="1"/>
        <v>18125573.176462904</v>
      </c>
      <c r="I9" s="1577">
        <f t="shared" si="1"/>
        <v>19271708.134464003</v>
      </c>
      <c r="J9" s="1577">
        <f t="shared" si="1"/>
        <v>19689638.939669799</v>
      </c>
      <c r="K9" s="1577">
        <f t="shared" si="1"/>
        <v>20119781.23656106</v>
      </c>
      <c r="L9" s="1577">
        <f t="shared" si="1"/>
        <v>20562493.209076595</v>
      </c>
      <c r="M9" s="1577">
        <f t="shared" si="1"/>
        <v>21018143.582653057</v>
      </c>
      <c r="N9" s="1577">
        <f t="shared" si="1"/>
        <v>21487111.935369425</v>
      </c>
      <c r="O9" s="1577">
        <f t="shared" si="1"/>
        <v>21969789.018298205</v>
      </c>
      <c r="P9" s="1577">
        <f t="shared" si="1"/>
        <v>22466577.085336529</v>
      </c>
      <c r="Q9" s="1577">
        <f t="shared" si="0"/>
        <v>174228403.61579683</v>
      </c>
      <c r="R9" s="970"/>
      <c r="S9" s="970"/>
      <c r="T9" s="970"/>
      <c r="U9" s="970"/>
      <c r="V9" s="970"/>
      <c r="W9" s="970"/>
      <c r="X9" s="970"/>
      <c r="Y9" s="970"/>
      <c r="Z9" s="970"/>
      <c r="AA9" s="970"/>
      <c r="AB9" s="970"/>
    </row>
    <row r="10" spans="1:28" ht="14.5">
      <c r="A10" s="1558"/>
      <c r="B10" s="1579" t="s">
        <v>1785</v>
      </c>
      <c r="C10" s="1580">
        <f>'P&amp;L'!G74</f>
        <v>0</v>
      </c>
      <c r="D10" s="1580">
        <f>'P&amp;L'!H74</f>
        <v>0</v>
      </c>
      <c r="E10" s="1580">
        <f>'P&amp;L'!I74</f>
        <v>920383.09</v>
      </c>
      <c r="F10" s="1580">
        <f>'P&amp;L'!J74</f>
        <v>5428826.6670749998</v>
      </c>
      <c r="G10" s="1580">
        <f>'P&amp;L'!K74</f>
        <v>6176768.3084447002</v>
      </c>
      <c r="H10" s="1580">
        <f>'P&amp;L'!L74</f>
        <v>6400358.5071193147</v>
      </c>
      <c r="I10" s="1580">
        <f>'P&amp;L'!M74</f>
        <v>6668534.5031332374</v>
      </c>
      <c r="J10" s="1580">
        <f>'P&amp;L'!N74</f>
        <v>6864499.8596675787</v>
      </c>
      <c r="K10" s="1580">
        <f>'P&amp;L'!O74</f>
        <v>7631363.8749076193</v>
      </c>
      <c r="L10" s="1580">
        <f>'P&amp;L'!P74</f>
        <v>7995628.56795925</v>
      </c>
      <c r="M10" s="1580">
        <f>'P&amp;L'!Q74</f>
        <v>8233544.0284722419</v>
      </c>
      <c r="N10" s="1580">
        <f>'P&amp;L'!R74</f>
        <v>8478805.2593023404</v>
      </c>
      <c r="O10" s="1580">
        <f>'P&amp;L'!S74</f>
        <v>8822974.3280485645</v>
      </c>
      <c r="P10" s="1580">
        <f>'P&amp;L'!T74</f>
        <v>8450200.2067563329</v>
      </c>
      <c r="Q10" s="1580">
        <f t="shared" si="0"/>
        <v>64798712.666081287</v>
      </c>
      <c r="R10" s="970"/>
      <c r="S10" s="970"/>
      <c r="T10" s="970"/>
      <c r="U10" s="970"/>
      <c r="V10" s="970"/>
      <c r="W10" s="970"/>
      <c r="X10" s="970"/>
      <c r="Y10" s="970"/>
      <c r="Z10" s="970"/>
      <c r="AA10" s="970"/>
      <c r="AB10" s="970"/>
    </row>
    <row r="11" spans="1:28" ht="14.5">
      <c r="A11" s="1558"/>
      <c r="B11" s="1583" t="s">
        <v>194</v>
      </c>
      <c r="C11" s="1584">
        <f t="shared" ref="C11:P11" si="2">C9-C10</f>
        <v>0</v>
      </c>
      <c r="D11" s="1584">
        <f t="shared" si="2"/>
        <v>0</v>
      </c>
      <c r="E11" s="1584">
        <f t="shared" si="2"/>
        <v>-920383.09</v>
      </c>
      <c r="F11" s="1584">
        <f t="shared" si="2"/>
        <v>11174526.157924999</v>
      </c>
      <c r="G11" s="1584">
        <f t="shared" si="2"/>
        <v>11173832.268095296</v>
      </c>
      <c r="H11" s="1584">
        <f t="shared" si="2"/>
        <v>11725214.669343589</v>
      </c>
      <c r="I11" s="1584">
        <f t="shared" si="2"/>
        <v>12603173.631330766</v>
      </c>
      <c r="J11" s="1584">
        <f t="shared" si="2"/>
        <v>12825139.08000222</v>
      </c>
      <c r="K11" s="1584">
        <f t="shared" si="2"/>
        <v>12488417.36165344</v>
      </c>
      <c r="L11" s="1584">
        <f t="shared" si="2"/>
        <v>12566864.641117346</v>
      </c>
      <c r="M11" s="1584">
        <f t="shared" si="2"/>
        <v>12784599.554180816</v>
      </c>
      <c r="N11" s="1584">
        <f t="shared" si="2"/>
        <v>13008306.676067084</v>
      </c>
      <c r="O11" s="1584">
        <f t="shared" si="2"/>
        <v>13146814.69024964</v>
      </c>
      <c r="P11" s="1584">
        <f t="shared" si="2"/>
        <v>14016376.878580196</v>
      </c>
      <c r="Q11" s="1584">
        <f t="shared" si="0"/>
        <v>109429690.94971555</v>
      </c>
      <c r="R11" s="970"/>
      <c r="S11" s="970"/>
      <c r="T11" s="970"/>
      <c r="U11" s="970"/>
      <c r="V11" s="970"/>
      <c r="W11" s="970"/>
      <c r="X11" s="970"/>
      <c r="Y11" s="970"/>
      <c r="Z11" s="970"/>
      <c r="AA11" s="970"/>
      <c r="AB11" s="970"/>
    </row>
    <row r="12" spans="1:28" ht="14.5">
      <c r="A12" s="1558"/>
      <c r="B12" s="1581" t="s">
        <v>447</v>
      </c>
      <c r="C12" s="1582">
        <f>'P&amp;L'!G85</f>
        <v>0</v>
      </c>
      <c r="D12" s="1582">
        <f>'P&amp;L'!H85</f>
        <v>0</v>
      </c>
      <c r="E12" s="1582">
        <f>'P&amp;L'!I85</f>
        <v>-920383.09</v>
      </c>
      <c r="F12" s="1582">
        <f>'P&amp;L'!J85</f>
        <v>9252276.9317287486</v>
      </c>
      <c r="G12" s="1582">
        <f>'P&amp;L'!K85</f>
        <v>9233534.3589117303</v>
      </c>
      <c r="H12" s="1582">
        <f>'P&amp;L'!L85</f>
        <v>9738567.2482271511</v>
      </c>
      <c r="I12" s="1582">
        <f>'P&amp;L'!M85</f>
        <v>10615097.381330766</v>
      </c>
      <c r="J12" s="1582">
        <f>'P&amp;L'!N85</f>
        <v>10837062.83000222</v>
      </c>
      <c r="K12" s="1582">
        <f>'P&amp;L'!O85</f>
        <v>10500341.11165344</v>
      </c>
      <c r="L12" s="1582">
        <f>'P&amp;L'!P85</f>
        <v>10578788.391117346</v>
      </c>
      <c r="M12" s="1582">
        <f>'P&amp;L'!Q85</f>
        <v>10796523.304180816</v>
      </c>
      <c r="N12" s="1582">
        <f>'P&amp;L'!R85</f>
        <v>11020230.426067084</v>
      </c>
      <c r="O12" s="1582">
        <f>'P&amp;L'!S85</f>
        <v>11158738.44024964</v>
      </c>
      <c r="P12" s="1582">
        <f>'P&amp;L'!T85</f>
        <v>12913266.435076447</v>
      </c>
      <c r="Q12" s="1582">
        <f t="shared" si="0"/>
        <v>91652038.893219292</v>
      </c>
      <c r="R12" s="970"/>
      <c r="S12" s="970"/>
      <c r="T12" s="970"/>
      <c r="U12" s="970"/>
      <c r="V12" s="970"/>
      <c r="W12" s="970"/>
      <c r="X12" s="970"/>
      <c r="Y12" s="970"/>
      <c r="Z12" s="970"/>
      <c r="AA12" s="970"/>
      <c r="AB12" s="970"/>
    </row>
    <row r="13" spans="1:28" ht="14.5">
      <c r="A13" s="1558"/>
      <c r="B13" s="1562" t="s">
        <v>449</v>
      </c>
      <c r="C13" s="1577">
        <f>'P&amp;L'!G89</f>
        <v>0</v>
      </c>
      <c r="D13" s="1577">
        <f>'P&amp;L'!H89</f>
        <v>0</v>
      </c>
      <c r="E13" s="1577">
        <f>'P&amp;L'!I89</f>
        <v>-1463544.69</v>
      </c>
      <c r="F13" s="1577">
        <f>'P&amp;L'!J89</f>
        <v>8202078.7317287484</v>
      </c>
      <c r="G13" s="1577">
        <f>'P&amp;L'!K89</f>
        <v>8282840.7339117303</v>
      </c>
      <c r="H13" s="1577">
        <f>'P&amp;L'!L89</f>
        <v>8914632.7732271515</v>
      </c>
      <c r="I13" s="1577">
        <f>'P&amp;L'!M89</f>
        <v>9917922.0563307665</v>
      </c>
      <c r="J13" s="1577">
        <f>'P&amp;L'!N89</f>
        <v>10266646.65500222</v>
      </c>
      <c r="K13" s="1577">
        <f>'P&amp;L'!O89</f>
        <v>10056684.086653439</v>
      </c>
      <c r="L13" s="1577">
        <f>'P&amp;L'!P89</f>
        <v>10261890.516117346</v>
      </c>
      <c r="M13" s="1577">
        <f>'P&amp;L'!Q89</f>
        <v>10606384.579180816</v>
      </c>
      <c r="N13" s="1577">
        <f>'P&amp;L'!R89</f>
        <v>10956850.851067085</v>
      </c>
      <c r="O13" s="1577">
        <f>'P&amp;L'!S89</f>
        <v>11158738.44024964</v>
      </c>
      <c r="P13" s="1577">
        <f>'P&amp;L'!T89</f>
        <v>12913266.435076447</v>
      </c>
      <c r="Q13" s="1577">
        <f t="shared" si="0"/>
        <v>86002386.293219313</v>
      </c>
      <c r="R13" s="970"/>
      <c r="S13" s="970"/>
      <c r="T13" s="970"/>
      <c r="U13" s="970"/>
      <c r="V13" s="970"/>
      <c r="W13" s="970"/>
      <c r="X13" s="970"/>
      <c r="Y13" s="970"/>
      <c r="Z13" s="970"/>
      <c r="AA13" s="970"/>
      <c r="AB13" s="970"/>
    </row>
    <row r="14" spans="1:28" ht="14.5">
      <c r="A14" s="1558"/>
      <c r="B14" s="1579" t="s">
        <v>450</v>
      </c>
      <c r="C14" s="1580">
        <f>'P&amp;L'!G91</f>
        <v>0</v>
      </c>
      <c r="D14" s="1580">
        <f>'P&amp;L'!H91</f>
        <v>0</v>
      </c>
      <c r="E14" s="1580">
        <f>'P&amp;L'!I91</f>
        <v>0</v>
      </c>
      <c r="F14" s="1580">
        <f>'P&amp;L'!J91</f>
        <v>2021560.2125186243</v>
      </c>
      <c r="G14" s="1580">
        <f>'P&amp;L'!K91</f>
        <v>2484852.2201735191</v>
      </c>
      <c r="H14" s="1580">
        <f>'P&amp;L'!L91</f>
        <v>2674389.8319681454</v>
      </c>
      <c r="I14" s="1580">
        <f>'P&amp;L'!M91</f>
        <v>2975376.6168992301</v>
      </c>
      <c r="J14" s="1580">
        <f>'P&amp;L'!N91</f>
        <v>3079993.9965006658</v>
      </c>
      <c r="K14" s="1580">
        <f>'P&amp;L'!O91</f>
        <v>3017005.2259960319</v>
      </c>
      <c r="L14" s="1580">
        <f>'P&amp;L'!P91</f>
        <v>3078567.1548352037</v>
      </c>
      <c r="M14" s="1580">
        <f>'P&amp;L'!Q91</f>
        <v>3181915.3737542448</v>
      </c>
      <c r="N14" s="1580">
        <f>'P&amp;L'!R91</f>
        <v>3287055.2553201253</v>
      </c>
      <c r="O14" s="1580">
        <f>'P&amp;L'!S91</f>
        <v>3347621.532074892</v>
      </c>
      <c r="P14" s="1580">
        <f>'P&amp;L'!T91</f>
        <v>3873979.9305229341</v>
      </c>
      <c r="Q14" s="1580">
        <f t="shared" si="0"/>
        <v>25800715.887965787</v>
      </c>
      <c r="R14" s="970"/>
      <c r="S14" s="970"/>
      <c r="T14" s="970"/>
      <c r="U14" s="970"/>
      <c r="V14" s="970"/>
      <c r="W14" s="970"/>
      <c r="X14" s="970"/>
      <c r="Y14" s="970"/>
      <c r="Z14" s="970"/>
      <c r="AA14" s="970"/>
      <c r="AB14" s="970"/>
    </row>
    <row r="15" spans="1:28" ht="14.5">
      <c r="A15" s="1558"/>
      <c r="B15" s="1592" t="s">
        <v>271</v>
      </c>
      <c r="C15" s="1593">
        <f>'P&amp;L'!G95</f>
        <v>0</v>
      </c>
      <c r="D15" s="1593">
        <f>'P&amp;L'!H95</f>
        <v>0</v>
      </c>
      <c r="E15" s="1593">
        <f>'P&amp;L'!I95</f>
        <v>-1463544.69</v>
      </c>
      <c r="F15" s="1593">
        <f>'P&amp;L'!J95</f>
        <v>6180518.5192101244</v>
      </c>
      <c r="G15" s="1593">
        <f>'P&amp;L'!K95</f>
        <v>5797988.5137382112</v>
      </c>
      <c r="H15" s="1593">
        <f>'P&amp;L'!L95</f>
        <v>6240242.941259006</v>
      </c>
      <c r="I15" s="1593">
        <f>'P&amp;L'!M95</f>
        <v>6942545.4394315369</v>
      </c>
      <c r="J15" s="1593">
        <f>'P&amp;L'!N95</f>
        <v>7186652.6585015543</v>
      </c>
      <c r="K15" s="1593">
        <f>'P&amp;L'!O95</f>
        <v>7039678.860657407</v>
      </c>
      <c r="L15" s="1593">
        <f>'P&amp;L'!P95</f>
        <v>7183323.3612821419</v>
      </c>
      <c r="M15" s="1593">
        <f>'P&amp;L'!Q95</f>
        <v>7424469.2054265719</v>
      </c>
      <c r="N15" s="1593">
        <f>'P&amp;L'!R95</f>
        <v>7669795.5957469596</v>
      </c>
      <c r="O15" s="1593">
        <f>'P&amp;L'!S95</f>
        <v>7811116.9081747485</v>
      </c>
      <c r="P15" s="1593">
        <f>'P&amp;L'!T95</f>
        <v>9039286.5045535136</v>
      </c>
      <c r="Q15" s="1593">
        <f t="shared" si="0"/>
        <v>60201670.405253507</v>
      </c>
      <c r="R15" s="970"/>
      <c r="S15" s="970"/>
      <c r="T15" s="970"/>
      <c r="U15" s="970"/>
      <c r="V15" s="970"/>
      <c r="W15" s="970"/>
      <c r="X15" s="970"/>
      <c r="Y15" s="970"/>
      <c r="Z15" s="970"/>
      <c r="AA15" s="970"/>
      <c r="AB15" s="970"/>
    </row>
    <row r="16" spans="1:28" ht="14.5">
      <c r="A16" s="1558"/>
      <c r="B16" s="1585" t="s">
        <v>360</v>
      </c>
      <c r="C16" s="1586">
        <f>'P&amp;L'!G104</f>
        <v>0</v>
      </c>
      <c r="D16" s="1586">
        <f>'P&amp;L'!H104</f>
        <v>0</v>
      </c>
      <c r="E16" s="1586">
        <f>'P&amp;L'!I104</f>
        <v>0</v>
      </c>
      <c r="F16" s="1586">
        <f>'P&amp;L'!J104</f>
        <v>0</v>
      </c>
      <c r="G16" s="1586">
        <f>'P&amp;L'!K104</f>
        <v>0</v>
      </c>
      <c r="H16" s="1586">
        <f>'P&amp;L'!L104</f>
        <v>0</v>
      </c>
      <c r="I16" s="1586">
        <f>'P&amp;L'!M104</f>
        <v>0</v>
      </c>
      <c r="J16" s="1586">
        <f>'P&amp;L'!N104</f>
        <v>0</v>
      </c>
      <c r="K16" s="1586">
        <f>'P&amp;L'!O104</f>
        <v>0</v>
      </c>
      <c r="L16" s="1586">
        <f>'P&amp;L'!P104</f>
        <v>0</v>
      </c>
      <c r="M16" s="1586">
        <f>'P&amp;L'!Q104</f>
        <v>0</v>
      </c>
      <c r="N16" s="1586">
        <f>'P&amp;L'!R104</f>
        <v>0</v>
      </c>
      <c r="O16" s="1586">
        <f>'P&amp;L'!S104</f>
        <v>0</v>
      </c>
      <c r="P16" s="1586">
        <f>'P&amp;L'!T104</f>
        <v>0</v>
      </c>
      <c r="Q16" s="1586">
        <f t="shared" si="0"/>
        <v>0</v>
      </c>
      <c r="R16" s="970"/>
      <c r="S16" s="970"/>
      <c r="T16" s="970"/>
      <c r="U16" s="970"/>
      <c r="V16" s="970"/>
      <c r="W16" s="970"/>
      <c r="X16" s="970"/>
      <c r="Y16" s="970"/>
      <c r="Z16" s="970"/>
      <c r="AA16" s="970"/>
      <c r="AB16" s="970"/>
    </row>
    <row r="17" spans="1:28" ht="14.5">
      <c r="A17" s="1558"/>
      <c r="B17" s="1575"/>
      <c r="C17" s="1558"/>
      <c r="D17" s="1558"/>
      <c r="E17" s="1558"/>
      <c r="F17" s="1558"/>
      <c r="G17" s="1558"/>
      <c r="H17" s="1558"/>
      <c r="I17" s="1558"/>
      <c r="J17" s="1558"/>
      <c r="K17" s="1558"/>
      <c r="L17" s="1558"/>
      <c r="M17" s="1558"/>
      <c r="N17" s="1558"/>
      <c r="O17" s="1558"/>
      <c r="P17" s="1558"/>
      <c r="Q17" s="1563"/>
      <c r="R17" s="970"/>
      <c r="S17" s="970"/>
      <c r="T17" s="970"/>
      <c r="U17" s="970"/>
      <c r="V17" s="970"/>
      <c r="W17" s="970"/>
      <c r="X17" s="970"/>
      <c r="Y17" s="970"/>
      <c r="Z17" s="970"/>
      <c r="AA17" s="970"/>
      <c r="AB17" s="970"/>
    </row>
    <row r="18" spans="1:28" ht="14.5">
      <c r="A18" s="1558"/>
      <c r="B18" s="1575"/>
      <c r="C18" s="1558"/>
      <c r="D18" s="1558"/>
      <c r="E18" s="1558"/>
      <c r="F18" s="1558"/>
      <c r="G18" s="1558"/>
      <c r="H18" s="1558"/>
      <c r="I18" s="1558"/>
      <c r="J18" s="1558"/>
      <c r="K18" s="1558"/>
      <c r="L18" s="1558"/>
      <c r="M18" s="1558"/>
      <c r="N18" s="1558"/>
      <c r="O18" s="1558"/>
      <c r="P18" s="1558"/>
      <c r="Q18" s="1558"/>
      <c r="R18" s="970"/>
      <c r="S18" s="970"/>
      <c r="T18" s="970"/>
      <c r="U18" s="970"/>
      <c r="V18" s="970"/>
      <c r="W18" s="970"/>
      <c r="X18" s="970"/>
      <c r="Y18" s="970"/>
      <c r="Z18" s="970"/>
      <c r="AA18" s="970"/>
      <c r="AB18" s="970"/>
    </row>
    <row r="19" spans="1:28" ht="14.5">
      <c r="A19" s="1558"/>
      <c r="B19" s="1560"/>
      <c r="C19" s="1573" t="s">
        <v>150</v>
      </c>
      <c r="D19" s="1573" t="s">
        <v>151</v>
      </c>
      <c r="E19" s="1573" t="s">
        <v>152</v>
      </c>
      <c r="F19" s="1573" t="s">
        <v>153</v>
      </c>
      <c r="G19" s="1573" t="s">
        <v>154</v>
      </c>
      <c r="H19" s="1573" t="s">
        <v>155</v>
      </c>
      <c r="I19" s="1573" t="s">
        <v>201</v>
      </c>
      <c r="J19" s="1573" t="s">
        <v>202</v>
      </c>
      <c r="K19" s="1573" t="s">
        <v>203</v>
      </c>
      <c r="L19" s="1573" t="s">
        <v>204</v>
      </c>
      <c r="M19" s="1573" t="s">
        <v>205</v>
      </c>
      <c r="N19" s="1573" t="s">
        <v>206</v>
      </c>
      <c r="O19" s="1573" t="s">
        <v>207</v>
      </c>
      <c r="P19" s="1573" t="s">
        <v>208</v>
      </c>
      <c r="Q19" s="1558"/>
      <c r="R19" s="970"/>
      <c r="S19" s="970"/>
      <c r="T19" s="970"/>
      <c r="U19" s="970"/>
      <c r="V19" s="970"/>
      <c r="W19" s="970"/>
      <c r="X19" s="970"/>
      <c r="Y19" s="970"/>
      <c r="Z19" s="970"/>
      <c r="AA19" s="970"/>
      <c r="AB19" s="970"/>
    </row>
    <row r="20" spans="1:28" ht="22" customHeight="1">
      <c r="A20" s="1558"/>
      <c r="B20" s="1570" t="s">
        <v>1786</v>
      </c>
      <c r="C20" s="1571"/>
      <c r="D20" s="1571"/>
      <c r="E20" s="1571"/>
      <c r="F20" s="1571"/>
      <c r="G20" s="1571"/>
      <c r="H20" s="1571"/>
      <c r="I20" s="1571"/>
      <c r="J20" s="1571"/>
      <c r="K20" s="1571"/>
      <c r="L20" s="1571"/>
      <c r="M20" s="1571"/>
      <c r="N20" s="1571"/>
      <c r="O20" s="1571"/>
      <c r="P20" s="1571"/>
      <c r="Q20" s="1572"/>
      <c r="R20" s="970"/>
      <c r="S20" s="970"/>
      <c r="T20" s="970"/>
      <c r="U20" s="970"/>
      <c r="V20" s="970"/>
      <c r="W20" s="970"/>
      <c r="X20" s="970"/>
      <c r="Y20" s="970"/>
      <c r="Z20" s="970"/>
      <c r="AA20" s="970"/>
      <c r="AB20" s="970"/>
    </row>
    <row r="21" spans="1:28" ht="14.5">
      <c r="A21" s="1558"/>
      <c r="B21" s="1574" t="s">
        <v>493</v>
      </c>
      <c r="C21" s="1578"/>
      <c r="D21" s="1578"/>
      <c r="E21" s="1578"/>
      <c r="F21" s="1578"/>
      <c r="G21" s="1578"/>
      <c r="H21" s="1578"/>
      <c r="I21" s="1578"/>
      <c r="J21" s="1578"/>
      <c r="K21" s="1578"/>
      <c r="L21" s="1578"/>
      <c r="M21" s="1578"/>
      <c r="N21" s="1578"/>
      <c r="O21" s="1578"/>
      <c r="P21" s="1578"/>
      <c r="Q21" s="1564"/>
      <c r="R21" s="970"/>
      <c r="S21" s="970"/>
      <c r="T21" s="970"/>
      <c r="U21" s="970"/>
      <c r="V21" s="970"/>
      <c r="W21" s="970"/>
      <c r="X21" s="970"/>
      <c r="Y21" s="970"/>
      <c r="Z21" s="970"/>
      <c r="AA21" s="970"/>
      <c r="AB21" s="970"/>
    </row>
    <row r="22" spans="1:28" ht="15.75" customHeight="1">
      <c r="A22" s="1558"/>
      <c r="B22" s="1561" t="s">
        <v>496</v>
      </c>
      <c r="C22" s="1576">
        <f>'Balance Sheet'!F15</f>
        <v>0</v>
      </c>
      <c r="D22" s="1576">
        <f>'Balance Sheet'!G15</f>
        <v>0</v>
      </c>
      <c r="E22" s="1576">
        <f>'Balance Sheet'!H15</f>
        <v>452228.39999999851</v>
      </c>
      <c r="F22" s="1576">
        <f>'Balance Sheet'!I15</f>
        <v>3547612.2446639407</v>
      </c>
      <c r="G22" s="1576">
        <f>'Balance Sheet'!J15</f>
        <v>4198009.6988230934</v>
      </c>
      <c r="H22" s="1576">
        <f>'Balance Sheet'!K15</f>
        <v>4940308.1692356858</v>
      </c>
      <c r="I22" s="1576">
        <f>'Balance Sheet'!L15</f>
        <v>5834329.3693275601</v>
      </c>
      <c r="J22" s="1576">
        <f>'Balance Sheet'!M15</f>
        <v>6721793.0886639655</v>
      </c>
      <c r="K22" s="1576">
        <f>'Balance Sheet'!N15</f>
        <v>7581231.6077445392</v>
      </c>
      <c r="L22" s="1576">
        <f>'Balance Sheet'!O15</f>
        <v>8470809.0022907909</v>
      </c>
      <c r="M22" s="1576">
        <f>'Balance Sheet'!P15</f>
        <v>9410067.1527464427</v>
      </c>
      <c r="N22" s="1576">
        <f>'Balance Sheet'!Q15</f>
        <v>10399885.011250651</v>
      </c>
      <c r="O22" s="1576">
        <f>'Balance Sheet'!R15</f>
        <v>13003995.047798254</v>
      </c>
      <c r="P22" s="1576">
        <f>'Balance Sheet'!S15</f>
        <v>15855322.960011873</v>
      </c>
      <c r="Q22" s="1564"/>
      <c r="R22" s="970"/>
      <c r="S22" s="970"/>
      <c r="T22" s="970"/>
      <c r="U22" s="970"/>
      <c r="V22" s="970"/>
      <c r="W22" s="970"/>
      <c r="X22" s="970"/>
      <c r="Y22" s="970"/>
      <c r="Z22" s="970"/>
      <c r="AA22" s="970"/>
      <c r="AB22" s="970"/>
    </row>
    <row r="23" spans="1:28" ht="15.75" customHeight="1">
      <c r="A23" s="1558"/>
      <c r="B23" s="1574" t="s">
        <v>497</v>
      </c>
      <c r="C23" s="1578"/>
      <c r="D23" s="1578"/>
      <c r="E23" s="1578"/>
      <c r="F23" s="1578"/>
      <c r="G23" s="1578"/>
      <c r="H23" s="1578"/>
      <c r="I23" s="1578"/>
      <c r="J23" s="1578"/>
      <c r="K23" s="1578"/>
      <c r="L23" s="1578"/>
      <c r="M23" s="1578"/>
      <c r="N23" s="1578"/>
      <c r="O23" s="1578"/>
      <c r="P23" s="1578"/>
      <c r="Q23" s="1564"/>
      <c r="R23" s="970"/>
      <c r="S23" s="970"/>
      <c r="T23" s="970"/>
      <c r="U23" s="970"/>
      <c r="V23" s="970"/>
      <c r="W23" s="970"/>
      <c r="X23" s="970"/>
      <c r="Y23" s="970"/>
      <c r="Z23" s="970"/>
      <c r="AA23" s="970"/>
      <c r="AB23" s="970"/>
    </row>
    <row r="24" spans="1:28" ht="15.75" customHeight="1">
      <c r="A24" s="1558"/>
      <c r="B24" s="1579" t="s">
        <v>503</v>
      </c>
      <c r="C24" s="1580">
        <f>'Balance Sheet'!F23</f>
        <v>0</v>
      </c>
      <c r="D24" s="1580">
        <f>'Balance Sheet'!G23</f>
        <v>0</v>
      </c>
      <c r="E24" s="1580">
        <f>'Balance Sheet'!H23</f>
        <v>20580525</v>
      </c>
      <c r="F24" s="1580">
        <f>'Balance Sheet'!I23</f>
        <v>19592448.75</v>
      </c>
      <c r="G24" s="1580">
        <f>'Balance Sheet'!J23</f>
        <v>18604372.5</v>
      </c>
      <c r="H24" s="1580">
        <f>'Balance Sheet'!K23</f>
        <v>17616296.25</v>
      </c>
      <c r="I24" s="1580">
        <f>'Balance Sheet'!L23</f>
        <v>16628220</v>
      </c>
      <c r="J24" s="1580">
        <f>'Balance Sheet'!M23</f>
        <v>15640143.75</v>
      </c>
      <c r="K24" s="1580">
        <f>'Balance Sheet'!N23</f>
        <v>14652067.5</v>
      </c>
      <c r="L24" s="1580">
        <f>'Balance Sheet'!O23</f>
        <v>13663991.25</v>
      </c>
      <c r="M24" s="1580">
        <f>'Balance Sheet'!P23</f>
        <v>12675915</v>
      </c>
      <c r="N24" s="1580">
        <f>'Balance Sheet'!Q23</f>
        <v>11687838.75</v>
      </c>
      <c r="O24" s="1580">
        <f>'Balance Sheet'!R23</f>
        <v>10699762.5</v>
      </c>
      <c r="P24" s="1580">
        <f>'Balance Sheet'!S23</f>
        <v>9711686.25</v>
      </c>
      <c r="Q24" s="1564"/>
      <c r="R24" s="970"/>
      <c r="S24" s="970"/>
      <c r="T24" s="970"/>
      <c r="U24" s="970"/>
      <c r="V24" s="970"/>
      <c r="W24" s="970"/>
      <c r="X24" s="970"/>
      <c r="Y24" s="970"/>
      <c r="Z24" s="970"/>
      <c r="AA24" s="970"/>
      <c r="AB24" s="970"/>
    </row>
    <row r="25" spans="1:28" ht="15.75" customHeight="1">
      <c r="A25" s="1558"/>
      <c r="B25" s="1583" t="s">
        <v>504</v>
      </c>
      <c r="C25" s="1584">
        <f t="shared" ref="C25:P25" si="3">C22+C24</f>
        <v>0</v>
      </c>
      <c r="D25" s="1584">
        <f t="shared" si="3"/>
        <v>0</v>
      </c>
      <c r="E25" s="1584">
        <f t="shared" si="3"/>
        <v>21032753.399999999</v>
      </c>
      <c r="F25" s="1584">
        <f t="shared" si="3"/>
        <v>23140060.994663939</v>
      </c>
      <c r="G25" s="1584">
        <f t="shared" si="3"/>
        <v>22802382.198823094</v>
      </c>
      <c r="H25" s="1584">
        <f t="shared" si="3"/>
        <v>22556604.419235684</v>
      </c>
      <c r="I25" s="1584">
        <f t="shared" si="3"/>
        <v>22462549.36932756</v>
      </c>
      <c r="J25" s="1584">
        <f t="shared" si="3"/>
        <v>22361936.838663965</v>
      </c>
      <c r="K25" s="1584">
        <f t="shared" si="3"/>
        <v>22233299.107744537</v>
      </c>
      <c r="L25" s="1584">
        <f t="shared" si="3"/>
        <v>22134800.252290793</v>
      </c>
      <c r="M25" s="1584">
        <f t="shared" si="3"/>
        <v>22085982.152746443</v>
      </c>
      <c r="N25" s="1584">
        <f t="shared" si="3"/>
        <v>22087723.761250652</v>
      </c>
      <c r="O25" s="1584">
        <f t="shared" si="3"/>
        <v>23703757.547798254</v>
      </c>
      <c r="P25" s="1584">
        <f t="shared" si="3"/>
        <v>25567009.210011873</v>
      </c>
      <c r="Q25" s="1565"/>
      <c r="R25" s="970"/>
      <c r="S25" s="970"/>
      <c r="T25" s="970"/>
      <c r="U25" s="970"/>
      <c r="V25" s="970"/>
      <c r="W25" s="970"/>
      <c r="X25" s="970"/>
      <c r="Y25" s="970"/>
      <c r="Z25" s="970"/>
      <c r="AA25" s="970"/>
      <c r="AB25" s="970"/>
    </row>
    <row r="26" spans="1:28" ht="15.75" customHeight="1">
      <c r="A26" s="1558"/>
      <c r="B26" s="1587" t="s">
        <v>507</v>
      </c>
      <c r="C26" s="1588"/>
      <c r="D26" s="1588"/>
      <c r="E26" s="1588"/>
      <c r="F26" s="1588"/>
      <c r="G26" s="1588"/>
      <c r="H26" s="1588"/>
      <c r="I26" s="1588"/>
      <c r="J26" s="1588"/>
      <c r="K26" s="1588"/>
      <c r="L26" s="1588"/>
      <c r="M26" s="1588"/>
      <c r="N26" s="1588"/>
      <c r="O26" s="1588"/>
      <c r="P26" s="1588"/>
      <c r="Q26" s="1564"/>
      <c r="R26" s="970"/>
      <c r="S26" s="970"/>
      <c r="T26" s="970"/>
      <c r="U26" s="970"/>
      <c r="V26" s="970"/>
      <c r="W26" s="970"/>
      <c r="X26" s="970"/>
      <c r="Y26" s="970"/>
      <c r="Z26" s="970"/>
      <c r="AA26" s="970"/>
      <c r="AB26" s="970"/>
    </row>
    <row r="27" spans="1:28" ht="15.75" customHeight="1">
      <c r="A27" s="1558"/>
      <c r="B27" s="1561" t="s">
        <v>1787</v>
      </c>
      <c r="C27" s="1576">
        <f>'Balance Sheet'!F34</f>
        <v>0</v>
      </c>
      <c r="D27" s="1576">
        <f>'Balance Sheet'!G34</f>
        <v>0</v>
      </c>
      <c r="E27" s="1576">
        <f>'Balance Sheet'!H34</f>
        <v>850000</v>
      </c>
      <c r="F27" s="1576">
        <f>'Balance Sheet'!I34</f>
        <v>2208966.6838006848</v>
      </c>
      <c r="G27" s="1576">
        <f>'Balance Sheet'!J34</f>
        <v>2283338.965754359</v>
      </c>
      <c r="H27" s="1576">
        <f>'Balance Sheet'!K34</f>
        <v>2315199.5569002177</v>
      </c>
      <c r="I27" s="1576">
        <f>'Balance Sheet'!L34</f>
        <v>2341102.6015588962</v>
      </c>
      <c r="J27" s="1576">
        <f>'Balance Sheet'!M34</f>
        <v>2363307.2609398011</v>
      </c>
      <c r="K27" s="1576">
        <f>'Balance Sheet'!N34</f>
        <v>2432618.03528101</v>
      </c>
      <c r="L27" s="1576">
        <f>'Balance Sheet'!O34</f>
        <v>2469026.8800322679</v>
      </c>
      <c r="M27" s="1576">
        <f>'Balance Sheet'!P34</f>
        <v>2495244.9347838564</v>
      </c>
      <c r="N27" s="1576">
        <f>'Balance Sheet'!Q34</f>
        <v>937777.27726032503</v>
      </c>
      <c r="O27" s="1576">
        <f>'Balance Sheet'!R34</f>
        <v>973134.30387680512</v>
      </c>
      <c r="P27" s="1576">
        <f>'Balance Sheet'!S34</f>
        <v>949776.5676944498</v>
      </c>
      <c r="Q27" s="1564"/>
      <c r="R27" s="970"/>
      <c r="S27" s="970"/>
      <c r="T27" s="970"/>
      <c r="U27" s="970"/>
      <c r="V27" s="970"/>
      <c r="W27" s="970"/>
      <c r="X27" s="970"/>
      <c r="Y27" s="970"/>
      <c r="Z27" s="970"/>
      <c r="AA27" s="970"/>
      <c r="AB27" s="970"/>
    </row>
    <row r="28" spans="1:28" ht="15.75" customHeight="1">
      <c r="A28" s="1558"/>
      <c r="B28" s="1574" t="s">
        <v>512</v>
      </c>
      <c r="C28" s="1578"/>
      <c r="D28" s="1578"/>
      <c r="E28" s="1578"/>
      <c r="F28" s="1578"/>
      <c r="G28" s="1578"/>
      <c r="H28" s="1578"/>
      <c r="I28" s="1578"/>
      <c r="J28" s="1578"/>
      <c r="K28" s="1578"/>
      <c r="L28" s="1578"/>
      <c r="M28" s="1578"/>
      <c r="N28" s="1578"/>
      <c r="O28" s="1578"/>
      <c r="P28" s="1578"/>
      <c r="Q28" s="1564"/>
      <c r="R28" s="970"/>
      <c r="S28" s="970"/>
      <c r="T28" s="970"/>
      <c r="U28" s="970"/>
      <c r="V28" s="970"/>
      <c r="W28" s="970"/>
      <c r="X28" s="970"/>
      <c r="Y28" s="970"/>
      <c r="Z28" s="970"/>
      <c r="AA28" s="970"/>
      <c r="AB28" s="970"/>
    </row>
    <row r="29" spans="1:28" ht="15.75" customHeight="1">
      <c r="A29" s="1558"/>
      <c r="B29" s="1579" t="s">
        <v>1788</v>
      </c>
      <c r="C29" s="1580">
        <f>'Balance Sheet'!F38</f>
        <v>0</v>
      </c>
      <c r="D29" s="1580">
        <f>'Balance Sheet'!G38</f>
        <v>0</v>
      </c>
      <c r="E29" s="1580">
        <f>'Balance Sheet'!H38</f>
        <v>12675915</v>
      </c>
      <c r="F29" s="1580">
        <f>'Balance Sheet'!I38</f>
        <v>11091425.625</v>
      </c>
      <c r="G29" s="1580">
        <f>'Balance Sheet'!J38</f>
        <v>9506936.25</v>
      </c>
      <c r="H29" s="1580">
        <f>'Balance Sheet'!K38</f>
        <v>7922446.875</v>
      </c>
      <c r="I29" s="1580">
        <f>'Balance Sheet'!L38</f>
        <v>6337957.5</v>
      </c>
      <c r="J29" s="1580">
        <f>'Balance Sheet'!M38</f>
        <v>4753468.125</v>
      </c>
      <c r="K29" s="1580">
        <f>'Balance Sheet'!N38</f>
        <v>3168978.75</v>
      </c>
      <c r="L29" s="1580">
        <f>'Balance Sheet'!O38</f>
        <v>1584489.375</v>
      </c>
      <c r="M29" s="1580">
        <f>'Balance Sheet'!P38</f>
        <v>0</v>
      </c>
      <c r="N29" s="1580">
        <f>'Balance Sheet'!Q38</f>
        <v>0</v>
      </c>
      <c r="O29" s="1580">
        <f>'Balance Sheet'!R38</f>
        <v>0</v>
      </c>
      <c r="P29" s="1580">
        <f>'Balance Sheet'!S38</f>
        <v>0</v>
      </c>
      <c r="Q29" s="1564"/>
      <c r="R29" s="970"/>
      <c r="S29" s="970"/>
      <c r="T29" s="970"/>
      <c r="U29" s="970"/>
      <c r="V29" s="970"/>
      <c r="W29" s="970"/>
      <c r="X29" s="970"/>
      <c r="Y29" s="970"/>
      <c r="Z29" s="970"/>
      <c r="AA29" s="970"/>
      <c r="AB29" s="970"/>
    </row>
    <row r="30" spans="1:28" ht="15.75" customHeight="1">
      <c r="A30" s="1558"/>
      <c r="B30" s="1583" t="s">
        <v>514</v>
      </c>
      <c r="C30" s="1584">
        <f t="shared" ref="C30:P30" si="4">C27+C29</f>
        <v>0</v>
      </c>
      <c r="D30" s="1584">
        <f t="shared" si="4"/>
        <v>0</v>
      </c>
      <c r="E30" s="1584">
        <f t="shared" si="4"/>
        <v>13525915</v>
      </c>
      <c r="F30" s="1584">
        <f t="shared" si="4"/>
        <v>13300392.308800684</v>
      </c>
      <c r="G30" s="1584">
        <f t="shared" si="4"/>
        <v>11790275.21575436</v>
      </c>
      <c r="H30" s="1584">
        <f t="shared" si="4"/>
        <v>10237646.431900218</v>
      </c>
      <c r="I30" s="1584">
        <f t="shared" si="4"/>
        <v>8679060.1015588958</v>
      </c>
      <c r="J30" s="1584">
        <f t="shared" si="4"/>
        <v>7116775.3859398011</v>
      </c>
      <c r="K30" s="1584">
        <f t="shared" si="4"/>
        <v>5601596.78528101</v>
      </c>
      <c r="L30" s="1584">
        <f t="shared" si="4"/>
        <v>4053516.2550322679</v>
      </c>
      <c r="M30" s="1584">
        <f t="shared" si="4"/>
        <v>2495244.9347838564</v>
      </c>
      <c r="N30" s="1584">
        <f t="shared" si="4"/>
        <v>937777.27726032503</v>
      </c>
      <c r="O30" s="1584">
        <f t="shared" si="4"/>
        <v>973134.30387680512</v>
      </c>
      <c r="P30" s="1584">
        <f t="shared" si="4"/>
        <v>949776.5676944498</v>
      </c>
      <c r="Q30" s="1565"/>
      <c r="R30" s="970"/>
      <c r="S30" s="970"/>
      <c r="T30" s="970"/>
      <c r="U30" s="970"/>
      <c r="V30" s="970"/>
      <c r="W30" s="970"/>
      <c r="X30" s="970"/>
      <c r="Y30" s="970"/>
      <c r="Z30" s="970"/>
      <c r="AA30" s="970"/>
      <c r="AB30" s="970"/>
    </row>
    <row r="31" spans="1:28" ht="15.75" customHeight="1">
      <c r="A31" s="1558"/>
      <c r="B31" s="1589"/>
      <c r="C31" s="1590"/>
      <c r="D31" s="1590"/>
      <c r="E31" s="1590"/>
      <c r="F31" s="1590"/>
      <c r="G31" s="1590"/>
      <c r="H31" s="1590"/>
      <c r="I31" s="1590"/>
      <c r="J31" s="1590"/>
      <c r="K31" s="1590"/>
      <c r="L31" s="1590"/>
      <c r="M31" s="1590"/>
      <c r="N31" s="1590"/>
      <c r="O31" s="1590"/>
      <c r="P31" s="1590"/>
      <c r="Q31" s="1566"/>
      <c r="R31" s="970"/>
      <c r="S31" s="970"/>
      <c r="T31" s="970"/>
      <c r="U31" s="970"/>
      <c r="V31" s="970"/>
      <c r="W31" s="970"/>
      <c r="X31" s="970"/>
      <c r="Y31" s="970"/>
      <c r="Z31" s="970"/>
      <c r="AA31" s="970"/>
      <c r="AB31" s="970"/>
    </row>
    <row r="32" spans="1:28" ht="15.75" customHeight="1">
      <c r="A32" s="1558"/>
      <c r="B32" s="1592" t="s">
        <v>1789</v>
      </c>
      <c r="C32" s="1593">
        <f>'Balance Sheet'!F45</f>
        <v>0</v>
      </c>
      <c r="D32" s="1593">
        <f>'Balance Sheet'!G45</f>
        <v>0</v>
      </c>
      <c r="E32" s="1593">
        <f>'Balance Sheet'!H45</f>
        <v>7506838.4000000004</v>
      </c>
      <c r="F32" s="1593">
        <f>'Balance Sheet'!I45</f>
        <v>9839668.6858632565</v>
      </c>
      <c r="G32" s="1593">
        <f>'Balance Sheet'!J45</f>
        <v>11012106.983068733</v>
      </c>
      <c r="H32" s="1593">
        <f>'Balance Sheet'!K45</f>
        <v>12318957.987335462</v>
      </c>
      <c r="I32" s="1593">
        <f>'Balance Sheet'!L45</f>
        <v>13783489.267768661</v>
      </c>
      <c r="J32" s="1593">
        <f>'Balance Sheet'!M45</f>
        <v>15245161.452724159</v>
      </c>
      <c r="K32" s="1593">
        <f>'Balance Sheet'!N45</f>
        <v>16631702.322463522</v>
      </c>
      <c r="L32" s="1593">
        <f>'Balance Sheet'!O45</f>
        <v>18081283.997258518</v>
      </c>
      <c r="M32" s="1593">
        <f>'Balance Sheet'!P45</f>
        <v>19590737.217962582</v>
      </c>
      <c r="N32" s="1593">
        <f>'Balance Sheet'!Q45</f>
        <v>21149946.483990319</v>
      </c>
      <c r="O32" s="1593">
        <f>'Balance Sheet'!R45</f>
        <v>22730623.243921448</v>
      </c>
      <c r="P32" s="1593">
        <f>'Balance Sheet'!S45</f>
        <v>24617232.642317418</v>
      </c>
      <c r="Q32" s="1565"/>
      <c r="R32" s="970"/>
      <c r="S32" s="970"/>
      <c r="T32" s="970"/>
      <c r="U32" s="970"/>
      <c r="V32" s="970"/>
      <c r="W32" s="970"/>
      <c r="X32" s="970"/>
      <c r="Y32" s="970"/>
      <c r="Z32" s="970"/>
      <c r="AA32" s="970"/>
      <c r="AB32" s="970"/>
    </row>
    <row r="33" spans="1:28" ht="15.75" customHeight="1">
      <c r="A33" s="1558"/>
      <c r="B33" s="1585"/>
      <c r="C33" s="1594"/>
      <c r="D33" s="1595">
        <f t="shared" ref="D33:P33" si="5">D25-D30-D32</f>
        <v>0</v>
      </c>
      <c r="E33" s="1595">
        <f t="shared" si="5"/>
        <v>0</v>
      </c>
      <c r="F33" s="1595">
        <f t="shared" si="5"/>
        <v>0</v>
      </c>
      <c r="G33" s="1595">
        <f t="shared" si="5"/>
        <v>0</v>
      </c>
      <c r="H33" s="1595">
        <f t="shared" si="5"/>
        <v>0</v>
      </c>
      <c r="I33" s="1595">
        <f t="shared" si="5"/>
        <v>0</v>
      </c>
      <c r="J33" s="1595">
        <f t="shared" si="5"/>
        <v>0</v>
      </c>
      <c r="K33" s="1595">
        <f t="shared" si="5"/>
        <v>0</v>
      </c>
      <c r="L33" s="1595">
        <f t="shared" si="5"/>
        <v>0</v>
      </c>
      <c r="M33" s="1595">
        <f t="shared" si="5"/>
        <v>0</v>
      </c>
      <c r="N33" s="1595">
        <f t="shared" si="5"/>
        <v>0</v>
      </c>
      <c r="O33" s="1595">
        <f t="shared" si="5"/>
        <v>0</v>
      </c>
      <c r="P33" s="1595">
        <f t="shared" si="5"/>
        <v>0</v>
      </c>
      <c r="Q33" s="1558"/>
      <c r="R33" s="970"/>
      <c r="S33" s="970"/>
      <c r="T33" s="970"/>
      <c r="U33" s="970"/>
      <c r="V33" s="970"/>
      <c r="W33" s="970"/>
      <c r="X33" s="970"/>
      <c r="Y33" s="970"/>
      <c r="Z33" s="970"/>
      <c r="AA33" s="970"/>
      <c r="AB33" s="970"/>
    </row>
    <row r="34" spans="1:28" ht="15.75" customHeight="1">
      <c r="A34" s="1558"/>
      <c r="B34" s="1575"/>
      <c r="C34" s="1558"/>
      <c r="D34" s="1558"/>
      <c r="E34" s="1558"/>
      <c r="F34" s="1558"/>
      <c r="G34" s="1558"/>
      <c r="H34" s="1558"/>
      <c r="I34" s="1558"/>
      <c r="J34" s="1558"/>
      <c r="K34" s="1558"/>
      <c r="L34" s="1558"/>
      <c r="M34" s="1558"/>
      <c r="N34" s="1558"/>
      <c r="O34" s="1558"/>
      <c r="P34" s="1558"/>
      <c r="Q34" s="1558"/>
      <c r="R34" s="970"/>
      <c r="S34" s="970"/>
      <c r="T34" s="970"/>
      <c r="U34" s="970"/>
      <c r="V34" s="970"/>
      <c r="W34" s="970"/>
      <c r="X34" s="970"/>
      <c r="Y34" s="970"/>
      <c r="Z34" s="970"/>
      <c r="AA34" s="970"/>
      <c r="AB34" s="970"/>
    </row>
    <row r="35" spans="1:28" ht="15.75" customHeight="1">
      <c r="A35" s="1558"/>
      <c r="B35" s="1560"/>
      <c r="C35" s="1573" t="s">
        <v>150</v>
      </c>
      <c r="D35" s="1573" t="s">
        <v>151</v>
      </c>
      <c r="E35" s="1573" t="s">
        <v>152</v>
      </c>
      <c r="F35" s="1573" t="s">
        <v>153</v>
      </c>
      <c r="G35" s="1573" t="s">
        <v>154</v>
      </c>
      <c r="H35" s="1573" t="s">
        <v>155</v>
      </c>
      <c r="I35" s="1573" t="s">
        <v>201</v>
      </c>
      <c r="J35" s="1573" t="s">
        <v>202</v>
      </c>
      <c r="K35" s="1573" t="s">
        <v>203</v>
      </c>
      <c r="L35" s="1573" t="s">
        <v>204</v>
      </c>
      <c r="M35" s="1573" t="s">
        <v>205</v>
      </c>
      <c r="N35" s="1573" t="s">
        <v>206</v>
      </c>
      <c r="O35" s="1573" t="s">
        <v>207</v>
      </c>
      <c r="P35" s="1573" t="s">
        <v>208</v>
      </c>
      <c r="Q35" s="1560"/>
      <c r="R35" s="970"/>
      <c r="S35" s="970"/>
      <c r="T35" s="970"/>
      <c r="U35" s="970"/>
      <c r="V35" s="970"/>
      <c r="W35" s="970"/>
      <c r="X35" s="970"/>
      <c r="Y35" s="970"/>
      <c r="Z35" s="970"/>
      <c r="AA35" s="970"/>
      <c r="AB35" s="970"/>
    </row>
    <row r="36" spans="1:28" ht="22" customHeight="1">
      <c r="A36" s="1558"/>
      <c r="B36" s="1570" t="s">
        <v>1790</v>
      </c>
      <c r="C36" s="1570"/>
      <c r="D36" s="1570"/>
      <c r="E36" s="1570"/>
      <c r="F36" s="1570"/>
      <c r="G36" s="1570"/>
      <c r="H36" s="1570"/>
      <c r="I36" s="1570"/>
      <c r="J36" s="1570"/>
      <c r="K36" s="1570"/>
      <c r="L36" s="1570"/>
      <c r="M36" s="1570"/>
      <c r="N36" s="1570"/>
      <c r="O36" s="1570"/>
      <c r="P36" s="1570"/>
      <c r="Q36" s="1570"/>
      <c r="R36" s="970"/>
      <c r="S36" s="970"/>
      <c r="T36" s="970"/>
      <c r="U36" s="970"/>
      <c r="V36" s="970"/>
      <c r="W36" s="970"/>
      <c r="X36" s="970"/>
      <c r="Y36" s="970"/>
      <c r="Z36" s="970"/>
      <c r="AA36" s="970"/>
      <c r="AB36" s="970"/>
    </row>
    <row r="37" spans="1:28" ht="15.75" customHeight="1">
      <c r="A37" s="1558"/>
      <c r="B37" s="1575"/>
      <c r="C37" s="1558"/>
      <c r="D37" s="1558"/>
      <c r="E37" s="1558"/>
      <c r="F37" s="1558"/>
      <c r="G37" s="1558"/>
      <c r="H37" s="1558"/>
      <c r="I37" s="1558"/>
      <c r="J37" s="1558"/>
      <c r="K37" s="1558"/>
      <c r="L37" s="1558"/>
      <c r="M37" s="1558"/>
      <c r="N37" s="1558"/>
      <c r="O37" s="1558"/>
      <c r="P37" s="1558"/>
      <c r="Q37" s="1558"/>
      <c r="R37" s="970"/>
      <c r="S37" s="970"/>
      <c r="T37" s="970"/>
      <c r="U37" s="970"/>
      <c r="V37" s="970"/>
      <c r="W37" s="970"/>
      <c r="X37" s="970"/>
      <c r="Y37" s="970"/>
      <c r="Z37" s="970"/>
      <c r="AA37" s="970"/>
      <c r="AB37" s="970"/>
    </row>
    <row r="38" spans="1:28" ht="15.75" customHeight="1">
      <c r="A38" s="1558"/>
      <c r="B38" s="1561" t="s">
        <v>340</v>
      </c>
      <c r="C38" s="1576">
        <f>Cashflow!D10</f>
        <v>0</v>
      </c>
      <c r="D38" s="1576">
        <f>Cashflow!E10</f>
        <v>0</v>
      </c>
      <c r="E38" s="1576">
        <f>Cashflow!F10</f>
        <v>0</v>
      </c>
      <c r="F38" s="1576">
        <f>Cashflow!G10</f>
        <v>452228.39999999851</v>
      </c>
      <c r="G38" s="1576">
        <f>Cashflow!H10</f>
        <v>1724785.5788420234</v>
      </c>
      <c r="H38" s="1576">
        <f>Cashflow!I10</f>
        <v>2184190.0265896698</v>
      </c>
      <c r="I38" s="1576">
        <f>Cashflow!J10</f>
        <v>2729888.0048414734</v>
      </c>
      <c r="J38" s="1576">
        <f>Cashflow!K10</f>
        <v>3408438.9677277789</v>
      </c>
      <c r="K38" s="1576">
        <f>Cashflow!L10</f>
        <v>4135811.3744280911</v>
      </c>
      <c r="L38" s="1576">
        <f>Cashflow!M10</f>
        <v>4833789.0215595746</v>
      </c>
      <c r="M38" s="1576">
        <f>Cashflow!N10</f>
        <v>5560495.5688160015</v>
      </c>
      <c r="N38" s="1576">
        <f>Cashflow!O10</f>
        <v>6335431.2849013144</v>
      </c>
      <c r="O38" s="1576">
        <f>Cashflow!P10</f>
        <v>7159432.279050706</v>
      </c>
      <c r="P38" s="1576">
        <f>Cashflow!Q10</f>
        <v>9596186.910685651</v>
      </c>
      <c r="Q38" s="1558"/>
      <c r="R38" s="970"/>
      <c r="S38" s="970"/>
      <c r="T38" s="970"/>
      <c r="U38" s="970"/>
      <c r="V38" s="970"/>
      <c r="W38" s="970"/>
      <c r="X38" s="970"/>
      <c r="Y38" s="970"/>
      <c r="Z38" s="970"/>
      <c r="AA38" s="970"/>
      <c r="AB38" s="970"/>
    </row>
    <row r="39" spans="1:28" ht="15.75" customHeight="1">
      <c r="A39" s="1558"/>
      <c r="B39" s="1561"/>
      <c r="C39" s="1576"/>
      <c r="D39" s="1576"/>
      <c r="E39" s="1576"/>
      <c r="F39" s="1576"/>
      <c r="G39" s="1576"/>
      <c r="H39" s="1576"/>
      <c r="I39" s="1576"/>
      <c r="J39" s="1576"/>
      <c r="K39" s="1576"/>
      <c r="L39" s="1576"/>
      <c r="M39" s="1576"/>
      <c r="N39" s="1576"/>
      <c r="O39" s="1576"/>
      <c r="P39" s="1576"/>
      <c r="Q39" s="1558"/>
      <c r="R39" s="970"/>
      <c r="S39" s="970"/>
      <c r="T39" s="970"/>
      <c r="U39" s="970"/>
      <c r="V39" s="970"/>
      <c r="W39" s="970"/>
      <c r="X39" s="970"/>
      <c r="Y39" s="970"/>
      <c r="Z39" s="970"/>
      <c r="AA39" s="970"/>
      <c r="AB39" s="970"/>
    </row>
    <row r="40" spans="1:28" ht="15.75" customHeight="1">
      <c r="A40" s="1558"/>
      <c r="B40" s="1561" t="s">
        <v>1791</v>
      </c>
      <c r="C40" s="1576">
        <f>Cashflow!D23</f>
        <v>0</v>
      </c>
      <c r="D40" s="1576">
        <f>Cashflow!E23</f>
        <v>0</v>
      </c>
      <c r="E40" s="1576">
        <f>Cashflow!F23</f>
        <v>22496298.09</v>
      </c>
      <c r="F40" s="1576">
        <f>Cashflow!G23</f>
        <v>18772333.414999999</v>
      </c>
      <c r="G40" s="1576">
        <f>Cashflow!H23</f>
        <v>19676502.288939998</v>
      </c>
      <c r="H40" s="1576">
        <f>Cashflow!I23</f>
        <v>20615521.882462904</v>
      </c>
      <c r="I40" s="1576">
        <f>Cashflow!J23</f>
        <v>21808634.554464001</v>
      </c>
      <c r="J40" s="1576">
        <f>Cashflow!K23</f>
        <v>22300756.692269798</v>
      </c>
      <c r="K40" s="1576">
        <f>Cashflow!L23</f>
        <v>22807316.061739061</v>
      </c>
      <c r="L40" s="1576">
        <f>Cashflow!M23</f>
        <v>23328737.619009934</v>
      </c>
      <c r="M40" s="1576">
        <f>Cashflow!N23</f>
        <v>23865458.864884399</v>
      </c>
      <c r="N40" s="1576">
        <f>Cashflow!O23</f>
        <v>24417930.216067705</v>
      </c>
      <c r="O40" s="1576">
        <f>Cashflow!P23</f>
        <v>24986615.387417436</v>
      </c>
      <c r="P40" s="1576">
        <f>Cashflow!Q23</f>
        <v>25571991.785529338</v>
      </c>
      <c r="Q40" s="1558"/>
      <c r="R40" s="970"/>
      <c r="S40" s="970"/>
      <c r="T40" s="970"/>
      <c r="U40" s="970"/>
      <c r="V40" s="970"/>
      <c r="W40" s="970"/>
      <c r="X40" s="970"/>
      <c r="Y40" s="970"/>
      <c r="Z40" s="970"/>
      <c r="AA40" s="970"/>
      <c r="AB40" s="970"/>
    </row>
    <row r="41" spans="1:28" ht="15.75" customHeight="1">
      <c r="A41" s="1558"/>
      <c r="B41" s="1561"/>
      <c r="C41" s="1576"/>
      <c r="D41" s="1576"/>
      <c r="E41" s="1576"/>
      <c r="F41" s="1576"/>
      <c r="G41" s="1576"/>
      <c r="H41" s="1576"/>
      <c r="I41" s="1576"/>
      <c r="J41" s="1576"/>
      <c r="K41" s="1576"/>
      <c r="L41" s="1576"/>
      <c r="M41" s="1576"/>
      <c r="N41" s="1576"/>
      <c r="O41" s="1576"/>
      <c r="P41" s="1576"/>
      <c r="Q41" s="1558"/>
      <c r="R41" s="970"/>
      <c r="S41" s="970"/>
      <c r="T41" s="970"/>
      <c r="U41" s="970"/>
      <c r="V41" s="970"/>
      <c r="W41" s="970"/>
      <c r="X41" s="970"/>
      <c r="Y41" s="970"/>
      <c r="Z41" s="970"/>
      <c r="AA41" s="970"/>
      <c r="AB41" s="970"/>
    </row>
    <row r="42" spans="1:28" ht="15.75" customHeight="1">
      <c r="A42" s="1558"/>
      <c r="B42" s="1561" t="s">
        <v>1792</v>
      </c>
      <c r="C42" s="1576">
        <f>Cashflow!D35</f>
        <v>0</v>
      </c>
      <c r="D42" s="1576">
        <f>Cashflow!E35</f>
        <v>0</v>
      </c>
      <c r="E42" s="1576">
        <f>Cashflow!F35</f>
        <v>-22044069.690000001</v>
      </c>
      <c r="F42" s="1576">
        <f>Cashflow!G35</f>
        <v>-16403049.654136742</v>
      </c>
      <c r="G42" s="1576">
        <f>Cashflow!H35</f>
        <v>-19204257.246734519</v>
      </c>
      <c r="H42" s="1576">
        <f>Cashflow!I35</f>
        <v>-20011021.488196172</v>
      </c>
      <c r="I42" s="1576">
        <f>Cashflow!J35</f>
        <v>-21054061.399030805</v>
      </c>
      <c r="J42" s="1576">
        <f>Cashflow!K35</f>
        <v>-21549042.632314298</v>
      </c>
      <c r="K42" s="1576">
        <f>Cashflow!L35</f>
        <v>-22130733.316999696</v>
      </c>
      <c r="L42" s="1576">
        <f>Cashflow!M35</f>
        <v>-22589114.06921494</v>
      </c>
      <c r="M42" s="1576">
        <f>Cashflow!N35</f>
        <v>-23065963.769180335</v>
      </c>
      <c r="N42" s="1576">
        <f>Cashflow!O35</f>
        <v>-23568679.075039968</v>
      </c>
      <c r="O42" s="1576">
        <f>Cashflow!P35</f>
        <v>-22531407.377486311</v>
      </c>
      <c r="P42" s="1576">
        <f>Cashflow!Q35</f>
        <v>-22810851.137133364</v>
      </c>
      <c r="Q42" s="1558"/>
      <c r="R42" s="970"/>
      <c r="S42" s="970"/>
      <c r="T42" s="970"/>
      <c r="U42" s="970"/>
      <c r="V42" s="970"/>
      <c r="W42" s="970"/>
      <c r="X42" s="970"/>
      <c r="Y42" s="970"/>
      <c r="Z42" s="970"/>
      <c r="AA42" s="970"/>
      <c r="AB42" s="970"/>
    </row>
    <row r="43" spans="1:28" ht="15.75" customHeight="1">
      <c r="A43" s="1558"/>
      <c r="B43" s="1561"/>
      <c r="C43" s="1576"/>
      <c r="D43" s="1576"/>
      <c r="E43" s="1576"/>
      <c r="F43" s="1576"/>
      <c r="G43" s="1576"/>
      <c r="H43" s="1576"/>
      <c r="I43" s="1576"/>
      <c r="J43" s="1576"/>
      <c r="K43" s="1576"/>
      <c r="L43" s="1576"/>
      <c r="M43" s="1576"/>
      <c r="N43" s="1576"/>
      <c r="O43" s="1576"/>
      <c r="P43" s="1576"/>
      <c r="Q43" s="1558"/>
      <c r="R43" s="970"/>
      <c r="S43" s="970"/>
      <c r="T43" s="970"/>
      <c r="U43" s="970"/>
      <c r="V43" s="970"/>
      <c r="W43" s="970"/>
      <c r="X43" s="970"/>
      <c r="Y43" s="970"/>
      <c r="Z43" s="970"/>
      <c r="AA43" s="970"/>
      <c r="AB43" s="970"/>
    </row>
    <row r="44" spans="1:28" ht="15.75" customHeight="1">
      <c r="A44" s="1558"/>
      <c r="B44" s="1561" t="s">
        <v>1793</v>
      </c>
      <c r="C44" s="1576">
        <f>Cashflow!D36</f>
        <v>0</v>
      </c>
      <c r="D44" s="1576">
        <f>Cashflow!E36</f>
        <v>0</v>
      </c>
      <c r="E44" s="1576">
        <f>Cashflow!F36</f>
        <v>0</v>
      </c>
      <c r="F44" s="1576">
        <f>Cashflow!G36</f>
        <v>-1096726.5820212327</v>
      </c>
      <c r="G44" s="1576">
        <f>Cashflow!H36</f>
        <v>-12840.59445783266</v>
      </c>
      <c r="H44" s="1576">
        <f>Cashflow!I36</f>
        <v>-58802.416014928283</v>
      </c>
      <c r="I44" s="1576">
        <f>Cashflow!J36</f>
        <v>-76022.192546891019</v>
      </c>
      <c r="J44" s="1576">
        <f>Cashflow!K36</f>
        <v>-24341.653255187935</v>
      </c>
      <c r="K44" s="1576">
        <f>Cashflow!L36</f>
        <v>21394.902392118325</v>
      </c>
      <c r="L44" s="1576">
        <f>Cashflow!M36</f>
        <v>-12917.002538567729</v>
      </c>
      <c r="M44" s="1576">
        <f>Cashflow!N36</f>
        <v>-24559.379618751002</v>
      </c>
      <c r="N44" s="1576">
        <f>Cashflow!O36</f>
        <v>-25250.146878345986</v>
      </c>
      <c r="O44" s="1576">
        <f>Cashflow!P36</f>
        <v>-18453.378296178591</v>
      </c>
      <c r="P44" s="1576">
        <f>Cashflow!Q36</f>
        <v>-78752.097485271166</v>
      </c>
      <c r="Q44" s="1558"/>
      <c r="R44" s="970"/>
      <c r="S44" s="970"/>
      <c r="T44" s="970"/>
      <c r="U44" s="970"/>
      <c r="V44" s="970"/>
      <c r="W44" s="970"/>
      <c r="X44" s="970"/>
      <c r="Y44" s="970"/>
      <c r="Z44" s="970"/>
      <c r="AA44" s="970"/>
      <c r="AB44" s="970"/>
    </row>
    <row r="45" spans="1:28" ht="15.75" customHeight="1">
      <c r="A45" s="1558"/>
      <c r="B45" s="1561"/>
      <c r="C45" s="1576"/>
      <c r="D45" s="1576"/>
      <c r="E45" s="1576"/>
      <c r="F45" s="1576"/>
      <c r="G45" s="1576"/>
      <c r="H45" s="1576"/>
      <c r="I45" s="1576"/>
      <c r="J45" s="1576"/>
      <c r="K45" s="1576"/>
      <c r="L45" s="1576"/>
      <c r="M45" s="1576"/>
      <c r="N45" s="1576"/>
      <c r="O45" s="1576"/>
      <c r="P45" s="1576"/>
      <c r="Q45" s="1558"/>
      <c r="R45" s="970"/>
      <c r="S45" s="970"/>
      <c r="T45" s="970"/>
      <c r="U45" s="970"/>
      <c r="V45" s="970"/>
      <c r="W45" s="970"/>
      <c r="X45" s="970"/>
      <c r="Y45" s="970"/>
      <c r="Z45" s="970"/>
      <c r="AA45" s="970"/>
      <c r="AB45" s="970"/>
    </row>
    <row r="46" spans="1:28" ht="15.75" customHeight="1">
      <c r="A46" s="1558"/>
      <c r="B46" s="1562" t="s">
        <v>1794</v>
      </c>
      <c r="C46" s="1577">
        <f t="shared" ref="C46:P46" si="6">C40+C42+C44</f>
        <v>0</v>
      </c>
      <c r="D46" s="1577">
        <f t="shared" si="6"/>
        <v>0</v>
      </c>
      <c r="E46" s="1577">
        <f t="shared" si="6"/>
        <v>452228.39999999851</v>
      </c>
      <c r="F46" s="1577">
        <f t="shared" si="6"/>
        <v>1272557.1788420249</v>
      </c>
      <c r="G46" s="1577">
        <f t="shared" si="6"/>
        <v>459404.44774764637</v>
      </c>
      <c r="H46" s="1577">
        <f t="shared" si="6"/>
        <v>545697.97825180378</v>
      </c>
      <c r="I46" s="1577">
        <f t="shared" si="6"/>
        <v>678550.96288630553</v>
      </c>
      <c r="J46" s="1577">
        <f t="shared" si="6"/>
        <v>727372.40670031216</v>
      </c>
      <c r="K46" s="1577">
        <f t="shared" si="6"/>
        <v>697977.64713148319</v>
      </c>
      <c r="L46" s="1577">
        <f t="shared" si="6"/>
        <v>726706.54725642654</v>
      </c>
      <c r="M46" s="1577">
        <f t="shared" si="6"/>
        <v>774935.71608531277</v>
      </c>
      <c r="N46" s="1577">
        <f t="shared" si="6"/>
        <v>824000.99414939142</v>
      </c>
      <c r="O46" s="1577">
        <f t="shared" si="6"/>
        <v>2436754.631634946</v>
      </c>
      <c r="P46" s="1577">
        <f t="shared" si="6"/>
        <v>2682388.5509107029</v>
      </c>
      <c r="Q46" s="1558"/>
      <c r="R46" s="970"/>
      <c r="S46" s="970"/>
      <c r="T46" s="970"/>
      <c r="U46" s="970"/>
      <c r="V46" s="970"/>
      <c r="W46" s="970"/>
      <c r="X46" s="970"/>
      <c r="Y46" s="970"/>
      <c r="Z46" s="970"/>
      <c r="AA46" s="970"/>
      <c r="AB46" s="970"/>
    </row>
    <row r="47" spans="1:28" ht="15.75" customHeight="1">
      <c r="A47" s="1558"/>
      <c r="B47" s="1579"/>
      <c r="C47" s="1580"/>
      <c r="D47" s="1580"/>
      <c r="E47" s="1580"/>
      <c r="F47" s="1580"/>
      <c r="G47" s="1580"/>
      <c r="H47" s="1580"/>
      <c r="I47" s="1580"/>
      <c r="J47" s="1580"/>
      <c r="K47" s="1580"/>
      <c r="L47" s="1580"/>
      <c r="M47" s="1580"/>
      <c r="N47" s="1580"/>
      <c r="O47" s="1580"/>
      <c r="P47" s="1580"/>
      <c r="Q47" s="1558"/>
      <c r="R47" s="970"/>
      <c r="S47" s="970"/>
      <c r="T47" s="970"/>
      <c r="U47" s="970"/>
      <c r="V47" s="970"/>
      <c r="W47" s="970"/>
      <c r="X47" s="970"/>
      <c r="Y47" s="970"/>
      <c r="Z47" s="970"/>
      <c r="AA47" s="970"/>
      <c r="AB47" s="970"/>
    </row>
    <row r="48" spans="1:28" ht="15.75" customHeight="1">
      <c r="A48" s="1558"/>
      <c r="B48" s="1592" t="s">
        <v>365</v>
      </c>
      <c r="C48" s="1593">
        <f t="shared" ref="C48:P48" si="7">C38+C46</f>
        <v>0</v>
      </c>
      <c r="D48" s="1593">
        <f t="shared" si="7"/>
        <v>0</v>
      </c>
      <c r="E48" s="1593">
        <f t="shared" si="7"/>
        <v>452228.39999999851</v>
      </c>
      <c r="F48" s="1593">
        <f t="shared" si="7"/>
        <v>1724785.5788420234</v>
      </c>
      <c r="G48" s="1593">
        <f t="shared" si="7"/>
        <v>2184190.0265896698</v>
      </c>
      <c r="H48" s="1593">
        <f t="shared" si="7"/>
        <v>2729888.0048414734</v>
      </c>
      <c r="I48" s="1593">
        <f t="shared" si="7"/>
        <v>3408438.9677277789</v>
      </c>
      <c r="J48" s="1593">
        <f t="shared" si="7"/>
        <v>4135811.3744280911</v>
      </c>
      <c r="K48" s="1593">
        <f t="shared" si="7"/>
        <v>4833789.0215595746</v>
      </c>
      <c r="L48" s="1593">
        <f t="shared" si="7"/>
        <v>5560495.5688160015</v>
      </c>
      <c r="M48" s="1593">
        <f t="shared" si="7"/>
        <v>6335431.2849013144</v>
      </c>
      <c r="N48" s="1593">
        <f t="shared" si="7"/>
        <v>7159432.279050706</v>
      </c>
      <c r="O48" s="1593">
        <f t="shared" si="7"/>
        <v>9596186.910685651</v>
      </c>
      <c r="P48" s="1593">
        <f t="shared" si="7"/>
        <v>12278575.461596355</v>
      </c>
      <c r="Q48" s="1558"/>
      <c r="R48" s="970"/>
      <c r="S48" s="970"/>
      <c r="T48" s="970"/>
      <c r="U48" s="970"/>
      <c r="V48" s="970"/>
      <c r="W48" s="970"/>
      <c r="X48" s="970"/>
      <c r="Y48" s="970"/>
      <c r="Z48" s="970"/>
      <c r="AA48" s="970"/>
      <c r="AB48" s="970"/>
    </row>
    <row r="49" spans="1:28" ht="15.75" customHeight="1">
      <c r="A49" s="1558"/>
      <c r="B49" s="1585" t="s">
        <v>197</v>
      </c>
      <c r="C49" s="1591">
        <f>'P&amp;L'!G108</f>
        <v>0</v>
      </c>
      <c r="D49" s="1591" t="str">
        <f>Cashflow!E67</f>
        <v/>
      </c>
      <c r="E49" s="1591" t="str">
        <f>Cashflow!F67</f>
        <v/>
      </c>
      <c r="F49" s="1591">
        <f>Cashflow!G67</f>
        <v>3.7480650108967009</v>
      </c>
      <c r="G49" s="1591">
        <f>Cashflow!H67</f>
        <v>3.0466904338978202</v>
      </c>
      <c r="H49" s="1591">
        <f>Cashflow!I67</f>
        <v>3.3189553617167831</v>
      </c>
      <c r="I49" s="1591">
        <f>Cashflow!J67</f>
        <v>3.7480418669249009</v>
      </c>
      <c r="J49" s="1591">
        <f>Cashflow!K67</f>
        <v>4.046953904892197</v>
      </c>
      <c r="K49" s="1591">
        <f>Cashflow!L67</f>
        <v>4.1874723826887088</v>
      </c>
      <c r="L49" s="1591">
        <f>Cashflow!M67</f>
        <v>4.4574720293004884</v>
      </c>
      <c r="M49" s="1591">
        <f>Cashflow!N67</f>
        <v>4.8337591413140704</v>
      </c>
      <c r="N49" s="1591">
        <f>Cashflow!O67</f>
        <v>5.2771194419729879</v>
      </c>
      <c r="O49" s="1591" t="str">
        <f>Cashflow!P67</f>
        <v/>
      </c>
      <c r="P49" s="1591" t="str">
        <f>Cashflow!Q67</f>
        <v/>
      </c>
      <c r="Q49" s="1558"/>
      <c r="R49" s="970"/>
      <c r="S49" s="970"/>
      <c r="T49" s="970"/>
      <c r="U49" s="970"/>
      <c r="V49" s="970"/>
      <c r="W49" s="970"/>
      <c r="X49" s="970"/>
      <c r="Y49" s="970"/>
      <c r="Z49" s="970"/>
      <c r="AA49" s="970"/>
      <c r="AB49" s="970"/>
    </row>
    <row r="50" spans="1:28" ht="15.75" customHeight="1">
      <c r="A50" s="970"/>
      <c r="B50" s="970"/>
      <c r="C50" s="974"/>
      <c r="D50" s="974"/>
      <c r="E50" s="974"/>
      <c r="F50" s="974"/>
      <c r="G50" s="974"/>
      <c r="H50" s="974"/>
      <c r="I50" s="974"/>
      <c r="J50" s="974"/>
      <c r="K50" s="974"/>
      <c r="L50" s="974"/>
      <c r="M50" s="974"/>
      <c r="N50" s="974"/>
      <c r="O50" s="974"/>
      <c r="P50" s="974"/>
      <c r="Q50" s="974"/>
      <c r="R50" s="970"/>
      <c r="S50" s="970"/>
      <c r="T50" s="970"/>
      <c r="U50" s="970"/>
      <c r="V50" s="970"/>
      <c r="W50" s="970"/>
      <c r="X50" s="970"/>
      <c r="Y50" s="970"/>
      <c r="Z50" s="970"/>
      <c r="AA50" s="970"/>
      <c r="AB50" s="970"/>
    </row>
    <row r="51" spans="1:28" ht="15.75" customHeight="1">
      <c r="A51" s="970"/>
      <c r="B51" s="970"/>
      <c r="C51" s="974"/>
      <c r="D51" s="974"/>
      <c r="E51" s="974"/>
      <c r="F51" s="974"/>
      <c r="G51" s="974"/>
      <c r="H51" s="974"/>
      <c r="I51" s="974"/>
      <c r="J51" s="974"/>
      <c r="K51" s="974"/>
      <c r="L51" s="974"/>
      <c r="M51" s="974"/>
      <c r="N51" s="974"/>
      <c r="O51" s="974"/>
      <c r="P51" s="974"/>
      <c r="Q51" s="974"/>
      <c r="R51" s="970"/>
      <c r="S51" s="970"/>
      <c r="T51" s="970"/>
      <c r="U51" s="970"/>
      <c r="V51" s="970"/>
      <c r="W51" s="970"/>
      <c r="X51" s="970"/>
      <c r="Y51" s="970"/>
      <c r="Z51" s="970"/>
      <c r="AA51" s="970"/>
      <c r="AB51" s="970"/>
    </row>
    <row r="52" spans="1:28" ht="15.75" customHeight="1">
      <c r="A52" s="970"/>
      <c r="B52" s="970"/>
      <c r="C52" s="974"/>
      <c r="D52" s="974"/>
      <c r="E52" s="974"/>
      <c r="F52" s="974"/>
      <c r="G52" s="974"/>
      <c r="H52" s="974"/>
      <c r="I52" s="974"/>
      <c r="J52" s="974"/>
      <c r="K52" s="974"/>
      <c r="L52" s="974"/>
      <c r="M52" s="974"/>
      <c r="N52" s="974"/>
      <c r="O52" s="974"/>
      <c r="P52" s="974"/>
      <c r="Q52" s="974"/>
      <c r="R52" s="970"/>
      <c r="S52" s="970"/>
      <c r="T52" s="970"/>
      <c r="U52" s="970"/>
      <c r="V52" s="970"/>
      <c r="W52" s="970"/>
      <c r="X52" s="970"/>
      <c r="Y52" s="970"/>
      <c r="Z52" s="970"/>
      <c r="AA52" s="970"/>
      <c r="AB52" s="970"/>
    </row>
    <row r="53" spans="1:28" ht="15.75" customHeight="1">
      <c r="A53" s="970"/>
      <c r="B53" s="970"/>
      <c r="C53" s="974"/>
      <c r="D53" s="974"/>
      <c r="E53" s="974"/>
      <c r="F53" s="974"/>
      <c r="G53" s="974"/>
      <c r="H53" s="974"/>
      <c r="I53" s="974"/>
      <c r="J53" s="974"/>
      <c r="K53" s="974"/>
      <c r="L53" s="974"/>
      <c r="M53" s="974"/>
      <c r="N53" s="974"/>
      <c r="O53" s="974"/>
      <c r="P53" s="974"/>
      <c r="Q53" s="974"/>
      <c r="R53" s="970"/>
      <c r="S53" s="970"/>
      <c r="T53" s="970"/>
      <c r="U53" s="970"/>
      <c r="V53" s="970"/>
      <c r="W53" s="970"/>
      <c r="X53" s="970"/>
      <c r="Y53" s="970"/>
      <c r="Z53" s="970"/>
      <c r="AA53" s="970"/>
      <c r="AB53" s="970"/>
    </row>
    <row r="54" spans="1:28" ht="15.75" customHeight="1">
      <c r="A54" s="970"/>
      <c r="B54" s="970"/>
      <c r="C54" s="974"/>
      <c r="D54" s="974"/>
      <c r="E54" s="974"/>
      <c r="F54" s="974"/>
      <c r="G54" s="974"/>
      <c r="H54" s="974"/>
      <c r="I54" s="974"/>
      <c r="J54" s="974"/>
      <c r="K54" s="974"/>
      <c r="L54" s="974"/>
      <c r="M54" s="974"/>
      <c r="N54" s="974"/>
      <c r="O54" s="974"/>
      <c r="P54" s="974"/>
      <c r="Q54" s="974"/>
      <c r="R54" s="970"/>
      <c r="S54" s="970"/>
      <c r="T54" s="970"/>
      <c r="U54" s="970"/>
      <c r="V54" s="970"/>
      <c r="W54" s="970"/>
      <c r="X54" s="970"/>
      <c r="Y54" s="970"/>
      <c r="Z54" s="970"/>
      <c r="AA54" s="970"/>
      <c r="AB54" s="970"/>
    </row>
    <row r="55" spans="1:28" ht="15.75" customHeight="1">
      <c r="A55" s="970"/>
      <c r="B55" s="970"/>
      <c r="C55" s="974"/>
      <c r="D55" s="974"/>
      <c r="E55" s="974"/>
      <c r="F55" s="974"/>
      <c r="G55" s="974"/>
      <c r="H55" s="974"/>
      <c r="I55" s="974"/>
      <c r="J55" s="974"/>
      <c r="K55" s="974"/>
      <c r="L55" s="974"/>
      <c r="M55" s="974"/>
      <c r="N55" s="974"/>
      <c r="O55" s="974"/>
      <c r="P55" s="974"/>
      <c r="Q55" s="974"/>
      <c r="R55" s="970"/>
      <c r="S55" s="970"/>
      <c r="T55" s="970"/>
      <c r="U55" s="970"/>
      <c r="V55" s="970"/>
      <c r="W55" s="970"/>
      <c r="X55" s="970"/>
      <c r="Y55" s="970"/>
      <c r="Z55" s="970"/>
      <c r="AA55" s="970"/>
      <c r="AB55" s="970"/>
    </row>
    <row r="56" spans="1:28" ht="15.75" customHeight="1">
      <c r="A56" s="970"/>
      <c r="B56" s="970"/>
      <c r="C56" s="974"/>
      <c r="D56" s="974"/>
      <c r="E56" s="974"/>
      <c r="F56" s="974"/>
      <c r="G56" s="974"/>
      <c r="H56" s="974"/>
      <c r="I56" s="974"/>
      <c r="J56" s="974"/>
      <c r="K56" s="974"/>
      <c r="L56" s="974"/>
      <c r="M56" s="974"/>
      <c r="N56" s="974"/>
      <c r="O56" s="974"/>
      <c r="P56" s="974"/>
      <c r="Q56" s="974"/>
      <c r="R56" s="970"/>
      <c r="S56" s="970"/>
      <c r="T56" s="970"/>
      <c r="U56" s="970"/>
      <c r="V56" s="970"/>
      <c r="W56" s="970"/>
      <c r="X56" s="970"/>
      <c r="Y56" s="970"/>
      <c r="Z56" s="970"/>
      <c r="AA56" s="970"/>
      <c r="AB56" s="970"/>
    </row>
    <row r="57" spans="1:28" ht="15.75" customHeight="1">
      <c r="A57" s="970"/>
      <c r="B57" s="970"/>
      <c r="C57" s="974"/>
      <c r="D57" s="974"/>
      <c r="E57" s="974"/>
      <c r="F57" s="974"/>
      <c r="G57" s="974"/>
      <c r="H57" s="974"/>
      <c r="I57" s="974"/>
      <c r="J57" s="974"/>
      <c r="K57" s="974"/>
      <c r="L57" s="974"/>
      <c r="M57" s="974"/>
      <c r="N57" s="974"/>
      <c r="O57" s="974"/>
      <c r="P57" s="974"/>
      <c r="Q57" s="974"/>
      <c r="R57" s="970"/>
      <c r="S57" s="970"/>
      <c r="T57" s="970"/>
      <c r="U57" s="970"/>
      <c r="V57" s="970"/>
      <c r="W57" s="970"/>
      <c r="X57" s="970"/>
      <c r="Y57" s="970"/>
      <c r="Z57" s="970"/>
      <c r="AA57" s="970"/>
      <c r="AB57" s="970"/>
    </row>
    <row r="58" spans="1:28" ht="15.75" customHeight="1">
      <c r="A58" s="970"/>
      <c r="B58" s="970"/>
      <c r="C58" s="974"/>
      <c r="D58" s="974"/>
      <c r="E58" s="974"/>
      <c r="F58" s="974"/>
      <c r="G58" s="974"/>
      <c r="H58" s="974"/>
      <c r="I58" s="974"/>
      <c r="J58" s="974"/>
      <c r="K58" s="974"/>
      <c r="L58" s="974"/>
      <c r="M58" s="974"/>
      <c r="N58" s="974"/>
      <c r="O58" s="974"/>
      <c r="P58" s="974"/>
      <c r="Q58" s="974"/>
      <c r="R58" s="970"/>
      <c r="S58" s="970"/>
      <c r="T58" s="970"/>
      <c r="U58" s="970"/>
      <c r="V58" s="970"/>
      <c r="W58" s="970"/>
      <c r="X58" s="970"/>
      <c r="Y58" s="970"/>
      <c r="Z58" s="970"/>
      <c r="AA58" s="970"/>
      <c r="AB58" s="970"/>
    </row>
    <row r="59" spans="1:28" ht="15.75" customHeight="1">
      <c r="A59" s="970"/>
      <c r="B59" s="970"/>
      <c r="C59" s="974"/>
      <c r="D59" s="974"/>
      <c r="E59" s="974"/>
      <c r="F59" s="974"/>
      <c r="G59" s="974"/>
      <c r="H59" s="974"/>
      <c r="I59" s="974"/>
      <c r="J59" s="974"/>
      <c r="K59" s="974"/>
      <c r="L59" s="974"/>
      <c r="M59" s="974"/>
      <c r="N59" s="974"/>
      <c r="O59" s="974"/>
      <c r="P59" s="974"/>
      <c r="Q59" s="974"/>
      <c r="R59" s="970"/>
      <c r="S59" s="970"/>
      <c r="T59" s="970"/>
      <c r="U59" s="970"/>
      <c r="V59" s="970"/>
      <c r="W59" s="970"/>
      <c r="X59" s="970"/>
      <c r="Y59" s="970"/>
      <c r="Z59" s="970"/>
      <c r="AA59" s="970"/>
      <c r="AB59" s="970"/>
    </row>
    <row r="60" spans="1:28" ht="15.75" customHeight="1">
      <c r="A60" s="970"/>
      <c r="B60" s="970"/>
      <c r="C60" s="974"/>
      <c r="D60" s="974"/>
      <c r="E60" s="974"/>
      <c r="F60" s="974"/>
      <c r="G60" s="974"/>
      <c r="H60" s="974"/>
      <c r="I60" s="974"/>
      <c r="J60" s="974"/>
      <c r="K60" s="974"/>
      <c r="L60" s="974"/>
      <c r="M60" s="974"/>
      <c r="N60" s="974"/>
      <c r="O60" s="974"/>
      <c r="P60" s="974"/>
      <c r="Q60" s="974"/>
      <c r="R60" s="970"/>
      <c r="S60" s="970"/>
      <c r="T60" s="970"/>
      <c r="U60" s="970"/>
      <c r="V60" s="970"/>
      <c r="W60" s="970"/>
      <c r="X60" s="970"/>
      <c r="Y60" s="970"/>
      <c r="Z60" s="970"/>
      <c r="AA60" s="970"/>
      <c r="AB60" s="970"/>
    </row>
    <row r="61" spans="1:28" ht="15.75" customHeight="1">
      <c r="A61" s="970"/>
      <c r="B61" s="970"/>
      <c r="C61" s="974"/>
      <c r="D61" s="974"/>
      <c r="E61" s="974"/>
      <c r="F61" s="974"/>
      <c r="G61" s="974"/>
      <c r="H61" s="974"/>
      <c r="I61" s="974"/>
      <c r="J61" s="974"/>
      <c r="K61" s="974"/>
      <c r="L61" s="974"/>
      <c r="M61" s="974"/>
      <c r="N61" s="974"/>
      <c r="O61" s="974"/>
      <c r="P61" s="974"/>
      <c r="Q61" s="974"/>
      <c r="R61" s="970"/>
      <c r="S61" s="970"/>
      <c r="T61" s="970"/>
      <c r="U61" s="970"/>
      <c r="V61" s="970"/>
      <c r="W61" s="970"/>
      <c r="X61" s="970"/>
      <c r="Y61" s="970"/>
      <c r="Z61" s="970"/>
      <c r="AA61" s="970"/>
      <c r="AB61" s="970"/>
    </row>
    <row r="62" spans="1:28" ht="15.75" customHeight="1">
      <c r="A62" s="970"/>
      <c r="B62" s="970"/>
      <c r="C62" s="974"/>
      <c r="D62" s="974"/>
      <c r="E62" s="974"/>
      <c r="F62" s="974"/>
      <c r="G62" s="974"/>
      <c r="H62" s="974"/>
      <c r="I62" s="974"/>
      <c r="J62" s="974"/>
      <c r="K62" s="974"/>
      <c r="L62" s="974"/>
      <c r="M62" s="974"/>
      <c r="N62" s="974"/>
      <c r="O62" s="974"/>
      <c r="P62" s="974"/>
      <c r="Q62" s="974"/>
      <c r="R62" s="970"/>
      <c r="S62" s="970"/>
      <c r="T62" s="970"/>
      <c r="U62" s="970"/>
      <c r="V62" s="970"/>
      <c r="W62" s="970"/>
      <c r="X62" s="970"/>
      <c r="Y62" s="970"/>
      <c r="Z62" s="970"/>
      <c r="AA62" s="970"/>
      <c r="AB62" s="970"/>
    </row>
    <row r="63" spans="1:28" ht="15.75" customHeight="1">
      <c r="A63" s="970"/>
      <c r="B63" s="970"/>
      <c r="C63" s="974"/>
      <c r="D63" s="974"/>
      <c r="E63" s="974"/>
      <c r="F63" s="974"/>
      <c r="G63" s="974"/>
      <c r="H63" s="974"/>
      <c r="I63" s="974"/>
      <c r="J63" s="974"/>
      <c r="K63" s="974"/>
      <c r="L63" s="974"/>
      <c r="M63" s="974"/>
      <c r="N63" s="974"/>
      <c r="O63" s="974"/>
      <c r="P63" s="974"/>
      <c r="Q63" s="974"/>
      <c r="R63" s="970"/>
      <c r="S63" s="970"/>
      <c r="T63" s="970"/>
      <c r="U63" s="970"/>
      <c r="V63" s="970"/>
      <c r="W63" s="970"/>
      <c r="X63" s="970"/>
      <c r="Y63" s="970"/>
      <c r="Z63" s="970"/>
      <c r="AA63" s="970"/>
      <c r="AB63" s="970"/>
    </row>
    <row r="64" spans="1:28" ht="15.75" customHeight="1">
      <c r="A64" s="970"/>
      <c r="B64" s="970"/>
      <c r="C64" s="974"/>
      <c r="D64" s="974"/>
      <c r="E64" s="974"/>
      <c r="F64" s="974"/>
      <c r="G64" s="974"/>
      <c r="H64" s="974"/>
      <c r="I64" s="974"/>
      <c r="J64" s="974"/>
      <c r="K64" s="974"/>
      <c r="L64" s="974"/>
      <c r="M64" s="974"/>
      <c r="N64" s="974"/>
      <c r="O64" s="974"/>
      <c r="P64" s="974"/>
      <c r="Q64" s="974"/>
      <c r="R64" s="970"/>
      <c r="S64" s="970"/>
      <c r="T64" s="970"/>
      <c r="U64" s="970"/>
      <c r="V64" s="970"/>
      <c r="W64" s="970"/>
      <c r="X64" s="970"/>
      <c r="Y64" s="970"/>
      <c r="Z64" s="970"/>
      <c r="AA64" s="970"/>
      <c r="AB64" s="970"/>
    </row>
    <row r="65" spans="1:28" ht="15.75" customHeight="1">
      <c r="A65" s="970"/>
      <c r="B65" s="970"/>
      <c r="C65" s="974"/>
      <c r="D65" s="974"/>
      <c r="E65" s="974"/>
      <c r="F65" s="974"/>
      <c r="G65" s="974"/>
      <c r="H65" s="974"/>
      <c r="I65" s="974"/>
      <c r="J65" s="974"/>
      <c r="K65" s="974"/>
      <c r="L65" s="974"/>
      <c r="M65" s="974"/>
      <c r="N65" s="974"/>
      <c r="O65" s="974"/>
      <c r="P65" s="974"/>
      <c r="Q65" s="974"/>
      <c r="R65" s="970"/>
      <c r="S65" s="970"/>
      <c r="T65" s="970"/>
      <c r="U65" s="970"/>
      <c r="V65" s="970"/>
      <c r="W65" s="970"/>
      <c r="X65" s="970"/>
      <c r="Y65" s="970"/>
      <c r="Z65" s="970"/>
      <c r="AA65" s="970"/>
      <c r="AB65" s="970"/>
    </row>
    <row r="66" spans="1:28" ht="15.75" customHeight="1">
      <c r="A66" s="970"/>
      <c r="B66" s="970"/>
      <c r="C66" s="974"/>
      <c r="D66" s="974"/>
      <c r="E66" s="974"/>
      <c r="F66" s="974"/>
      <c r="G66" s="974"/>
      <c r="H66" s="974"/>
      <c r="I66" s="974"/>
      <c r="J66" s="974"/>
      <c r="K66" s="974"/>
      <c r="L66" s="974"/>
      <c r="M66" s="974"/>
      <c r="N66" s="974"/>
      <c r="O66" s="974"/>
      <c r="P66" s="974"/>
      <c r="Q66" s="974"/>
      <c r="R66" s="970"/>
      <c r="S66" s="970"/>
      <c r="T66" s="970"/>
      <c r="U66" s="970"/>
      <c r="V66" s="970"/>
      <c r="W66" s="970"/>
      <c r="X66" s="970"/>
      <c r="Y66" s="970"/>
      <c r="Z66" s="970"/>
      <c r="AA66" s="970"/>
      <c r="AB66" s="970"/>
    </row>
    <row r="67" spans="1:28" ht="15.75" customHeight="1">
      <c r="A67" s="970"/>
      <c r="B67" s="970"/>
      <c r="C67" s="974"/>
      <c r="D67" s="974"/>
      <c r="E67" s="974"/>
      <c r="F67" s="974"/>
      <c r="G67" s="974"/>
      <c r="H67" s="974"/>
      <c r="I67" s="974"/>
      <c r="J67" s="974"/>
      <c r="K67" s="974"/>
      <c r="L67" s="974"/>
      <c r="M67" s="974"/>
      <c r="N67" s="974"/>
      <c r="O67" s="974"/>
      <c r="P67" s="974"/>
      <c r="Q67" s="974"/>
      <c r="R67" s="970"/>
      <c r="S67" s="970"/>
      <c r="T67" s="970"/>
      <c r="U67" s="970"/>
      <c r="V67" s="970"/>
      <c r="W67" s="970"/>
      <c r="X67" s="970"/>
      <c r="Y67" s="970"/>
      <c r="Z67" s="970"/>
      <c r="AA67" s="970"/>
      <c r="AB67" s="970"/>
    </row>
    <row r="68" spans="1:28" ht="15.75" customHeight="1">
      <c r="A68" s="970"/>
      <c r="B68" s="970"/>
      <c r="C68" s="974"/>
      <c r="D68" s="974"/>
      <c r="E68" s="974"/>
      <c r="F68" s="974"/>
      <c r="G68" s="974"/>
      <c r="H68" s="974"/>
      <c r="I68" s="974"/>
      <c r="J68" s="974"/>
      <c r="K68" s="974"/>
      <c r="L68" s="974"/>
      <c r="M68" s="974"/>
      <c r="N68" s="974"/>
      <c r="O68" s="974"/>
      <c r="P68" s="974"/>
      <c r="Q68" s="974"/>
      <c r="R68" s="970"/>
      <c r="S68" s="970"/>
      <c r="T68" s="970"/>
      <c r="U68" s="970"/>
      <c r="V68" s="970"/>
      <c r="W68" s="970"/>
      <c r="X68" s="970"/>
      <c r="Y68" s="970"/>
      <c r="Z68" s="970"/>
      <c r="AA68" s="970"/>
      <c r="AB68" s="970"/>
    </row>
    <row r="69" spans="1:28" ht="15.75" customHeight="1">
      <c r="A69" s="970"/>
      <c r="B69" s="970"/>
      <c r="C69" s="974"/>
      <c r="D69" s="974"/>
      <c r="E69" s="974"/>
      <c r="F69" s="974"/>
      <c r="G69" s="974"/>
      <c r="H69" s="974"/>
      <c r="I69" s="974"/>
      <c r="J69" s="974"/>
      <c r="K69" s="974"/>
      <c r="L69" s="974"/>
      <c r="M69" s="974"/>
      <c r="N69" s="974"/>
      <c r="O69" s="974"/>
      <c r="P69" s="974"/>
      <c r="Q69" s="974"/>
      <c r="R69" s="970"/>
      <c r="S69" s="970"/>
      <c r="T69" s="970"/>
      <c r="U69" s="970"/>
      <c r="V69" s="970"/>
      <c r="W69" s="970"/>
      <c r="X69" s="970"/>
      <c r="Y69" s="970"/>
      <c r="Z69" s="970"/>
      <c r="AA69" s="970"/>
      <c r="AB69" s="970"/>
    </row>
    <row r="70" spans="1:28" ht="15.75" customHeight="1">
      <c r="A70" s="970"/>
      <c r="B70" s="970"/>
      <c r="C70" s="974"/>
      <c r="D70" s="974"/>
      <c r="E70" s="974"/>
      <c r="F70" s="974"/>
      <c r="G70" s="974"/>
      <c r="H70" s="974"/>
      <c r="I70" s="974"/>
      <c r="J70" s="974"/>
      <c r="K70" s="974"/>
      <c r="L70" s="974"/>
      <c r="M70" s="974"/>
      <c r="N70" s="974"/>
      <c r="O70" s="974"/>
      <c r="P70" s="974"/>
      <c r="Q70" s="974"/>
      <c r="R70" s="970"/>
      <c r="S70" s="970"/>
      <c r="T70" s="970"/>
      <c r="U70" s="970"/>
      <c r="V70" s="970"/>
      <c r="W70" s="970"/>
      <c r="X70" s="970"/>
      <c r="Y70" s="970"/>
      <c r="Z70" s="970"/>
      <c r="AA70" s="970"/>
      <c r="AB70" s="970"/>
    </row>
    <row r="71" spans="1:28" ht="15.75" customHeight="1">
      <c r="A71" s="970"/>
      <c r="B71" s="970"/>
      <c r="C71" s="974"/>
      <c r="D71" s="974"/>
      <c r="E71" s="974"/>
      <c r="F71" s="974"/>
      <c r="G71" s="974"/>
      <c r="H71" s="974"/>
      <c r="I71" s="974"/>
      <c r="J71" s="974"/>
      <c r="K71" s="974"/>
      <c r="L71" s="974"/>
      <c r="M71" s="974"/>
      <c r="N71" s="974"/>
      <c r="O71" s="974"/>
      <c r="P71" s="974"/>
      <c r="Q71" s="974"/>
      <c r="R71" s="970"/>
      <c r="S71" s="970"/>
      <c r="T71" s="970"/>
      <c r="U71" s="970"/>
      <c r="V71" s="970"/>
      <c r="W71" s="970"/>
      <c r="X71" s="970"/>
      <c r="Y71" s="970"/>
      <c r="Z71" s="970"/>
      <c r="AA71" s="970"/>
      <c r="AB71" s="970"/>
    </row>
    <row r="72" spans="1:28" ht="15.75" customHeight="1">
      <c r="A72" s="970"/>
      <c r="B72" s="970"/>
      <c r="C72" s="974"/>
      <c r="D72" s="974"/>
      <c r="E72" s="974"/>
      <c r="F72" s="974"/>
      <c r="G72" s="974"/>
      <c r="H72" s="974"/>
      <c r="I72" s="974"/>
      <c r="J72" s="974"/>
      <c r="K72" s="974"/>
      <c r="L72" s="974"/>
      <c r="M72" s="974"/>
      <c r="N72" s="974"/>
      <c r="O72" s="974"/>
      <c r="P72" s="974"/>
      <c r="Q72" s="974"/>
      <c r="R72" s="970"/>
      <c r="S72" s="970"/>
      <c r="T72" s="970"/>
      <c r="U72" s="970"/>
      <c r="V72" s="970"/>
      <c r="W72" s="970"/>
      <c r="X72" s="970"/>
      <c r="Y72" s="970"/>
      <c r="Z72" s="970"/>
      <c r="AA72" s="970"/>
      <c r="AB72" s="970"/>
    </row>
    <row r="73" spans="1:28" ht="15.75" customHeight="1">
      <c r="A73" s="970"/>
      <c r="B73" s="970"/>
      <c r="C73" s="974"/>
      <c r="D73" s="974"/>
      <c r="E73" s="974"/>
      <c r="F73" s="974"/>
      <c r="G73" s="974"/>
      <c r="H73" s="974"/>
      <c r="I73" s="974"/>
      <c r="J73" s="974"/>
      <c r="K73" s="974"/>
      <c r="L73" s="974"/>
      <c r="M73" s="974"/>
      <c r="N73" s="974"/>
      <c r="O73" s="974"/>
      <c r="P73" s="974"/>
      <c r="Q73" s="974"/>
      <c r="R73" s="970"/>
      <c r="S73" s="970"/>
      <c r="T73" s="970"/>
      <c r="U73" s="970"/>
      <c r="V73" s="970"/>
      <c r="W73" s="970"/>
      <c r="X73" s="970"/>
      <c r="Y73" s="970"/>
      <c r="Z73" s="970"/>
      <c r="AA73" s="970"/>
      <c r="AB73" s="970"/>
    </row>
    <row r="74" spans="1:28" ht="15.75" customHeight="1">
      <c r="A74" s="970"/>
      <c r="B74" s="970"/>
      <c r="C74" s="974"/>
      <c r="D74" s="974"/>
      <c r="E74" s="974"/>
      <c r="F74" s="974"/>
      <c r="G74" s="974"/>
      <c r="H74" s="974"/>
      <c r="I74" s="974"/>
      <c r="J74" s="974"/>
      <c r="K74" s="974"/>
      <c r="L74" s="974"/>
      <c r="M74" s="974"/>
      <c r="N74" s="974"/>
      <c r="O74" s="974"/>
      <c r="P74" s="974"/>
      <c r="Q74" s="974"/>
      <c r="R74" s="970"/>
      <c r="S74" s="970"/>
      <c r="T74" s="970"/>
      <c r="U74" s="970"/>
      <c r="V74" s="970"/>
      <c r="W74" s="970"/>
      <c r="X74" s="970"/>
      <c r="Y74" s="970"/>
      <c r="Z74" s="970"/>
      <c r="AA74" s="970"/>
      <c r="AB74" s="970"/>
    </row>
    <row r="75" spans="1:28" ht="15.75" customHeight="1">
      <c r="A75" s="970"/>
      <c r="B75" s="970"/>
      <c r="C75" s="974"/>
      <c r="D75" s="974"/>
      <c r="E75" s="974"/>
      <c r="F75" s="974"/>
      <c r="G75" s="974"/>
      <c r="H75" s="974"/>
      <c r="I75" s="974"/>
      <c r="J75" s="974"/>
      <c r="K75" s="974"/>
      <c r="L75" s="974"/>
      <c r="M75" s="974"/>
      <c r="N75" s="974"/>
      <c r="O75" s="974"/>
      <c r="P75" s="974"/>
      <c r="Q75" s="974"/>
      <c r="R75" s="970"/>
      <c r="S75" s="970"/>
      <c r="T75" s="970"/>
      <c r="U75" s="970"/>
      <c r="V75" s="970"/>
      <c r="W75" s="970"/>
      <c r="X75" s="970"/>
      <c r="Y75" s="970"/>
      <c r="Z75" s="970"/>
      <c r="AA75" s="970"/>
      <c r="AB75" s="970"/>
    </row>
    <row r="76" spans="1:28" ht="15.75" customHeight="1">
      <c r="A76" s="970"/>
      <c r="B76" s="970"/>
      <c r="C76" s="974"/>
      <c r="D76" s="974"/>
      <c r="E76" s="974"/>
      <c r="F76" s="974"/>
      <c r="G76" s="974"/>
      <c r="H76" s="974"/>
      <c r="I76" s="974"/>
      <c r="J76" s="974"/>
      <c r="K76" s="974"/>
      <c r="L76" s="974"/>
      <c r="M76" s="974"/>
      <c r="N76" s="974"/>
      <c r="O76" s="974"/>
      <c r="P76" s="974"/>
      <c r="Q76" s="974"/>
      <c r="R76" s="970"/>
      <c r="S76" s="970"/>
      <c r="T76" s="970"/>
      <c r="U76" s="970"/>
      <c r="V76" s="970"/>
      <c r="W76" s="970"/>
      <c r="X76" s="970"/>
      <c r="Y76" s="970"/>
      <c r="Z76" s="970"/>
      <c r="AA76" s="970"/>
      <c r="AB76" s="970"/>
    </row>
    <row r="77" spans="1:28" ht="15.75" customHeight="1">
      <c r="A77" s="970"/>
      <c r="B77" s="970"/>
      <c r="C77" s="974"/>
      <c r="D77" s="974"/>
      <c r="E77" s="974"/>
      <c r="F77" s="974"/>
      <c r="G77" s="974"/>
      <c r="H77" s="974"/>
      <c r="I77" s="974"/>
      <c r="J77" s="974"/>
      <c r="K77" s="974"/>
      <c r="L77" s="974"/>
      <c r="M77" s="974"/>
      <c r="N77" s="974"/>
      <c r="O77" s="974"/>
      <c r="P77" s="974"/>
      <c r="Q77" s="974"/>
      <c r="R77" s="970"/>
      <c r="S77" s="970"/>
      <c r="T77" s="970"/>
      <c r="U77" s="970"/>
      <c r="V77" s="970"/>
      <c r="W77" s="970"/>
      <c r="X77" s="970"/>
      <c r="Y77" s="970"/>
      <c r="Z77" s="970"/>
      <c r="AA77" s="970"/>
      <c r="AB77" s="970"/>
    </row>
    <row r="78" spans="1:28" ht="15.75" customHeight="1">
      <c r="A78" s="970"/>
      <c r="B78" s="970"/>
      <c r="C78" s="974"/>
      <c r="D78" s="974"/>
      <c r="E78" s="974"/>
      <c r="F78" s="974"/>
      <c r="G78" s="974"/>
      <c r="H78" s="974"/>
      <c r="I78" s="974"/>
      <c r="J78" s="974"/>
      <c r="K78" s="974"/>
      <c r="L78" s="974"/>
      <c r="M78" s="974"/>
      <c r="N78" s="974"/>
      <c r="O78" s="974"/>
      <c r="P78" s="974"/>
      <c r="Q78" s="974"/>
      <c r="R78" s="970"/>
      <c r="S78" s="970"/>
      <c r="T78" s="970"/>
      <c r="U78" s="970"/>
      <c r="V78" s="970"/>
      <c r="W78" s="970"/>
      <c r="X78" s="970"/>
      <c r="Y78" s="970"/>
      <c r="Z78" s="970"/>
      <c r="AA78" s="970"/>
      <c r="AB78" s="970"/>
    </row>
    <row r="79" spans="1:28" ht="15.75" customHeight="1">
      <c r="A79" s="970"/>
      <c r="B79" s="970"/>
      <c r="C79" s="974"/>
      <c r="D79" s="974"/>
      <c r="E79" s="974"/>
      <c r="F79" s="974"/>
      <c r="G79" s="974"/>
      <c r="H79" s="974"/>
      <c r="I79" s="974"/>
      <c r="J79" s="974"/>
      <c r="K79" s="974"/>
      <c r="L79" s="974"/>
      <c r="M79" s="974"/>
      <c r="N79" s="974"/>
      <c r="O79" s="974"/>
      <c r="P79" s="974"/>
      <c r="Q79" s="974"/>
      <c r="R79" s="970"/>
      <c r="S79" s="970"/>
      <c r="T79" s="970"/>
      <c r="U79" s="970"/>
      <c r="V79" s="970"/>
      <c r="W79" s="970"/>
      <c r="X79" s="970"/>
      <c r="Y79" s="970"/>
      <c r="Z79" s="970"/>
      <c r="AA79" s="970"/>
      <c r="AB79" s="970"/>
    </row>
    <row r="80" spans="1:28" ht="15.75" customHeight="1">
      <c r="A80" s="970"/>
      <c r="B80" s="970"/>
      <c r="C80" s="974"/>
      <c r="D80" s="974"/>
      <c r="E80" s="974"/>
      <c r="F80" s="974"/>
      <c r="G80" s="974"/>
      <c r="H80" s="974"/>
      <c r="I80" s="974"/>
      <c r="J80" s="974"/>
      <c r="K80" s="974"/>
      <c r="L80" s="974"/>
      <c r="M80" s="974"/>
      <c r="N80" s="974"/>
      <c r="O80" s="974"/>
      <c r="P80" s="974"/>
      <c r="Q80" s="974"/>
      <c r="R80" s="970"/>
      <c r="S80" s="970"/>
      <c r="T80" s="970"/>
      <c r="U80" s="970"/>
      <c r="V80" s="970"/>
      <c r="W80" s="970"/>
      <c r="X80" s="970"/>
      <c r="Y80" s="970"/>
      <c r="Z80" s="970"/>
      <c r="AA80" s="970"/>
      <c r="AB80" s="970"/>
    </row>
    <row r="81" spans="1:28" ht="15.75" customHeight="1">
      <c r="A81" s="970"/>
      <c r="B81" s="970"/>
      <c r="C81" s="974"/>
      <c r="D81" s="974"/>
      <c r="E81" s="974"/>
      <c r="F81" s="974"/>
      <c r="G81" s="974"/>
      <c r="H81" s="974"/>
      <c r="I81" s="974"/>
      <c r="J81" s="974"/>
      <c r="K81" s="974"/>
      <c r="L81" s="974"/>
      <c r="M81" s="974"/>
      <c r="N81" s="974"/>
      <c r="O81" s="974"/>
      <c r="P81" s="974"/>
      <c r="Q81" s="974"/>
      <c r="R81" s="970"/>
      <c r="S81" s="970"/>
      <c r="T81" s="970"/>
      <c r="U81" s="970"/>
      <c r="V81" s="970"/>
      <c r="W81" s="970"/>
      <c r="X81" s="970"/>
      <c r="Y81" s="970"/>
      <c r="Z81" s="970"/>
      <c r="AA81" s="970"/>
      <c r="AB81" s="970"/>
    </row>
    <row r="82" spans="1:28" ht="15.75" customHeight="1">
      <c r="A82" s="970"/>
      <c r="B82" s="970"/>
      <c r="C82" s="974"/>
      <c r="D82" s="974"/>
      <c r="E82" s="974"/>
      <c r="F82" s="974"/>
      <c r="G82" s="974"/>
      <c r="H82" s="974"/>
      <c r="I82" s="974"/>
      <c r="J82" s="974"/>
      <c r="K82" s="974"/>
      <c r="L82" s="974"/>
      <c r="M82" s="974"/>
      <c r="N82" s="974"/>
      <c r="O82" s="974"/>
      <c r="P82" s="974"/>
      <c r="Q82" s="974"/>
      <c r="R82" s="970"/>
      <c r="S82" s="970"/>
      <c r="T82" s="970"/>
      <c r="U82" s="970"/>
      <c r="V82" s="970"/>
      <c r="W82" s="970"/>
      <c r="X82" s="970"/>
      <c r="Y82" s="970"/>
      <c r="Z82" s="970"/>
      <c r="AA82" s="970"/>
      <c r="AB82" s="970"/>
    </row>
    <row r="83" spans="1:28" ht="15.75" customHeight="1">
      <c r="A83" s="970"/>
      <c r="B83" s="970"/>
      <c r="C83" s="974"/>
      <c r="D83" s="974"/>
      <c r="E83" s="974"/>
      <c r="F83" s="974"/>
      <c r="G83" s="974"/>
      <c r="H83" s="974"/>
      <c r="I83" s="974"/>
      <c r="J83" s="974"/>
      <c r="K83" s="974"/>
      <c r="L83" s="974"/>
      <c r="M83" s="974"/>
      <c r="N83" s="974"/>
      <c r="O83" s="974"/>
      <c r="P83" s="974"/>
      <c r="Q83" s="974"/>
      <c r="R83" s="970"/>
      <c r="S83" s="970"/>
      <c r="T83" s="970"/>
      <c r="U83" s="970"/>
      <c r="V83" s="970"/>
      <c r="W83" s="970"/>
      <c r="X83" s="970"/>
      <c r="Y83" s="970"/>
      <c r="Z83" s="970"/>
      <c r="AA83" s="970"/>
      <c r="AB83" s="970"/>
    </row>
    <row r="84" spans="1:28" ht="15.75" customHeight="1">
      <c r="A84" s="970"/>
      <c r="B84" s="970"/>
      <c r="C84" s="974"/>
      <c r="D84" s="974"/>
      <c r="E84" s="974"/>
      <c r="F84" s="974"/>
      <c r="G84" s="974"/>
      <c r="H84" s="974"/>
      <c r="I84" s="974"/>
      <c r="J84" s="974"/>
      <c r="K84" s="974"/>
      <c r="L84" s="974"/>
      <c r="M84" s="974"/>
      <c r="N84" s="974"/>
      <c r="O84" s="974"/>
      <c r="P84" s="974"/>
      <c r="Q84" s="974"/>
      <c r="R84" s="970"/>
      <c r="S84" s="970"/>
      <c r="T84" s="970"/>
      <c r="U84" s="970"/>
      <c r="V84" s="970"/>
      <c r="W84" s="970"/>
      <c r="X84" s="970"/>
      <c r="Y84" s="970"/>
      <c r="Z84" s="970"/>
      <c r="AA84" s="970"/>
      <c r="AB84" s="970"/>
    </row>
    <row r="85" spans="1:28" ht="15.75" customHeight="1">
      <c r="A85" s="970"/>
      <c r="B85" s="970"/>
      <c r="C85" s="974"/>
      <c r="D85" s="974"/>
      <c r="E85" s="974"/>
      <c r="F85" s="974"/>
      <c r="G85" s="974"/>
      <c r="H85" s="974"/>
      <c r="I85" s="974"/>
      <c r="J85" s="974"/>
      <c r="K85" s="974"/>
      <c r="L85" s="974"/>
      <c r="M85" s="974"/>
      <c r="N85" s="974"/>
      <c r="O85" s="974"/>
      <c r="P85" s="974"/>
      <c r="Q85" s="974"/>
      <c r="R85" s="970"/>
      <c r="S85" s="970"/>
      <c r="T85" s="970"/>
      <c r="U85" s="970"/>
      <c r="V85" s="970"/>
      <c r="W85" s="970"/>
      <c r="X85" s="970"/>
      <c r="Y85" s="970"/>
      <c r="Z85" s="970"/>
      <c r="AA85" s="970"/>
      <c r="AB85" s="970"/>
    </row>
    <row r="86" spans="1:28" ht="15.75" customHeight="1">
      <c r="A86" s="970"/>
      <c r="B86" s="970"/>
      <c r="C86" s="974"/>
      <c r="D86" s="974"/>
      <c r="E86" s="974"/>
      <c r="F86" s="974"/>
      <c r="G86" s="974"/>
      <c r="H86" s="974"/>
      <c r="I86" s="974"/>
      <c r="J86" s="974"/>
      <c r="K86" s="974"/>
      <c r="L86" s="974"/>
      <c r="M86" s="974"/>
      <c r="N86" s="974"/>
      <c r="O86" s="974"/>
      <c r="P86" s="974"/>
      <c r="Q86" s="974"/>
      <c r="R86" s="970"/>
      <c r="S86" s="970"/>
      <c r="T86" s="970"/>
      <c r="U86" s="970"/>
      <c r="V86" s="970"/>
      <c r="W86" s="970"/>
      <c r="X86" s="970"/>
      <c r="Y86" s="970"/>
      <c r="Z86" s="970"/>
      <c r="AA86" s="970"/>
      <c r="AB86" s="970"/>
    </row>
    <row r="87" spans="1:28" ht="15.75" customHeight="1">
      <c r="A87" s="970"/>
      <c r="B87" s="970"/>
      <c r="C87" s="974"/>
      <c r="D87" s="974"/>
      <c r="E87" s="974"/>
      <c r="F87" s="974"/>
      <c r="G87" s="974"/>
      <c r="H87" s="974"/>
      <c r="I87" s="974"/>
      <c r="J87" s="974"/>
      <c r="K87" s="974"/>
      <c r="L87" s="974"/>
      <c r="M87" s="974"/>
      <c r="N87" s="974"/>
      <c r="O87" s="974"/>
      <c r="P87" s="974"/>
      <c r="Q87" s="974"/>
      <c r="R87" s="970"/>
      <c r="S87" s="970"/>
      <c r="T87" s="970"/>
      <c r="U87" s="970"/>
      <c r="V87" s="970"/>
      <c r="W87" s="970"/>
      <c r="X87" s="970"/>
      <c r="Y87" s="970"/>
      <c r="Z87" s="970"/>
      <c r="AA87" s="970"/>
      <c r="AB87" s="970"/>
    </row>
    <row r="88" spans="1:28" ht="15.75" customHeight="1">
      <c r="A88" s="970"/>
      <c r="B88" s="970"/>
      <c r="C88" s="974"/>
      <c r="D88" s="974"/>
      <c r="E88" s="974"/>
      <c r="F88" s="974"/>
      <c r="G88" s="974"/>
      <c r="H88" s="974"/>
      <c r="I88" s="974"/>
      <c r="J88" s="974"/>
      <c r="K88" s="974"/>
      <c r="L88" s="974"/>
      <c r="M88" s="974"/>
      <c r="N88" s="974"/>
      <c r="O88" s="974"/>
      <c r="P88" s="974"/>
      <c r="Q88" s="974"/>
      <c r="R88" s="970"/>
      <c r="S88" s="970"/>
      <c r="T88" s="970"/>
      <c r="U88" s="970"/>
      <c r="V88" s="970"/>
      <c r="W88" s="970"/>
      <c r="X88" s="970"/>
      <c r="Y88" s="970"/>
      <c r="Z88" s="970"/>
      <c r="AA88" s="970"/>
      <c r="AB88" s="970"/>
    </row>
    <row r="89" spans="1:28" ht="15.75" customHeight="1">
      <c r="A89" s="970"/>
      <c r="B89" s="970"/>
      <c r="C89" s="974"/>
      <c r="D89" s="974"/>
      <c r="E89" s="974"/>
      <c r="F89" s="974"/>
      <c r="G89" s="974"/>
      <c r="H89" s="974"/>
      <c r="I89" s="974"/>
      <c r="J89" s="974"/>
      <c r="K89" s="974"/>
      <c r="L89" s="974"/>
      <c r="M89" s="974"/>
      <c r="N89" s="974"/>
      <c r="O89" s="974"/>
      <c r="P89" s="974"/>
      <c r="Q89" s="974"/>
      <c r="R89" s="970"/>
      <c r="S89" s="970"/>
      <c r="T89" s="970"/>
      <c r="U89" s="970"/>
      <c r="V89" s="970"/>
      <c r="W89" s="970"/>
      <c r="X89" s="970"/>
      <c r="Y89" s="970"/>
      <c r="Z89" s="970"/>
      <c r="AA89" s="970"/>
      <c r="AB89" s="970"/>
    </row>
    <row r="90" spans="1:28" ht="15.75" customHeight="1">
      <c r="A90" s="970"/>
      <c r="B90" s="970"/>
      <c r="C90" s="974"/>
      <c r="D90" s="974"/>
      <c r="E90" s="974"/>
      <c r="F90" s="974"/>
      <c r="G90" s="974"/>
      <c r="H90" s="974"/>
      <c r="I90" s="974"/>
      <c r="J90" s="974"/>
      <c r="K90" s="974"/>
      <c r="L90" s="974"/>
      <c r="M90" s="974"/>
      <c r="N90" s="974"/>
      <c r="O90" s="974"/>
      <c r="P90" s="974"/>
      <c r="Q90" s="974"/>
      <c r="R90" s="970"/>
      <c r="S90" s="970"/>
      <c r="T90" s="970"/>
      <c r="U90" s="970"/>
      <c r="V90" s="970"/>
      <c r="W90" s="970"/>
      <c r="X90" s="970"/>
      <c r="Y90" s="970"/>
      <c r="Z90" s="970"/>
      <c r="AA90" s="970"/>
      <c r="AB90" s="970"/>
    </row>
    <row r="91" spans="1:28" ht="15.75" customHeight="1">
      <c r="A91" s="970"/>
      <c r="B91" s="970"/>
      <c r="C91" s="974"/>
      <c r="D91" s="974"/>
      <c r="E91" s="974"/>
      <c r="F91" s="974"/>
      <c r="G91" s="974"/>
      <c r="H91" s="974"/>
      <c r="I91" s="974"/>
      <c r="J91" s="974"/>
      <c r="K91" s="974"/>
      <c r="L91" s="974"/>
      <c r="M91" s="974"/>
      <c r="N91" s="974"/>
      <c r="O91" s="974"/>
      <c r="P91" s="974"/>
      <c r="Q91" s="974"/>
      <c r="R91" s="970"/>
      <c r="S91" s="970"/>
      <c r="T91" s="970"/>
      <c r="U91" s="970"/>
      <c r="V91" s="970"/>
      <c r="W91" s="970"/>
      <c r="X91" s="970"/>
      <c r="Y91" s="970"/>
      <c r="Z91" s="970"/>
      <c r="AA91" s="970"/>
      <c r="AB91" s="970"/>
    </row>
    <row r="92" spans="1:28" ht="15.75" customHeight="1">
      <c r="A92" s="970"/>
      <c r="B92" s="970"/>
      <c r="C92" s="974"/>
      <c r="D92" s="974"/>
      <c r="E92" s="974"/>
      <c r="F92" s="974"/>
      <c r="G92" s="974"/>
      <c r="H92" s="974"/>
      <c r="I92" s="974"/>
      <c r="J92" s="974"/>
      <c r="K92" s="974"/>
      <c r="L92" s="974"/>
      <c r="M92" s="974"/>
      <c r="N92" s="974"/>
      <c r="O92" s="974"/>
      <c r="P92" s="974"/>
      <c r="Q92" s="974"/>
      <c r="R92" s="970"/>
      <c r="S92" s="970"/>
      <c r="T92" s="970"/>
      <c r="U92" s="970"/>
      <c r="V92" s="970"/>
      <c r="W92" s="970"/>
      <c r="X92" s="970"/>
      <c r="Y92" s="970"/>
      <c r="Z92" s="970"/>
      <c r="AA92" s="970"/>
      <c r="AB92" s="970"/>
    </row>
    <row r="93" spans="1:28" ht="15.75" customHeight="1">
      <c r="A93" s="970"/>
      <c r="B93" s="970"/>
      <c r="C93" s="974"/>
      <c r="D93" s="974"/>
      <c r="E93" s="974"/>
      <c r="F93" s="974"/>
      <c r="G93" s="974"/>
      <c r="H93" s="974"/>
      <c r="I93" s="974"/>
      <c r="J93" s="974"/>
      <c r="K93" s="974"/>
      <c r="L93" s="974"/>
      <c r="M93" s="974"/>
      <c r="N93" s="974"/>
      <c r="O93" s="974"/>
      <c r="P93" s="974"/>
      <c r="Q93" s="974"/>
      <c r="R93" s="970"/>
      <c r="S93" s="970"/>
      <c r="T93" s="970"/>
      <c r="U93" s="970"/>
      <c r="V93" s="970"/>
      <c r="W93" s="970"/>
      <c r="X93" s="970"/>
      <c r="Y93" s="970"/>
      <c r="Z93" s="970"/>
      <c r="AA93" s="970"/>
      <c r="AB93" s="970"/>
    </row>
    <row r="94" spans="1:28" ht="15.75" customHeight="1">
      <c r="A94" s="970"/>
      <c r="B94" s="970"/>
      <c r="C94" s="974"/>
      <c r="D94" s="974"/>
      <c r="E94" s="974"/>
      <c r="F94" s="974"/>
      <c r="G94" s="974"/>
      <c r="H94" s="974"/>
      <c r="I94" s="974"/>
      <c r="J94" s="974"/>
      <c r="K94" s="974"/>
      <c r="L94" s="974"/>
      <c r="M94" s="974"/>
      <c r="N94" s="974"/>
      <c r="O94" s="974"/>
      <c r="P94" s="974"/>
      <c r="Q94" s="974"/>
      <c r="R94" s="970"/>
      <c r="S94" s="970"/>
      <c r="T94" s="970"/>
      <c r="U94" s="970"/>
      <c r="V94" s="970"/>
      <c r="W94" s="970"/>
      <c r="X94" s="970"/>
      <c r="Y94" s="970"/>
      <c r="Z94" s="970"/>
      <c r="AA94" s="970"/>
      <c r="AB94" s="970"/>
    </row>
    <row r="95" spans="1:28" ht="15.75" customHeight="1">
      <c r="A95" s="970"/>
      <c r="B95" s="970"/>
      <c r="C95" s="974"/>
      <c r="D95" s="974"/>
      <c r="E95" s="974"/>
      <c r="F95" s="974"/>
      <c r="G95" s="974"/>
      <c r="H95" s="974"/>
      <c r="I95" s="974"/>
      <c r="J95" s="974"/>
      <c r="K95" s="974"/>
      <c r="L95" s="974"/>
      <c r="M95" s="974"/>
      <c r="N95" s="974"/>
      <c r="O95" s="974"/>
      <c r="P95" s="974"/>
      <c r="Q95" s="974"/>
      <c r="R95" s="970"/>
      <c r="S95" s="970"/>
      <c r="T95" s="970"/>
      <c r="U95" s="970"/>
      <c r="V95" s="970"/>
      <c r="W95" s="970"/>
      <c r="X95" s="970"/>
      <c r="Y95" s="970"/>
      <c r="Z95" s="970"/>
      <c r="AA95" s="970"/>
      <c r="AB95" s="970"/>
    </row>
    <row r="96" spans="1:28" ht="15.75" customHeight="1">
      <c r="A96" s="970"/>
      <c r="B96" s="970"/>
      <c r="C96" s="974"/>
      <c r="D96" s="974"/>
      <c r="E96" s="974"/>
      <c r="F96" s="974"/>
      <c r="G96" s="974"/>
      <c r="H96" s="974"/>
      <c r="I96" s="974"/>
      <c r="J96" s="974"/>
      <c r="K96" s="974"/>
      <c r="L96" s="974"/>
      <c r="M96" s="974"/>
      <c r="N96" s="974"/>
      <c r="O96" s="974"/>
      <c r="P96" s="974"/>
      <c r="Q96" s="974"/>
      <c r="R96" s="970"/>
      <c r="S96" s="970"/>
      <c r="T96" s="970"/>
      <c r="U96" s="970"/>
      <c r="V96" s="970"/>
      <c r="W96" s="970"/>
      <c r="X96" s="970"/>
      <c r="Y96" s="970"/>
      <c r="Z96" s="970"/>
      <c r="AA96" s="970"/>
      <c r="AB96" s="970"/>
    </row>
    <row r="97" spans="1:28" ht="15.75" customHeight="1">
      <c r="A97" s="970"/>
      <c r="B97" s="970"/>
      <c r="C97" s="974"/>
      <c r="D97" s="974"/>
      <c r="E97" s="974"/>
      <c r="F97" s="974"/>
      <c r="G97" s="974"/>
      <c r="H97" s="974"/>
      <c r="I97" s="974"/>
      <c r="J97" s="974"/>
      <c r="K97" s="974"/>
      <c r="L97" s="974"/>
      <c r="M97" s="974"/>
      <c r="N97" s="974"/>
      <c r="O97" s="974"/>
      <c r="P97" s="974"/>
      <c r="Q97" s="974"/>
      <c r="R97" s="970"/>
      <c r="S97" s="970"/>
      <c r="T97" s="970"/>
      <c r="U97" s="970"/>
      <c r="V97" s="970"/>
      <c r="W97" s="970"/>
      <c r="X97" s="970"/>
      <c r="Y97" s="970"/>
      <c r="Z97" s="970"/>
      <c r="AA97" s="970"/>
      <c r="AB97" s="970"/>
    </row>
    <row r="98" spans="1:28" ht="15.75" customHeight="1">
      <c r="A98" s="970"/>
      <c r="B98" s="970"/>
      <c r="C98" s="974"/>
      <c r="D98" s="974"/>
      <c r="E98" s="974"/>
      <c r="F98" s="974"/>
      <c r="G98" s="974"/>
      <c r="H98" s="974"/>
      <c r="I98" s="974"/>
      <c r="J98" s="974"/>
      <c r="K98" s="974"/>
      <c r="L98" s="974"/>
      <c r="M98" s="974"/>
      <c r="N98" s="974"/>
      <c r="O98" s="974"/>
      <c r="P98" s="974"/>
      <c r="Q98" s="974"/>
      <c r="R98" s="970"/>
      <c r="S98" s="970"/>
      <c r="T98" s="970"/>
      <c r="U98" s="970"/>
      <c r="V98" s="970"/>
      <c r="W98" s="970"/>
      <c r="X98" s="970"/>
      <c r="Y98" s="970"/>
      <c r="Z98" s="970"/>
      <c r="AA98" s="970"/>
      <c r="AB98" s="970"/>
    </row>
    <row r="99" spans="1:28" ht="15.75" customHeight="1">
      <c r="A99" s="970"/>
      <c r="B99" s="970"/>
      <c r="C99" s="974"/>
      <c r="D99" s="974"/>
      <c r="E99" s="974"/>
      <c r="F99" s="974"/>
      <c r="G99" s="974"/>
      <c r="H99" s="974"/>
      <c r="I99" s="974"/>
      <c r="J99" s="974"/>
      <c r="K99" s="974"/>
      <c r="L99" s="974"/>
      <c r="M99" s="974"/>
      <c r="N99" s="974"/>
      <c r="O99" s="974"/>
      <c r="P99" s="974"/>
      <c r="Q99" s="974"/>
      <c r="R99" s="970"/>
      <c r="S99" s="970"/>
      <c r="T99" s="970"/>
      <c r="U99" s="970"/>
      <c r="V99" s="970"/>
      <c r="W99" s="970"/>
      <c r="X99" s="970"/>
      <c r="Y99" s="970"/>
      <c r="Z99" s="970"/>
      <c r="AA99" s="970"/>
      <c r="AB99" s="970"/>
    </row>
    <row r="100" spans="1:28" ht="15.75" customHeight="1">
      <c r="A100" s="970"/>
      <c r="B100" s="970"/>
      <c r="C100" s="974"/>
      <c r="D100" s="974"/>
      <c r="E100" s="974"/>
      <c r="F100" s="974"/>
      <c r="G100" s="974"/>
      <c r="H100" s="974"/>
      <c r="I100" s="974"/>
      <c r="J100" s="974"/>
      <c r="K100" s="974"/>
      <c r="L100" s="974"/>
      <c r="M100" s="974"/>
      <c r="N100" s="974"/>
      <c r="O100" s="974"/>
      <c r="P100" s="974"/>
      <c r="Q100" s="974"/>
      <c r="R100" s="970"/>
      <c r="S100" s="970"/>
      <c r="T100" s="970"/>
      <c r="U100" s="970"/>
      <c r="V100" s="970"/>
      <c r="W100" s="970"/>
      <c r="X100" s="970"/>
      <c r="Y100" s="970"/>
      <c r="Z100" s="970"/>
      <c r="AA100" s="970"/>
      <c r="AB100" s="970"/>
    </row>
    <row r="101" spans="1:28" ht="15.75" customHeight="1">
      <c r="A101" s="970"/>
      <c r="B101" s="970"/>
      <c r="C101" s="974"/>
      <c r="D101" s="974"/>
      <c r="E101" s="974"/>
      <c r="F101" s="974"/>
      <c r="G101" s="974"/>
      <c r="H101" s="974"/>
      <c r="I101" s="974"/>
      <c r="J101" s="974"/>
      <c r="K101" s="974"/>
      <c r="L101" s="974"/>
      <c r="M101" s="974"/>
      <c r="N101" s="974"/>
      <c r="O101" s="974"/>
      <c r="P101" s="974"/>
      <c r="Q101" s="974"/>
      <c r="R101" s="970"/>
      <c r="S101" s="970"/>
      <c r="T101" s="970"/>
      <c r="U101" s="970"/>
      <c r="V101" s="970"/>
      <c r="W101" s="970"/>
      <c r="X101" s="970"/>
      <c r="Y101" s="970"/>
      <c r="Z101" s="970"/>
      <c r="AA101" s="970"/>
      <c r="AB101" s="970"/>
    </row>
    <row r="102" spans="1:28" ht="15.75" customHeight="1">
      <c r="A102" s="970"/>
      <c r="B102" s="970"/>
      <c r="C102" s="974"/>
      <c r="D102" s="974"/>
      <c r="E102" s="974"/>
      <c r="F102" s="974"/>
      <c r="G102" s="974"/>
      <c r="H102" s="974"/>
      <c r="I102" s="974"/>
      <c r="J102" s="974"/>
      <c r="K102" s="974"/>
      <c r="L102" s="974"/>
      <c r="M102" s="974"/>
      <c r="N102" s="974"/>
      <c r="O102" s="974"/>
      <c r="P102" s="974"/>
      <c r="Q102" s="974"/>
      <c r="R102" s="970"/>
      <c r="S102" s="970"/>
      <c r="T102" s="970"/>
      <c r="U102" s="970"/>
      <c r="V102" s="970"/>
      <c r="W102" s="970"/>
      <c r="X102" s="970"/>
      <c r="Y102" s="970"/>
      <c r="Z102" s="970"/>
      <c r="AA102" s="970"/>
      <c r="AB102" s="970"/>
    </row>
    <row r="103" spans="1:28" ht="15.75" customHeight="1">
      <c r="A103" s="970"/>
      <c r="B103" s="970"/>
      <c r="C103" s="974"/>
      <c r="D103" s="974"/>
      <c r="E103" s="974"/>
      <c r="F103" s="974"/>
      <c r="G103" s="974"/>
      <c r="H103" s="974"/>
      <c r="I103" s="974"/>
      <c r="J103" s="974"/>
      <c r="K103" s="974"/>
      <c r="L103" s="974"/>
      <c r="M103" s="974"/>
      <c r="N103" s="974"/>
      <c r="O103" s="974"/>
      <c r="P103" s="974"/>
      <c r="Q103" s="974"/>
      <c r="R103" s="970"/>
      <c r="S103" s="970"/>
      <c r="T103" s="970"/>
      <c r="U103" s="970"/>
      <c r="V103" s="970"/>
      <c r="W103" s="970"/>
      <c r="X103" s="970"/>
      <c r="Y103" s="970"/>
      <c r="Z103" s="970"/>
      <c r="AA103" s="970"/>
      <c r="AB103" s="970"/>
    </row>
    <row r="104" spans="1:28" ht="15.75" customHeight="1">
      <c r="A104" s="970"/>
      <c r="B104" s="970"/>
      <c r="C104" s="974"/>
      <c r="D104" s="974"/>
      <c r="E104" s="974"/>
      <c r="F104" s="974"/>
      <c r="G104" s="974"/>
      <c r="H104" s="974"/>
      <c r="I104" s="974"/>
      <c r="J104" s="974"/>
      <c r="K104" s="974"/>
      <c r="L104" s="974"/>
      <c r="M104" s="974"/>
      <c r="N104" s="974"/>
      <c r="O104" s="974"/>
      <c r="P104" s="974"/>
      <c r="Q104" s="974"/>
      <c r="R104" s="970"/>
      <c r="S104" s="970"/>
      <c r="T104" s="970"/>
      <c r="U104" s="970"/>
      <c r="V104" s="970"/>
      <c r="W104" s="970"/>
      <c r="X104" s="970"/>
      <c r="Y104" s="970"/>
      <c r="Z104" s="970"/>
      <c r="AA104" s="970"/>
      <c r="AB104" s="970"/>
    </row>
    <row r="105" spans="1:28" ht="15.75" customHeight="1">
      <c r="A105" s="970"/>
      <c r="B105" s="970"/>
      <c r="C105" s="974"/>
      <c r="D105" s="974"/>
      <c r="E105" s="974"/>
      <c r="F105" s="974"/>
      <c r="G105" s="974"/>
      <c r="H105" s="974"/>
      <c r="I105" s="974"/>
      <c r="J105" s="974"/>
      <c r="K105" s="974"/>
      <c r="L105" s="974"/>
      <c r="M105" s="974"/>
      <c r="N105" s="974"/>
      <c r="O105" s="974"/>
      <c r="P105" s="974"/>
      <c r="Q105" s="974"/>
      <c r="R105" s="970"/>
      <c r="S105" s="970"/>
      <c r="T105" s="970"/>
      <c r="U105" s="970"/>
      <c r="V105" s="970"/>
      <c r="W105" s="970"/>
      <c r="X105" s="970"/>
      <c r="Y105" s="970"/>
      <c r="Z105" s="970"/>
      <c r="AA105" s="970"/>
      <c r="AB105" s="970"/>
    </row>
    <row r="106" spans="1:28" ht="15.75" customHeight="1">
      <c r="A106" s="970"/>
      <c r="B106" s="970"/>
      <c r="C106" s="974"/>
      <c r="D106" s="974"/>
      <c r="E106" s="974"/>
      <c r="F106" s="974"/>
      <c r="G106" s="974"/>
      <c r="H106" s="974"/>
      <c r="I106" s="974"/>
      <c r="J106" s="974"/>
      <c r="K106" s="974"/>
      <c r="L106" s="974"/>
      <c r="M106" s="974"/>
      <c r="N106" s="974"/>
      <c r="O106" s="974"/>
      <c r="P106" s="974"/>
      <c r="Q106" s="974"/>
      <c r="R106" s="970"/>
      <c r="S106" s="970"/>
      <c r="T106" s="970"/>
      <c r="U106" s="970"/>
      <c r="V106" s="970"/>
      <c r="W106" s="970"/>
      <c r="X106" s="970"/>
      <c r="Y106" s="970"/>
      <c r="Z106" s="970"/>
      <c r="AA106" s="970"/>
      <c r="AB106" s="970"/>
    </row>
    <row r="107" spans="1:28" ht="15.75" customHeight="1">
      <c r="A107" s="970"/>
      <c r="B107" s="970"/>
      <c r="C107" s="974"/>
      <c r="D107" s="974"/>
      <c r="E107" s="974"/>
      <c r="F107" s="974"/>
      <c r="G107" s="974"/>
      <c r="H107" s="974"/>
      <c r="I107" s="974"/>
      <c r="J107" s="974"/>
      <c r="K107" s="974"/>
      <c r="L107" s="974"/>
      <c r="M107" s="974"/>
      <c r="N107" s="974"/>
      <c r="O107" s="974"/>
      <c r="P107" s="974"/>
      <c r="Q107" s="974"/>
      <c r="R107" s="970"/>
      <c r="S107" s="970"/>
      <c r="T107" s="970"/>
      <c r="U107" s="970"/>
      <c r="V107" s="970"/>
      <c r="W107" s="970"/>
      <c r="X107" s="970"/>
      <c r="Y107" s="970"/>
      <c r="Z107" s="970"/>
      <c r="AA107" s="970"/>
      <c r="AB107" s="970"/>
    </row>
    <row r="108" spans="1:28" ht="15.75" customHeight="1">
      <c r="A108" s="970"/>
      <c r="B108" s="970"/>
      <c r="C108" s="974"/>
      <c r="D108" s="974"/>
      <c r="E108" s="974"/>
      <c r="F108" s="974"/>
      <c r="G108" s="974"/>
      <c r="H108" s="974"/>
      <c r="I108" s="974"/>
      <c r="J108" s="974"/>
      <c r="K108" s="974"/>
      <c r="L108" s="974"/>
      <c r="M108" s="974"/>
      <c r="N108" s="974"/>
      <c r="O108" s="974"/>
      <c r="P108" s="974"/>
      <c r="Q108" s="974"/>
      <c r="R108" s="970"/>
      <c r="S108" s="970"/>
      <c r="T108" s="970"/>
      <c r="U108" s="970"/>
      <c r="V108" s="970"/>
      <c r="W108" s="970"/>
      <c r="X108" s="970"/>
      <c r="Y108" s="970"/>
      <c r="Z108" s="970"/>
      <c r="AA108" s="970"/>
      <c r="AB108" s="970"/>
    </row>
    <row r="109" spans="1:28" ht="15.75" customHeight="1">
      <c r="A109" s="970"/>
      <c r="B109" s="970"/>
      <c r="C109" s="974"/>
      <c r="D109" s="974"/>
      <c r="E109" s="974"/>
      <c r="F109" s="974"/>
      <c r="G109" s="974"/>
      <c r="H109" s="974"/>
      <c r="I109" s="974"/>
      <c r="J109" s="974"/>
      <c r="K109" s="974"/>
      <c r="L109" s="974"/>
      <c r="M109" s="974"/>
      <c r="N109" s="974"/>
      <c r="O109" s="974"/>
      <c r="P109" s="974"/>
      <c r="Q109" s="974"/>
      <c r="R109" s="970"/>
      <c r="S109" s="970"/>
      <c r="T109" s="970"/>
      <c r="U109" s="970"/>
      <c r="V109" s="970"/>
      <c r="W109" s="970"/>
      <c r="X109" s="970"/>
      <c r="Y109" s="970"/>
      <c r="Z109" s="970"/>
      <c r="AA109" s="970"/>
      <c r="AB109" s="970"/>
    </row>
    <row r="110" spans="1:28" ht="15.75" customHeight="1">
      <c r="A110" s="970"/>
      <c r="B110" s="970"/>
      <c r="C110" s="974"/>
      <c r="D110" s="974"/>
      <c r="E110" s="974"/>
      <c r="F110" s="974"/>
      <c r="G110" s="974"/>
      <c r="H110" s="974"/>
      <c r="I110" s="974"/>
      <c r="J110" s="974"/>
      <c r="K110" s="974"/>
      <c r="L110" s="974"/>
      <c r="M110" s="974"/>
      <c r="N110" s="974"/>
      <c r="O110" s="974"/>
      <c r="P110" s="974"/>
      <c r="Q110" s="974"/>
      <c r="R110" s="970"/>
      <c r="S110" s="970"/>
      <c r="T110" s="970"/>
      <c r="U110" s="970"/>
      <c r="V110" s="970"/>
      <c r="W110" s="970"/>
      <c r="X110" s="970"/>
      <c r="Y110" s="970"/>
      <c r="Z110" s="970"/>
      <c r="AA110" s="970"/>
      <c r="AB110" s="970"/>
    </row>
    <row r="111" spans="1:28" ht="15.75" customHeight="1">
      <c r="A111" s="970"/>
      <c r="B111" s="970"/>
      <c r="C111" s="974"/>
      <c r="D111" s="974"/>
      <c r="E111" s="974"/>
      <c r="F111" s="974"/>
      <c r="G111" s="974"/>
      <c r="H111" s="974"/>
      <c r="I111" s="974"/>
      <c r="J111" s="974"/>
      <c r="K111" s="974"/>
      <c r="L111" s="974"/>
      <c r="M111" s="974"/>
      <c r="N111" s="974"/>
      <c r="O111" s="974"/>
      <c r="P111" s="974"/>
      <c r="Q111" s="974"/>
      <c r="R111" s="970"/>
      <c r="S111" s="970"/>
      <c r="T111" s="970"/>
      <c r="U111" s="970"/>
      <c r="V111" s="970"/>
      <c r="W111" s="970"/>
      <c r="X111" s="970"/>
      <c r="Y111" s="970"/>
      <c r="Z111" s="970"/>
      <c r="AA111" s="970"/>
      <c r="AB111" s="970"/>
    </row>
    <row r="112" spans="1:28" ht="15.75" customHeight="1">
      <c r="A112" s="970"/>
      <c r="B112" s="970"/>
      <c r="C112" s="974"/>
      <c r="D112" s="974"/>
      <c r="E112" s="974"/>
      <c r="F112" s="974"/>
      <c r="G112" s="974"/>
      <c r="H112" s="974"/>
      <c r="I112" s="974"/>
      <c r="J112" s="974"/>
      <c r="K112" s="974"/>
      <c r="L112" s="974"/>
      <c r="M112" s="974"/>
      <c r="N112" s="974"/>
      <c r="O112" s="974"/>
      <c r="P112" s="974"/>
      <c r="Q112" s="974"/>
      <c r="R112" s="970"/>
      <c r="S112" s="970"/>
      <c r="T112" s="970"/>
      <c r="U112" s="970"/>
      <c r="V112" s="970"/>
      <c r="W112" s="970"/>
      <c r="X112" s="970"/>
      <c r="Y112" s="970"/>
      <c r="Z112" s="970"/>
      <c r="AA112" s="970"/>
      <c r="AB112" s="970"/>
    </row>
    <row r="113" spans="1:28" ht="15.75" customHeight="1">
      <c r="A113" s="970"/>
      <c r="B113" s="970"/>
      <c r="C113" s="974"/>
      <c r="D113" s="974"/>
      <c r="E113" s="974"/>
      <c r="F113" s="974"/>
      <c r="G113" s="974"/>
      <c r="H113" s="974"/>
      <c r="I113" s="974"/>
      <c r="J113" s="974"/>
      <c r="K113" s="974"/>
      <c r="L113" s="974"/>
      <c r="M113" s="974"/>
      <c r="N113" s="974"/>
      <c r="O113" s="974"/>
      <c r="P113" s="974"/>
      <c r="Q113" s="974"/>
      <c r="R113" s="970"/>
      <c r="S113" s="970"/>
      <c r="T113" s="970"/>
      <c r="U113" s="970"/>
      <c r="V113" s="970"/>
      <c r="W113" s="970"/>
      <c r="X113" s="970"/>
      <c r="Y113" s="970"/>
      <c r="Z113" s="970"/>
      <c r="AA113" s="970"/>
      <c r="AB113" s="970"/>
    </row>
    <row r="114" spans="1:28" ht="15.75" customHeight="1">
      <c r="A114" s="970"/>
      <c r="B114" s="970"/>
      <c r="C114" s="974"/>
      <c r="D114" s="974"/>
      <c r="E114" s="974"/>
      <c r="F114" s="974"/>
      <c r="G114" s="974"/>
      <c r="H114" s="974"/>
      <c r="I114" s="974"/>
      <c r="J114" s="974"/>
      <c r="K114" s="974"/>
      <c r="L114" s="974"/>
      <c r="M114" s="974"/>
      <c r="N114" s="974"/>
      <c r="O114" s="974"/>
      <c r="P114" s="974"/>
      <c r="Q114" s="974"/>
      <c r="R114" s="970"/>
      <c r="S114" s="970"/>
      <c r="T114" s="970"/>
      <c r="U114" s="970"/>
      <c r="V114" s="970"/>
      <c r="W114" s="970"/>
      <c r="X114" s="970"/>
      <c r="Y114" s="970"/>
      <c r="Z114" s="970"/>
      <c r="AA114" s="970"/>
      <c r="AB114" s="970"/>
    </row>
    <row r="115" spans="1:28" ht="15.75" customHeight="1">
      <c r="A115" s="970"/>
      <c r="B115" s="970"/>
      <c r="C115" s="974"/>
      <c r="D115" s="974"/>
      <c r="E115" s="974"/>
      <c r="F115" s="974"/>
      <c r="G115" s="974"/>
      <c r="H115" s="974"/>
      <c r="I115" s="974"/>
      <c r="J115" s="974"/>
      <c r="K115" s="974"/>
      <c r="L115" s="974"/>
      <c r="M115" s="974"/>
      <c r="N115" s="974"/>
      <c r="O115" s="974"/>
      <c r="P115" s="974"/>
      <c r="Q115" s="974"/>
      <c r="R115" s="970"/>
      <c r="S115" s="970"/>
      <c r="T115" s="970"/>
      <c r="U115" s="970"/>
      <c r="V115" s="970"/>
      <c r="W115" s="970"/>
      <c r="X115" s="970"/>
      <c r="Y115" s="970"/>
      <c r="Z115" s="970"/>
      <c r="AA115" s="970"/>
      <c r="AB115" s="970"/>
    </row>
    <row r="116" spans="1:28" ht="15.75" customHeight="1">
      <c r="A116" s="970"/>
      <c r="B116" s="970"/>
      <c r="C116" s="974"/>
      <c r="D116" s="974"/>
      <c r="E116" s="974"/>
      <c r="F116" s="974"/>
      <c r="G116" s="974"/>
      <c r="H116" s="974"/>
      <c r="I116" s="974"/>
      <c r="J116" s="974"/>
      <c r="K116" s="974"/>
      <c r="L116" s="974"/>
      <c r="M116" s="974"/>
      <c r="N116" s="974"/>
      <c r="O116" s="974"/>
      <c r="P116" s="974"/>
      <c r="Q116" s="974"/>
      <c r="R116" s="970"/>
      <c r="S116" s="970"/>
      <c r="T116" s="970"/>
      <c r="U116" s="970"/>
      <c r="V116" s="970"/>
      <c r="W116" s="970"/>
      <c r="X116" s="970"/>
      <c r="Y116" s="970"/>
      <c r="Z116" s="970"/>
      <c r="AA116" s="970"/>
      <c r="AB116" s="970"/>
    </row>
    <row r="117" spans="1:28" ht="15.75" customHeight="1">
      <c r="A117" s="970"/>
      <c r="B117" s="970"/>
      <c r="C117" s="974"/>
      <c r="D117" s="974"/>
      <c r="E117" s="974"/>
      <c r="F117" s="974"/>
      <c r="G117" s="974"/>
      <c r="H117" s="974"/>
      <c r="I117" s="974"/>
      <c r="J117" s="974"/>
      <c r="K117" s="974"/>
      <c r="L117" s="974"/>
      <c r="M117" s="974"/>
      <c r="N117" s="974"/>
      <c r="O117" s="974"/>
      <c r="P117" s="974"/>
      <c r="Q117" s="974"/>
      <c r="R117" s="970"/>
      <c r="S117" s="970"/>
      <c r="T117" s="970"/>
      <c r="U117" s="970"/>
      <c r="V117" s="970"/>
      <c r="W117" s="970"/>
      <c r="X117" s="970"/>
      <c r="Y117" s="970"/>
      <c r="Z117" s="970"/>
      <c r="AA117" s="970"/>
      <c r="AB117" s="970"/>
    </row>
    <row r="118" spans="1:28" ht="15.75" customHeight="1">
      <c r="A118" s="970"/>
      <c r="B118" s="970"/>
      <c r="C118" s="974"/>
      <c r="D118" s="974"/>
      <c r="E118" s="974"/>
      <c r="F118" s="974"/>
      <c r="G118" s="974"/>
      <c r="H118" s="974"/>
      <c r="I118" s="974"/>
      <c r="J118" s="974"/>
      <c r="K118" s="974"/>
      <c r="L118" s="974"/>
      <c r="M118" s="974"/>
      <c r="N118" s="974"/>
      <c r="O118" s="974"/>
      <c r="P118" s="974"/>
      <c r="Q118" s="974"/>
      <c r="R118" s="970"/>
      <c r="S118" s="970"/>
      <c r="T118" s="970"/>
      <c r="U118" s="970"/>
      <c r="V118" s="970"/>
      <c r="W118" s="970"/>
      <c r="X118" s="970"/>
      <c r="Y118" s="970"/>
      <c r="Z118" s="970"/>
      <c r="AA118" s="970"/>
      <c r="AB118" s="970"/>
    </row>
    <row r="119" spans="1:28" ht="15.75" customHeight="1">
      <c r="A119" s="970"/>
      <c r="B119" s="970"/>
      <c r="C119" s="974"/>
      <c r="D119" s="974"/>
      <c r="E119" s="974"/>
      <c r="F119" s="974"/>
      <c r="G119" s="974"/>
      <c r="H119" s="974"/>
      <c r="I119" s="974"/>
      <c r="J119" s="974"/>
      <c r="K119" s="974"/>
      <c r="L119" s="974"/>
      <c r="M119" s="974"/>
      <c r="N119" s="974"/>
      <c r="O119" s="974"/>
      <c r="P119" s="974"/>
      <c r="Q119" s="974"/>
      <c r="R119" s="970"/>
      <c r="S119" s="970"/>
      <c r="T119" s="970"/>
      <c r="U119" s="970"/>
      <c r="V119" s="970"/>
      <c r="W119" s="970"/>
      <c r="X119" s="970"/>
      <c r="Y119" s="970"/>
      <c r="Z119" s="970"/>
      <c r="AA119" s="970"/>
      <c r="AB119" s="970"/>
    </row>
    <row r="120" spans="1:28" ht="15.75" customHeight="1">
      <c r="A120" s="970"/>
      <c r="B120" s="970"/>
      <c r="C120" s="974"/>
      <c r="D120" s="974"/>
      <c r="E120" s="974"/>
      <c r="F120" s="974"/>
      <c r="G120" s="974"/>
      <c r="H120" s="974"/>
      <c r="I120" s="974"/>
      <c r="J120" s="974"/>
      <c r="K120" s="974"/>
      <c r="L120" s="974"/>
      <c r="M120" s="974"/>
      <c r="N120" s="974"/>
      <c r="O120" s="974"/>
      <c r="P120" s="974"/>
      <c r="Q120" s="974"/>
      <c r="R120" s="970"/>
      <c r="S120" s="970"/>
      <c r="T120" s="970"/>
      <c r="U120" s="970"/>
      <c r="V120" s="970"/>
      <c r="W120" s="970"/>
      <c r="X120" s="970"/>
      <c r="Y120" s="970"/>
      <c r="Z120" s="970"/>
      <c r="AA120" s="970"/>
      <c r="AB120" s="970"/>
    </row>
    <row r="121" spans="1:28" ht="15.75" customHeight="1">
      <c r="A121" s="970"/>
      <c r="B121" s="970"/>
      <c r="C121" s="974"/>
      <c r="D121" s="974"/>
      <c r="E121" s="974"/>
      <c r="F121" s="974"/>
      <c r="G121" s="974"/>
      <c r="H121" s="974"/>
      <c r="I121" s="974"/>
      <c r="J121" s="974"/>
      <c r="K121" s="974"/>
      <c r="L121" s="974"/>
      <c r="M121" s="974"/>
      <c r="N121" s="974"/>
      <c r="O121" s="974"/>
      <c r="P121" s="974"/>
      <c r="Q121" s="974"/>
      <c r="R121" s="970"/>
      <c r="S121" s="970"/>
      <c r="T121" s="970"/>
      <c r="U121" s="970"/>
      <c r="V121" s="970"/>
      <c r="W121" s="970"/>
      <c r="X121" s="970"/>
      <c r="Y121" s="970"/>
      <c r="Z121" s="970"/>
      <c r="AA121" s="970"/>
      <c r="AB121" s="970"/>
    </row>
    <row r="122" spans="1:28" ht="15.75" customHeight="1">
      <c r="A122" s="970"/>
      <c r="B122" s="970"/>
      <c r="C122" s="974"/>
      <c r="D122" s="974"/>
      <c r="E122" s="974"/>
      <c r="F122" s="974"/>
      <c r="G122" s="974"/>
      <c r="H122" s="974"/>
      <c r="I122" s="974"/>
      <c r="J122" s="974"/>
      <c r="K122" s="974"/>
      <c r="L122" s="974"/>
      <c r="M122" s="974"/>
      <c r="N122" s="974"/>
      <c r="O122" s="974"/>
      <c r="P122" s="974"/>
      <c r="Q122" s="974"/>
      <c r="R122" s="970"/>
      <c r="S122" s="970"/>
      <c r="T122" s="970"/>
      <c r="U122" s="970"/>
      <c r="V122" s="970"/>
      <c r="W122" s="970"/>
      <c r="X122" s="970"/>
      <c r="Y122" s="970"/>
      <c r="Z122" s="970"/>
      <c r="AA122" s="970"/>
      <c r="AB122" s="970"/>
    </row>
    <row r="123" spans="1:28" ht="15.75" customHeight="1">
      <c r="A123" s="970"/>
      <c r="B123" s="970"/>
      <c r="C123" s="974"/>
      <c r="D123" s="974"/>
      <c r="E123" s="974"/>
      <c r="F123" s="974"/>
      <c r="G123" s="974"/>
      <c r="H123" s="974"/>
      <c r="I123" s="974"/>
      <c r="J123" s="974"/>
      <c r="K123" s="974"/>
      <c r="L123" s="974"/>
      <c r="M123" s="974"/>
      <c r="N123" s="974"/>
      <c r="O123" s="974"/>
      <c r="P123" s="974"/>
      <c r="Q123" s="974"/>
      <c r="R123" s="970"/>
      <c r="S123" s="970"/>
      <c r="T123" s="970"/>
      <c r="U123" s="970"/>
      <c r="V123" s="970"/>
      <c r="W123" s="970"/>
      <c r="X123" s="970"/>
      <c r="Y123" s="970"/>
      <c r="Z123" s="970"/>
      <c r="AA123" s="970"/>
      <c r="AB123" s="970"/>
    </row>
    <row r="124" spans="1:28" ht="15.75" customHeight="1">
      <c r="A124" s="970"/>
      <c r="B124" s="970"/>
      <c r="C124" s="974"/>
      <c r="D124" s="974"/>
      <c r="E124" s="974"/>
      <c r="F124" s="974"/>
      <c r="G124" s="974"/>
      <c r="H124" s="974"/>
      <c r="I124" s="974"/>
      <c r="J124" s="974"/>
      <c r="K124" s="974"/>
      <c r="L124" s="974"/>
      <c r="M124" s="974"/>
      <c r="N124" s="974"/>
      <c r="O124" s="974"/>
      <c r="P124" s="974"/>
      <c r="Q124" s="974"/>
      <c r="R124" s="970"/>
      <c r="S124" s="970"/>
      <c r="T124" s="970"/>
      <c r="U124" s="970"/>
      <c r="V124" s="970"/>
      <c r="W124" s="970"/>
      <c r="X124" s="970"/>
      <c r="Y124" s="970"/>
      <c r="Z124" s="970"/>
      <c r="AA124" s="970"/>
      <c r="AB124" s="970"/>
    </row>
    <row r="125" spans="1:28" ht="15.75" customHeight="1">
      <c r="A125" s="970"/>
      <c r="B125" s="970"/>
      <c r="C125" s="974"/>
      <c r="D125" s="974"/>
      <c r="E125" s="974"/>
      <c r="F125" s="974"/>
      <c r="G125" s="974"/>
      <c r="H125" s="974"/>
      <c r="I125" s="974"/>
      <c r="J125" s="974"/>
      <c r="K125" s="974"/>
      <c r="L125" s="974"/>
      <c r="M125" s="974"/>
      <c r="N125" s="974"/>
      <c r="O125" s="974"/>
      <c r="P125" s="974"/>
      <c r="Q125" s="974"/>
      <c r="R125" s="970"/>
      <c r="S125" s="970"/>
      <c r="T125" s="970"/>
      <c r="U125" s="970"/>
      <c r="V125" s="970"/>
      <c r="W125" s="970"/>
      <c r="X125" s="970"/>
      <c r="Y125" s="970"/>
      <c r="Z125" s="970"/>
      <c r="AA125" s="970"/>
      <c r="AB125" s="970"/>
    </row>
    <row r="126" spans="1:28" ht="15.75" customHeight="1">
      <c r="A126" s="970"/>
      <c r="B126" s="970"/>
      <c r="C126" s="974"/>
      <c r="D126" s="974"/>
      <c r="E126" s="974"/>
      <c r="F126" s="974"/>
      <c r="G126" s="974"/>
      <c r="H126" s="974"/>
      <c r="I126" s="974"/>
      <c r="J126" s="974"/>
      <c r="K126" s="974"/>
      <c r="L126" s="974"/>
      <c r="M126" s="974"/>
      <c r="N126" s="974"/>
      <c r="O126" s="974"/>
      <c r="P126" s="974"/>
      <c r="Q126" s="974"/>
      <c r="R126" s="970"/>
      <c r="S126" s="970"/>
      <c r="T126" s="970"/>
      <c r="U126" s="970"/>
      <c r="V126" s="970"/>
      <c r="W126" s="970"/>
      <c r="X126" s="970"/>
      <c r="Y126" s="970"/>
      <c r="Z126" s="970"/>
      <c r="AA126" s="970"/>
      <c r="AB126" s="970"/>
    </row>
    <row r="127" spans="1:28" ht="15.75" customHeight="1">
      <c r="A127" s="970"/>
      <c r="B127" s="970"/>
      <c r="C127" s="974"/>
      <c r="D127" s="974"/>
      <c r="E127" s="974"/>
      <c r="F127" s="974"/>
      <c r="G127" s="974"/>
      <c r="H127" s="974"/>
      <c r="I127" s="974"/>
      <c r="J127" s="974"/>
      <c r="K127" s="974"/>
      <c r="L127" s="974"/>
      <c r="M127" s="974"/>
      <c r="N127" s="974"/>
      <c r="O127" s="974"/>
      <c r="P127" s="974"/>
      <c r="Q127" s="974"/>
      <c r="R127" s="970"/>
      <c r="S127" s="970"/>
      <c r="T127" s="970"/>
      <c r="U127" s="970"/>
      <c r="V127" s="970"/>
      <c r="W127" s="970"/>
      <c r="X127" s="970"/>
      <c r="Y127" s="970"/>
      <c r="Z127" s="970"/>
      <c r="AA127" s="970"/>
      <c r="AB127" s="970"/>
    </row>
    <row r="128" spans="1:28" ht="15.75" customHeight="1">
      <c r="A128" s="970"/>
      <c r="B128" s="970"/>
      <c r="C128" s="974"/>
      <c r="D128" s="974"/>
      <c r="E128" s="974"/>
      <c r="F128" s="974"/>
      <c r="G128" s="974"/>
      <c r="H128" s="974"/>
      <c r="I128" s="974"/>
      <c r="J128" s="974"/>
      <c r="K128" s="974"/>
      <c r="L128" s="974"/>
      <c r="M128" s="974"/>
      <c r="N128" s="974"/>
      <c r="O128" s="974"/>
      <c r="P128" s="974"/>
      <c r="Q128" s="974"/>
      <c r="R128" s="970"/>
      <c r="S128" s="970"/>
      <c r="T128" s="970"/>
      <c r="U128" s="970"/>
      <c r="V128" s="970"/>
      <c r="W128" s="970"/>
      <c r="X128" s="970"/>
      <c r="Y128" s="970"/>
      <c r="Z128" s="970"/>
      <c r="AA128" s="970"/>
      <c r="AB128" s="970"/>
    </row>
    <row r="129" spans="1:28" ht="15.75" customHeight="1">
      <c r="A129" s="970"/>
      <c r="B129" s="970"/>
      <c r="C129" s="974"/>
      <c r="D129" s="974"/>
      <c r="E129" s="974"/>
      <c r="F129" s="974"/>
      <c r="G129" s="974"/>
      <c r="H129" s="974"/>
      <c r="I129" s="974"/>
      <c r="J129" s="974"/>
      <c r="K129" s="974"/>
      <c r="L129" s="974"/>
      <c r="M129" s="974"/>
      <c r="N129" s="974"/>
      <c r="O129" s="974"/>
      <c r="P129" s="974"/>
      <c r="Q129" s="974"/>
      <c r="R129" s="970"/>
      <c r="S129" s="970"/>
      <c r="T129" s="970"/>
      <c r="U129" s="970"/>
      <c r="V129" s="970"/>
      <c r="W129" s="970"/>
      <c r="X129" s="970"/>
      <c r="Y129" s="970"/>
      <c r="Z129" s="970"/>
      <c r="AA129" s="970"/>
      <c r="AB129" s="970"/>
    </row>
    <row r="130" spans="1:28" ht="15.75" customHeight="1">
      <c r="A130" s="970"/>
      <c r="B130" s="970"/>
      <c r="C130" s="974"/>
      <c r="D130" s="974"/>
      <c r="E130" s="974"/>
      <c r="F130" s="974"/>
      <c r="G130" s="974"/>
      <c r="H130" s="974"/>
      <c r="I130" s="974"/>
      <c r="J130" s="974"/>
      <c r="K130" s="974"/>
      <c r="L130" s="974"/>
      <c r="M130" s="974"/>
      <c r="N130" s="974"/>
      <c r="O130" s="974"/>
      <c r="P130" s="974"/>
      <c r="Q130" s="974"/>
      <c r="R130" s="970"/>
      <c r="S130" s="970"/>
      <c r="T130" s="970"/>
      <c r="U130" s="970"/>
      <c r="V130" s="970"/>
      <c r="W130" s="970"/>
      <c r="X130" s="970"/>
      <c r="Y130" s="970"/>
      <c r="Z130" s="970"/>
      <c r="AA130" s="970"/>
      <c r="AB130" s="970"/>
    </row>
    <row r="131" spans="1:28" ht="15.75" customHeight="1">
      <c r="A131" s="970"/>
      <c r="B131" s="970"/>
      <c r="C131" s="974"/>
      <c r="D131" s="974"/>
      <c r="E131" s="974"/>
      <c r="F131" s="974"/>
      <c r="G131" s="974"/>
      <c r="H131" s="974"/>
      <c r="I131" s="974"/>
      <c r="J131" s="974"/>
      <c r="K131" s="974"/>
      <c r="L131" s="974"/>
      <c r="M131" s="974"/>
      <c r="N131" s="974"/>
      <c r="O131" s="974"/>
      <c r="P131" s="974"/>
      <c r="Q131" s="974"/>
      <c r="R131" s="970"/>
      <c r="S131" s="970"/>
      <c r="T131" s="970"/>
      <c r="U131" s="970"/>
      <c r="V131" s="970"/>
      <c r="W131" s="970"/>
      <c r="X131" s="970"/>
      <c r="Y131" s="970"/>
      <c r="Z131" s="970"/>
      <c r="AA131" s="970"/>
      <c r="AB131" s="970"/>
    </row>
    <row r="132" spans="1:28" ht="15.75" customHeight="1">
      <c r="A132" s="970"/>
      <c r="B132" s="970"/>
      <c r="C132" s="974"/>
      <c r="D132" s="974"/>
      <c r="E132" s="974"/>
      <c r="F132" s="974"/>
      <c r="G132" s="974"/>
      <c r="H132" s="974"/>
      <c r="I132" s="974"/>
      <c r="J132" s="974"/>
      <c r="K132" s="974"/>
      <c r="L132" s="974"/>
      <c r="M132" s="974"/>
      <c r="N132" s="974"/>
      <c r="O132" s="974"/>
      <c r="P132" s="974"/>
      <c r="Q132" s="974"/>
      <c r="R132" s="970"/>
      <c r="S132" s="970"/>
      <c r="T132" s="970"/>
      <c r="U132" s="970"/>
      <c r="V132" s="970"/>
      <c r="W132" s="970"/>
      <c r="X132" s="970"/>
      <c r="Y132" s="970"/>
      <c r="Z132" s="970"/>
      <c r="AA132" s="970"/>
      <c r="AB132" s="970"/>
    </row>
    <row r="133" spans="1:28" ht="15.75" customHeight="1">
      <c r="A133" s="970"/>
      <c r="B133" s="970"/>
      <c r="C133" s="974"/>
      <c r="D133" s="974"/>
      <c r="E133" s="974"/>
      <c r="F133" s="974"/>
      <c r="G133" s="974"/>
      <c r="H133" s="974"/>
      <c r="I133" s="974"/>
      <c r="J133" s="974"/>
      <c r="K133" s="974"/>
      <c r="L133" s="974"/>
      <c r="M133" s="974"/>
      <c r="N133" s="974"/>
      <c r="O133" s="974"/>
      <c r="P133" s="974"/>
      <c r="Q133" s="974"/>
      <c r="R133" s="970"/>
      <c r="S133" s="970"/>
      <c r="T133" s="970"/>
      <c r="U133" s="970"/>
      <c r="V133" s="970"/>
      <c r="W133" s="970"/>
      <c r="X133" s="970"/>
      <c r="Y133" s="970"/>
      <c r="Z133" s="970"/>
      <c r="AA133" s="970"/>
      <c r="AB133" s="970"/>
    </row>
    <row r="134" spans="1:28" ht="15.75" customHeight="1">
      <c r="A134" s="970"/>
      <c r="B134" s="970"/>
      <c r="C134" s="974"/>
      <c r="D134" s="974"/>
      <c r="E134" s="974"/>
      <c r="F134" s="974"/>
      <c r="G134" s="974"/>
      <c r="H134" s="974"/>
      <c r="I134" s="974"/>
      <c r="J134" s="974"/>
      <c r="K134" s="974"/>
      <c r="L134" s="974"/>
      <c r="M134" s="974"/>
      <c r="N134" s="974"/>
      <c r="O134" s="974"/>
      <c r="P134" s="974"/>
      <c r="Q134" s="974"/>
      <c r="R134" s="970"/>
      <c r="S134" s="970"/>
      <c r="T134" s="970"/>
      <c r="U134" s="970"/>
      <c r="V134" s="970"/>
      <c r="W134" s="970"/>
      <c r="X134" s="970"/>
      <c r="Y134" s="970"/>
      <c r="Z134" s="970"/>
      <c r="AA134" s="970"/>
      <c r="AB134" s="970"/>
    </row>
    <row r="135" spans="1:28" ht="15.75" customHeight="1">
      <c r="A135" s="970"/>
      <c r="B135" s="970"/>
      <c r="C135" s="974"/>
      <c r="D135" s="974"/>
      <c r="E135" s="974"/>
      <c r="F135" s="974"/>
      <c r="G135" s="974"/>
      <c r="H135" s="974"/>
      <c r="I135" s="974"/>
      <c r="J135" s="974"/>
      <c r="K135" s="974"/>
      <c r="L135" s="974"/>
      <c r="M135" s="974"/>
      <c r="N135" s="974"/>
      <c r="O135" s="974"/>
      <c r="P135" s="974"/>
      <c r="Q135" s="974"/>
      <c r="R135" s="970"/>
      <c r="S135" s="970"/>
      <c r="T135" s="970"/>
      <c r="U135" s="970"/>
      <c r="V135" s="970"/>
      <c r="W135" s="970"/>
      <c r="X135" s="970"/>
      <c r="Y135" s="970"/>
      <c r="Z135" s="970"/>
      <c r="AA135" s="970"/>
      <c r="AB135" s="970"/>
    </row>
    <row r="136" spans="1:28" ht="15.75" customHeight="1">
      <c r="A136" s="970"/>
      <c r="B136" s="970"/>
      <c r="C136" s="974"/>
      <c r="D136" s="974"/>
      <c r="E136" s="974"/>
      <c r="F136" s="974"/>
      <c r="G136" s="974"/>
      <c r="H136" s="974"/>
      <c r="I136" s="974"/>
      <c r="J136" s="974"/>
      <c r="K136" s="974"/>
      <c r="L136" s="974"/>
      <c r="M136" s="974"/>
      <c r="N136" s="974"/>
      <c r="O136" s="974"/>
      <c r="P136" s="974"/>
      <c r="Q136" s="974"/>
      <c r="R136" s="970"/>
      <c r="S136" s="970"/>
      <c r="T136" s="970"/>
      <c r="U136" s="970"/>
      <c r="V136" s="970"/>
      <c r="W136" s="970"/>
      <c r="X136" s="970"/>
      <c r="Y136" s="970"/>
      <c r="Z136" s="970"/>
      <c r="AA136" s="970"/>
      <c r="AB136" s="970"/>
    </row>
    <row r="137" spans="1:28" ht="15.75" customHeight="1">
      <c r="A137" s="970"/>
      <c r="B137" s="970"/>
      <c r="C137" s="974"/>
      <c r="D137" s="974"/>
      <c r="E137" s="974"/>
      <c r="F137" s="974"/>
      <c r="G137" s="974"/>
      <c r="H137" s="974"/>
      <c r="I137" s="974"/>
      <c r="J137" s="974"/>
      <c r="K137" s="974"/>
      <c r="L137" s="974"/>
      <c r="M137" s="974"/>
      <c r="N137" s="974"/>
      <c r="O137" s="974"/>
      <c r="P137" s="974"/>
      <c r="Q137" s="974"/>
      <c r="R137" s="970"/>
      <c r="S137" s="970"/>
      <c r="T137" s="970"/>
      <c r="U137" s="970"/>
      <c r="V137" s="970"/>
      <c r="W137" s="970"/>
      <c r="X137" s="970"/>
      <c r="Y137" s="970"/>
      <c r="Z137" s="970"/>
      <c r="AA137" s="970"/>
      <c r="AB137" s="970"/>
    </row>
    <row r="138" spans="1:28" ht="15.75" customHeight="1">
      <c r="A138" s="970"/>
      <c r="B138" s="970"/>
      <c r="C138" s="974"/>
      <c r="D138" s="974"/>
      <c r="E138" s="974"/>
      <c r="F138" s="974"/>
      <c r="G138" s="974"/>
      <c r="H138" s="974"/>
      <c r="I138" s="974"/>
      <c r="J138" s="974"/>
      <c r="K138" s="974"/>
      <c r="L138" s="974"/>
      <c r="M138" s="974"/>
      <c r="N138" s="974"/>
      <c r="O138" s="974"/>
      <c r="P138" s="974"/>
      <c r="Q138" s="974"/>
      <c r="R138" s="970"/>
      <c r="S138" s="970"/>
      <c r="T138" s="970"/>
      <c r="U138" s="970"/>
      <c r="V138" s="970"/>
      <c r="W138" s="970"/>
      <c r="X138" s="970"/>
      <c r="Y138" s="970"/>
      <c r="Z138" s="970"/>
      <c r="AA138" s="970"/>
      <c r="AB138" s="970"/>
    </row>
    <row r="139" spans="1:28" ht="15.75" customHeight="1">
      <c r="A139" s="970"/>
      <c r="B139" s="970"/>
      <c r="C139" s="974"/>
      <c r="D139" s="974"/>
      <c r="E139" s="974"/>
      <c r="F139" s="974"/>
      <c r="G139" s="974"/>
      <c r="H139" s="974"/>
      <c r="I139" s="974"/>
      <c r="J139" s="974"/>
      <c r="K139" s="974"/>
      <c r="L139" s="974"/>
      <c r="M139" s="974"/>
      <c r="N139" s="974"/>
      <c r="O139" s="974"/>
      <c r="P139" s="974"/>
      <c r="Q139" s="974"/>
      <c r="R139" s="970"/>
      <c r="S139" s="970"/>
      <c r="T139" s="970"/>
      <c r="U139" s="970"/>
      <c r="V139" s="970"/>
      <c r="W139" s="970"/>
      <c r="X139" s="970"/>
      <c r="Y139" s="970"/>
      <c r="Z139" s="970"/>
      <c r="AA139" s="970"/>
      <c r="AB139" s="970"/>
    </row>
    <row r="140" spans="1:28" ht="15.75" customHeight="1">
      <c r="A140" s="970"/>
      <c r="B140" s="970"/>
      <c r="C140" s="974"/>
      <c r="D140" s="974"/>
      <c r="E140" s="974"/>
      <c r="F140" s="974"/>
      <c r="G140" s="974"/>
      <c r="H140" s="974"/>
      <c r="I140" s="974"/>
      <c r="J140" s="974"/>
      <c r="K140" s="974"/>
      <c r="L140" s="974"/>
      <c r="M140" s="974"/>
      <c r="N140" s="974"/>
      <c r="O140" s="974"/>
      <c r="P140" s="974"/>
      <c r="Q140" s="974"/>
      <c r="R140" s="970"/>
      <c r="S140" s="970"/>
      <c r="T140" s="970"/>
      <c r="U140" s="970"/>
      <c r="V140" s="970"/>
      <c r="W140" s="970"/>
      <c r="X140" s="970"/>
      <c r="Y140" s="970"/>
      <c r="Z140" s="970"/>
      <c r="AA140" s="970"/>
      <c r="AB140" s="970"/>
    </row>
    <row r="141" spans="1:28" ht="15.75" customHeight="1">
      <c r="A141" s="970"/>
      <c r="B141" s="970"/>
      <c r="C141" s="974"/>
      <c r="D141" s="974"/>
      <c r="E141" s="974"/>
      <c r="F141" s="974"/>
      <c r="G141" s="974"/>
      <c r="H141" s="974"/>
      <c r="I141" s="974"/>
      <c r="J141" s="974"/>
      <c r="K141" s="974"/>
      <c r="L141" s="974"/>
      <c r="M141" s="974"/>
      <c r="N141" s="974"/>
      <c r="O141" s="974"/>
      <c r="P141" s="974"/>
      <c r="Q141" s="974"/>
      <c r="R141" s="970"/>
      <c r="S141" s="970"/>
      <c r="T141" s="970"/>
      <c r="U141" s="970"/>
      <c r="V141" s="970"/>
      <c r="W141" s="970"/>
      <c r="X141" s="970"/>
      <c r="Y141" s="970"/>
      <c r="Z141" s="970"/>
      <c r="AA141" s="970"/>
      <c r="AB141" s="970"/>
    </row>
    <row r="142" spans="1:28" ht="15.75" customHeight="1">
      <c r="A142" s="970"/>
      <c r="B142" s="970"/>
      <c r="C142" s="974"/>
      <c r="D142" s="974"/>
      <c r="E142" s="974"/>
      <c r="F142" s="974"/>
      <c r="G142" s="974"/>
      <c r="H142" s="974"/>
      <c r="I142" s="974"/>
      <c r="J142" s="974"/>
      <c r="K142" s="974"/>
      <c r="L142" s="974"/>
      <c r="M142" s="974"/>
      <c r="N142" s="974"/>
      <c r="O142" s="974"/>
      <c r="P142" s="974"/>
      <c r="Q142" s="974"/>
      <c r="R142" s="970"/>
      <c r="S142" s="970"/>
      <c r="T142" s="970"/>
      <c r="U142" s="970"/>
      <c r="V142" s="970"/>
      <c r="W142" s="970"/>
      <c r="X142" s="970"/>
      <c r="Y142" s="970"/>
      <c r="Z142" s="970"/>
      <c r="AA142" s="970"/>
      <c r="AB142" s="970"/>
    </row>
    <row r="143" spans="1:28" ht="15.75" customHeight="1">
      <c r="A143" s="970"/>
      <c r="B143" s="970"/>
      <c r="C143" s="974"/>
      <c r="D143" s="974"/>
      <c r="E143" s="974"/>
      <c r="F143" s="974"/>
      <c r="G143" s="974"/>
      <c r="H143" s="974"/>
      <c r="I143" s="974"/>
      <c r="J143" s="974"/>
      <c r="K143" s="974"/>
      <c r="L143" s="974"/>
      <c r="M143" s="974"/>
      <c r="N143" s="974"/>
      <c r="O143" s="974"/>
      <c r="P143" s="974"/>
      <c r="Q143" s="974"/>
      <c r="R143" s="970"/>
      <c r="S143" s="970"/>
      <c r="T143" s="970"/>
      <c r="U143" s="970"/>
      <c r="V143" s="970"/>
      <c r="W143" s="970"/>
      <c r="X143" s="970"/>
      <c r="Y143" s="970"/>
      <c r="Z143" s="970"/>
      <c r="AA143" s="970"/>
      <c r="AB143" s="970"/>
    </row>
    <row r="144" spans="1:28" ht="15.75" customHeight="1">
      <c r="A144" s="970"/>
      <c r="B144" s="970"/>
      <c r="C144" s="974"/>
      <c r="D144" s="974"/>
      <c r="E144" s="974"/>
      <c r="F144" s="974"/>
      <c r="G144" s="974"/>
      <c r="H144" s="974"/>
      <c r="I144" s="974"/>
      <c r="J144" s="974"/>
      <c r="K144" s="974"/>
      <c r="L144" s="974"/>
      <c r="M144" s="974"/>
      <c r="N144" s="974"/>
      <c r="O144" s="974"/>
      <c r="P144" s="974"/>
      <c r="Q144" s="974"/>
      <c r="R144" s="970"/>
      <c r="S144" s="970"/>
      <c r="T144" s="970"/>
      <c r="U144" s="970"/>
      <c r="V144" s="970"/>
      <c r="W144" s="970"/>
      <c r="X144" s="970"/>
      <c r="Y144" s="970"/>
      <c r="Z144" s="970"/>
      <c r="AA144" s="970"/>
      <c r="AB144" s="970"/>
    </row>
    <row r="145" spans="1:28" ht="15.75" customHeight="1">
      <c r="A145" s="970"/>
      <c r="B145" s="970"/>
      <c r="C145" s="974"/>
      <c r="D145" s="974"/>
      <c r="E145" s="974"/>
      <c r="F145" s="974"/>
      <c r="G145" s="974"/>
      <c r="H145" s="974"/>
      <c r="I145" s="974"/>
      <c r="J145" s="974"/>
      <c r="K145" s="974"/>
      <c r="L145" s="974"/>
      <c r="M145" s="974"/>
      <c r="N145" s="974"/>
      <c r="O145" s="974"/>
      <c r="P145" s="974"/>
      <c r="Q145" s="974"/>
      <c r="R145" s="970"/>
      <c r="S145" s="970"/>
      <c r="T145" s="970"/>
      <c r="U145" s="970"/>
      <c r="V145" s="970"/>
      <c r="W145" s="970"/>
      <c r="X145" s="970"/>
      <c r="Y145" s="970"/>
      <c r="Z145" s="970"/>
      <c r="AA145" s="970"/>
      <c r="AB145" s="970"/>
    </row>
    <row r="146" spans="1:28" ht="15.75" customHeight="1">
      <c r="A146" s="970"/>
      <c r="B146" s="970"/>
      <c r="C146" s="974"/>
      <c r="D146" s="974"/>
      <c r="E146" s="974"/>
      <c r="F146" s="974"/>
      <c r="G146" s="974"/>
      <c r="H146" s="974"/>
      <c r="I146" s="974"/>
      <c r="J146" s="974"/>
      <c r="K146" s="974"/>
      <c r="L146" s="974"/>
      <c r="M146" s="974"/>
      <c r="N146" s="974"/>
      <c r="O146" s="974"/>
      <c r="P146" s="974"/>
      <c r="Q146" s="974"/>
      <c r="R146" s="970"/>
      <c r="S146" s="970"/>
      <c r="T146" s="970"/>
      <c r="U146" s="970"/>
      <c r="V146" s="970"/>
      <c r="W146" s="970"/>
      <c r="X146" s="970"/>
      <c r="Y146" s="970"/>
      <c r="Z146" s="970"/>
      <c r="AA146" s="970"/>
      <c r="AB146" s="970"/>
    </row>
    <row r="147" spans="1:28" ht="15.75" customHeight="1">
      <c r="A147" s="970"/>
      <c r="B147" s="970"/>
      <c r="C147" s="974"/>
      <c r="D147" s="974"/>
      <c r="E147" s="974"/>
      <c r="F147" s="974"/>
      <c r="G147" s="974"/>
      <c r="H147" s="974"/>
      <c r="I147" s="974"/>
      <c r="J147" s="974"/>
      <c r="K147" s="974"/>
      <c r="L147" s="974"/>
      <c r="M147" s="974"/>
      <c r="N147" s="974"/>
      <c r="O147" s="974"/>
      <c r="P147" s="974"/>
      <c r="Q147" s="974"/>
      <c r="R147" s="970"/>
      <c r="S147" s="970"/>
      <c r="T147" s="970"/>
      <c r="U147" s="970"/>
      <c r="V147" s="970"/>
      <c r="W147" s="970"/>
      <c r="X147" s="970"/>
      <c r="Y147" s="970"/>
      <c r="Z147" s="970"/>
      <c r="AA147" s="970"/>
      <c r="AB147" s="970"/>
    </row>
    <row r="148" spans="1:28" ht="15.75" customHeight="1">
      <c r="A148" s="970"/>
      <c r="B148" s="970"/>
      <c r="C148" s="974"/>
      <c r="D148" s="974"/>
      <c r="E148" s="974"/>
      <c r="F148" s="974"/>
      <c r="G148" s="974"/>
      <c r="H148" s="974"/>
      <c r="I148" s="974"/>
      <c r="J148" s="974"/>
      <c r="K148" s="974"/>
      <c r="L148" s="974"/>
      <c r="M148" s="974"/>
      <c r="N148" s="974"/>
      <c r="O148" s="974"/>
      <c r="P148" s="974"/>
      <c r="Q148" s="974"/>
      <c r="R148" s="970"/>
      <c r="S148" s="970"/>
      <c r="T148" s="970"/>
      <c r="U148" s="970"/>
      <c r="V148" s="970"/>
      <c r="W148" s="970"/>
      <c r="X148" s="970"/>
      <c r="Y148" s="970"/>
      <c r="Z148" s="970"/>
      <c r="AA148" s="970"/>
      <c r="AB148" s="970"/>
    </row>
    <row r="149" spans="1:28" ht="15.75" customHeight="1">
      <c r="A149" s="970"/>
      <c r="B149" s="970"/>
      <c r="C149" s="974"/>
      <c r="D149" s="974"/>
      <c r="E149" s="974"/>
      <c r="F149" s="974"/>
      <c r="G149" s="974"/>
      <c r="H149" s="974"/>
      <c r="I149" s="974"/>
      <c r="J149" s="974"/>
      <c r="K149" s="974"/>
      <c r="L149" s="974"/>
      <c r="M149" s="974"/>
      <c r="N149" s="974"/>
      <c r="O149" s="974"/>
      <c r="P149" s="974"/>
      <c r="Q149" s="974"/>
      <c r="R149" s="970"/>
      <c r="S149" s="970"/>
      <c r="T149" s="970"/>
      <c r="U149" s="970"/>
      <c r="V149" s="970"/>
      <c r="W149" s="970"/>
      <c r="X149" s="970"/>
      <c r="Y149" s="970"/>
      <c r="Z149" s="970"/>
      <c r="AA149" s="970"/>
      <c r="AB149" s="970"/>
    </row>
    <row r="150" spans="1:28" ht="15.75" customHeight="1">
      <c r="A150" s="970"/>
      <c r="B150" s="970"/>
      <c r="C150" s="974"/>
      <c r="D150" s="974"/>
      <c r="E150" s="974"/>
      <c r="F150" s="974"/>
      <c r="G150" s="974"/>
      <c r="H150" s="974"/>
      <c r="I150" s="974"/>
      <c r="J150" s="974"/>
      <c r="K150" s="974"/>
      <c r="L150" s="974"/>
      <c r="M150" s="974"/>
      <c r="N150" s="974"/>
      <c r="O150" s="974"/>
      <c r="P150" s="974"/>
      <c r="Q150" s="974"/>
      <c r="R150" s="970"/>
      <c r="S150" s="970"/>
      <c r="T150" s="970"/>
      <c r="U150" s="970"/>
      <c r="V150" s="970"/>
      <c r="W150" s="970"/>
      <c r="X150" s="970"/>
      <c r="Y150" s="970"/>
      <c r="Z150" s="970"/>
      <c r="AA150" s="970"/>
      <c r="AB150" s="970"/>
    </row>
    <row r="151" spans="1:28" ht="15.75" customHeight="1">
      <c r="A151" s="970"/>
      <c r="B151" s="970"/>
      <c r="C151" s="974"/>
      <c r="D151" s="974"/>
      <c r="E151" s="974"/>
      <c r="F151" s="974"/>
      <c r="G151" s="974"/>
      <c r="H151" s="974"/>
      <c r="I151" s="974"/>
      <c r="J151" s="974"/>
      <c r="K151" s="974"/>
      <c r="L151" s="974"/>
      <c r="M151" s="974"/>
      <c r="N151" s="974"/>
      <c r="O151" s="974"/>
      <c r="P151" s="974"/>
      <c r="Q151" s="974"/>
      <c r="R151" s="970"/>
      <c r="S151" s="970"/>
      <c r="T151" s="970"/>
      <c r="U151" s="970"/>
      <c r="V151" s="970"/>
      <c r="W151" s="970"/>
      <c r="X151" s="970"/>
      <c r="Y151" s="970"/>
      <c r="Z151" s="970"/>
      <c r="AA151" s="970"/>
      <c r="AB151" s="970"/>
    </row>
    <row r="152" spans="1:28" ht="15.75" customHeight="1">
      <c r="A152" s="970"/>
      <c r="B152" s="970"/>
      <c r="C152" s="974"/>
      <c r="D152" s="974"/>
      <c r="E152" s="974"/>
      <c r="F152" s="974"/>
      <c r="G152" s="974"/>
      <c r="H152" s="974"/>
      <c r="I152" s="974"/>
      <c r="J152" s="974"/>
      <c r="K152" s="974"/>
      <c r="L152" s="974"/>
      <c r="M152" s="974"/>
      <c r="N152" s="974"/>
      <c r="O152" s="974"/>
      <c r="P152" s="974"/>
      <c r="Q152" s="974"/>
      <c r="R152" s="970"/>
      <c r="S152" s="970"/>
      <c r="T152" s="970"/>
      <c r="U152" s="970"/>
      <c r="V152" s="970"/>
      <c r="W152" s="970"/>
      <c r="X152" s="970"/>
      <c r="Y152" s="970"/>
      <c r="Z152" s="970"/>
      <c r="AA152" s="970"/>
      <c r="AB152" s="970"/>
    </row>
    <row r="153" spans="1:28" ht="15.75" customHeight="1">
      <c r="A153" s="970"/>
      <c r="B153" s="970"/>
      <c r="C153" s="974"/>
      <c r="D153" s="974"/>
      <c r="E153" s="974"/>
      <c r="F153" s="974"/>
      <c r="G153" s="974"/>
      <c r="H153" s="974"/>
      <c r="I153" s="974"/>
      <c r="J153" s="974"/>
      <c r="K153" s="974"/>
      <c r="L153" s="974"/>
      <c r="M153" s="974"/>
      <c r="N153" s="974"/>
      <c r="O153" s="974"/>
      <c r="P153" s="974"/>
      <c r="Q153" s="974"/>
      <c r="R153" s="970"/>
      <c r="S153" s="970"/>
      <c r="T153" s="970"/>
      <c r="U153" s="970"/>
      <c r="V153" s="970"/>
      <c r="W153" s="970"/>
      <c r="X153" s="970"/>
      <c r="Y153" s="970"/>
      <c r="Z153" s="970"/>
      <c r="AA153" s="970"/>
      <c r="AB153" s="970"/>
    </row>
    <row r="154" spans="1:28" ht="15.75" customHeight="1">
      <c r="A154" s="970"/>
      <c r="B154" s="970"/>
      <c r="C154" s="974"/>
      <c r="D154" s="974"/>
      <c r="E154" s="974"/>
      <c r="F154" s="974"/>
      <c r="G154" s="974"/>
      <c r="H154" s="974"/>
      <c r="I154" s="974"/>
      <c r="J154" s="974"/>
      <c r="K154" s="974"/>
      <c r="L154" s="974"/>
      <c r="M154" s="974"/>
      <c r="N154" s="974"/>
      <c r="O154" s="974"/>
      <c r="P154" s="974"/>
      <c r="Q154" s="974"/>
      <c r="R154" s="970"/>
      <c r="S154" s="970"/>
      <c r="T154" s="970"/>
      <c r="U154" s="970"/>
      <c r="V154" s="970"/>
      <c r="W154" s="970"/>
      <c r="X154" s="970"/>
      <c r="Y154" s="970"/>
      <c r="Z154" s="970"/>
      <c r="AA154" s="970"/>
      <c r="AB154" s="970"/>
    </row>
    <row r="155" spans="1:28" ht="15.75" customHeight="1">
      <c r="A155" s="970"/>
      <c r="B155" s="970"/>
      <c r="C155" s="974"/>
      <c r="D155" s="974"/>
      <c r="E155" s="974"/>
      <c r="F155" s="974"/>
      <c r="G155" s="974"/>
      <c r="H155" s="974"/>
      <c r="I155" s="974"/>
      <c r="J155" s="974"/>
      <c r="K155" s="974"/>
      <c r="L155" s="974"/>
      <c r="M155" s="974"/>
      <c r="N155" s="974"/>
      <c r="O155" s="974"/>
      <c r="P155" s="974"/>
      <c r="Q155" s="974"/>
      <c r="R155" s="970"/>
      <c r="S155" s="970"/>
      <c r="T155" s="970"/>
      <c r="U155" s="970"/>
      <c r="V155" s="970"/>
      <c r="W155" s="970"/>
      <c r="X155" s="970"/>
      <c r="Y155" s="970"/>
      <c r="Z155" s="970"/>
      <c r="AA155" s="970"/>
      <c r="AB155" s="970"/>
    </row>
    <row r="156" spans="1:28" ht="15.75" customHeight="1">
      <c r="A156" s="970"/>
      <c r="B156" s="970"/>
      <c r="C156" s="974"/>
      <c r="D156" s="974"/>
      <c r="E156" s="974"/>
      <c r="F156" s="974"/>
      <c r="G156" s="974"/>
      <c r="H156" s="974"/>
      <c r="I156" s="974"/>
      <c r="J156" s="974"/>
      <c r="K156" s="974"/>
      <c r="L156" s="974"/>
      <c r="M156" s="974"/>
      <c r="N156" s="974"/>
      <c r="O156" s="974"/>
      <c r="P156" s="974"/>
      <c r="Q156" s="974"/>
      <c r="R156" s="970"/>
      <c r="S156" s="970"/>
      <c r="T156" s="970"/>
      <c r="U156" s="970"/>
      <c r="V156" s="970"/>
      <c r="W156" s="970"/>
      <c r="X156" s="970"/>
      <c r="Y156" s="970"/>
      <c r="Z156" s="970"/>
      <c r="AA156" s="970"/>
      <c r="AB156" s="970"/>
    </row>
    <row r="157" spans="1:28" ht="15.75" customHeight="1">
      <c r="A157" s="970"/>
      <c r="B157" s="970"/>
      <c r="C157" s="974"/>
      <c r="D157" s="974"/>
      <c r="E157" s="974"/>
      <c r="F157" s="974"/>
      <c r="G157" s="974"/>
      <c r="H157" s="974"/>
      <c r="I157" s="974"/>
      <c r="J157" s="974"/>
      <c r="K157" s="974"/>
      <c r="L157" s="974"/>
      <c r="M157" s="974"/>
      <c r="N157" s="974"/>
      <c r="O157" s="974"/>
      <c r="P157" s="974"/>
      <c r="Q157" s="974"/>
      <c r="R157" s="970"/>
      <c r="S157" s="970"/>
      <c r="T157" s="970"/>
      <c r="U157" s="970"/>
      <c r="V157" s="970"/>
      <c r="W157" s="970"/>
      <c r="X157" s="970"/>
      <c r="Y157" s="970"/>
      <c r="Z157" s="970"/>
      <c r="AA157" s="970"/>
      <c r="AB157" s="970"/>
    </row>
    <row r="158" spans="1:28" ht="15.75" customHeight="1">
      <c r="A158" s="970"/>
      <c r="B158" s="970"/>
      <c r="C158" s="974"/>
      <c r="D158" s="974"/>
      <c r="E158" s="974"/>
      <c r="F158" s="974"/>
      <c r="G158" s="974"/>
      <c r="H158" s="974"/>
      <c r="I158" s="974"/>
      <c r="J158" s="974"/>
      <c r="K158" s="974"/>
      <c r="L158" s="974"/>
      <c r="M158" s="974"/>
      <c r="N158" s="974"/>
      <c r="O158" s="974"/>
      <c r="P158" s="974"/>
      <c r="Q158" s="974"/>
      <c r="R158" s="970"/>
      <c r="S158" s="970"/>
      <c r="T158" s="970"/>
      <c r="U158" s="970"/>
      <c r="V158" s="970"/>
      <c r="W158" s="970"/>
      <c r="X158" s="970"/>
      <c r="Y158" s="970"/>
      <c r="Z158" s="970"/>
      <c r="AA158" s="970"/>
      <c r="AB158" s="970"/>
    </row>
    <row r="159" spans="1:28" ht="15.75" customHeight="1">
      <c r="A159" s="970"/>
      <c r="B159" s="970"/>
      <c r="C159" s="974"/>
      <c r="D159" s="974"/>
      <c r="E159" s="974"/>
      <c r="F159" s="974"/>
      <c r="G159" s="974"/>
      <c r="H159" s="974"/>
      <c r="I159" s="974"/>
      <c r="J159" s="974"/>
      <c r="K159" s="974"/>
      <c r="L159" s="974"/>
      <c r="M159" s="974"/>
      <c r="N159" s="974"/>
      <c r="O159" s="974"/>
      <c r="P159" s="974"/>
      <c r="Q159" s="974"/>
      <c r="R159" s="970"/>
      <c r="S159" s="970"/>
      <c r="T159" s="970"/>
      <c r="U159" s="970"/>
      <c r="V159" s="970"/>
      <c r="W159" s="970"/>
      <c r="X159" s="970"/>
      <c r="Y159" s="970"/>
      <c r="Z159" s="970"/>
      <c r="AA159" s="970"/>
      <c r="AB159" s="970"/>
    </row>
    <row r="160" spans="1:28" ht="15.75" customHeight="1">
      <c r="A160" s="970"/>
      <c r="B160" s="970"/>
      <c r="C160" s="974"/>
      <c r="D160" s="974"/>
      <c r="E160" s="974"/>
      <c r="F160" s="974"/>
      <c r="G160" s="974"/>
      <c r="H160" s="974"/>
      <c r="I160" s="974"/>
      <c r="J160" s="974"/>
      <c r="K160" s="974"/>
      <c r="L160" s="974"/>
      <c r="M160" s="974"/>
      <c r="N160" s="974"/>
      <c r="O160" s="974"/>
      <c r="P160" s="974"/>
      <c r="Q160" s="974"/>
      <c r="R160" s="970"/>
      <c r="S160" s="970"/>
      <c r="T160" s="970"/>
      <c r="U160" s="970"/>
      <c r="V160" s="970"/>
      <c r="W160" s="970"/>
      <c r="X160" s="970"/>
      <c r="Y160" s="970"/>
      <c r="Z160" s="970"/>
      <c r="AA160" s="970"/>
      <c r="AB160" s="970"/>
    </row>
    <row r="161" spans="1:28" ht="15.75" customHeight="1">
      <c r="A161" s="970"/>
      <c r="B161" s="970"/>
      <c r="C161" s="974"/>
      <c r="D161" s="974"/>
      <c r="E161" s="974"/>
      <c r="F161" s="974"/>
      <c r="G161" s="974"/>
      <c r="H161" s="974"/>
      <c r="I161" s="974"/>
      <c r="J161" s="974"/>
      <c r="K161" s="974"/>
      <c r="L161" s="974"/>
      <c r="M161" s="974"/>
      <c r="N161" s="974"/>
      <c r="O161" s="974"/>
      <c r="P161" s="974"/>
      <c r="Q161" s="974"/>
      <c r="R161" s="970"/>
      <c r="S161" s="970"/>
      <c r="T161" s="970"/>
      <c r="U161" s="970"/>
      <c r="V161" s="970"/>
      <c r="W161" s="970"/>
      <c r="X161" s="970"/>
      <c r="Y161" s="970"/>
      <c r="Z161" s="970"/>
      <c r="AA161" s="970"/>
      <c r="AB161" s="970"/>
    </row>
    <row r="162" spans="1:28" ht="15.75" customHeight="1">
      <c r="A162" s="970"/>
      <c r="B162" s="970"/>
      <c r="C162" s="974"/>
      <c r="D162" s="974"/>
      <c r="E162" s="974"/>
      <c r="F162" s="974"/>
      <c r="G162" s="974"/>
      <c r="H162" s="974"/>
      <c r="I162" s="974"/>
      <c r="J162" s="974"/>
      <c r="K162" s="974"/>
      <c r="L162" s="974"/>
      <c r="M162" s="974"/>
      <c r="N162" s="974"/>
      <c r="O162" s="974"/>
      <c r="P162" s="974"/>
      <c r="Q162" s="974"/>
      <c r="R162" s="970"/>
      <c r="S162" s="970"/>
      <c r="T162" s="970"/>
      <c r="U162" s="970"/>
      <c r="V162" s="970"/>
      <c r="W162" s="970"/>
      <c r="X162" s="970"/>
      <c r="Y162" s="970"/>
      <c r="Z162" s="970"/>
      <c r="AA162" s="970"/>
      <c r="AB162" s="970"/>
    </row>
    <row r="163" spans="1:28" ht="15.75" customHeight="1">
      <c r="A163" s="970"/>
      <c r="B163" s="970"/>
      <c r="C163" s="974"/>
      <c r="D163" s="974"/>
      <c r="E163" s="974"/>
      <c r="F163" s="974"/>
      <c r="G163" s="974"/>
      <c r="H163" s="974"/>
      <c r="I163" s="974"/>
      <c r="J163" s="974"/>
      <c r="K163" s="974"/>
      <c r="L163" s="974"/>
      <c r="M163" s="974"/>
      <c r="N163" s="974"/>
      <c r="O163" s="974"/>
      <c r="P163" s="974"/>
      <c r="Q163" s="974"/>
      <c r="R163" s="970"/>
      <c r="S163" s="970"/>
      <c r="T163" s="970"/>
      <c r="U163" s="970"/>
      <c r="V163" s="970"/>
      <c r="W163" s="970"/>
      <c r="X163" s="970"/>
      <c r="Y163" s="970"/>
      <c r="Z163" s="970"/>
      <c r="AA163" s="970"/>
      <c r="AB163" s="970"/>
    </row>
    <row r="164" spans="1:28" ht="15.75" customHeight="1">
      <c r="A164" s="970"/>
      <c r="B164" s="970"/>
      <c r="C164" s="974"/>
      <c r="D164" s="974"/>
      <c r="E164" s="974"/>
      <c r="F164" s="974"/>
      <c r="G164" s="974"/>
      <c r="H164" s="974"/>
      <c r="I164" s="974"/>
      <c r="J164" s="974"/>
      <c r="K164" s="974"/>
      <c r="L164" s="974"/>
      <c r="M164" s="974"/>
      <c r="N164" s="974"/>
      <c r="O164" s="974"/>
      <c r="P164" s="974"/>
      <c r="Q164" s="974"/>
      <c r="R164" s="970"/>
      <c r="S164" s="970"/>
      <c r="T164" s="970"/>
      <c r="U164" s="970"/>
      <c r="V164" s="970"/>
      <c r="W164" s="970"/>
      <c r="X164" s="970"/>
      <c r="Y164" s="970"/>
      <c r="Z164" s="970"/>
      <c r="AA164" s="970"/>
      <c r="AB164" s="970"/>
    </row>
    <row r="165" spans="1:28" ht="15.75" customHeight="1">
      <c r="A165" s="970"/>
      <c r="B165" s="970"/>
      <c r="C165" s="974"/>
      <c r="D165" s="974"/>
      <c r="E165" s="974"/>
      <c r="F165" s="974"/>
      <c r="G165" s="974"/>
      <c r="H165" s="974"/>
      <c r="I165" s="974"/>
      <c r="J165" s="974"/>
      <c r="K165" s="974"/>
      <c r="L165" s="974"/>
      <c r="M165" s="974"/>
      <c r="N165" s="974"/>
      <c r="O165" s="974"/>
      <c r="P165" s="974"/>
      <c r="Q165" s="974"/>
      <c r="R165" s="970"/>
      <c r="S165" s="970"/>
      <c r="T165" s="970"/>
      <c r="U165" s="970"/>
      <c r="V165" s="970"/>
      <c r="W165" s="970"/>
      <c r="X165" s="970"/>
      <c r="Y165" s="970"/>
      <c r="Z165" s="970"/>
      <c r="AA165" s="970"/>
      <c r="AB165" s="970"/>
    </row>
    <row r="166" spans="1:28" ht="15.75" customHeight="1">
      <c r="A166" s="970"/>
      <c r="B166" s="970"/>
      <c r="C166" s="974"/>
      <c r="D166" s="974"/>
      <c r="E166" s="974"/>
      <c r="F166" s="974"/>
      <c r="G166" s="974"/>
      <c r="H166" s="974"/>
      <c r="I166" s="974"/>
      <c r="J166" s="974"/>
      <c r="K166" s="974"/>
      <c r="L166" s="974"/>
      <c r="M166" s="974"/>
      <c r="N166" s="974"/>
      <c r="O166" s="974"/>
      <c r="P166" s="974"/>
      <c r="Q166" s="974"/>
      <c r="R166" s="970"/>
      <c r="S166" s="970"/>
      <c r="T166" s="970"/>
      <c r="U166" s="970"/>
      <c r="V166" s="970"/>
      <c r="W166" s="970"/>
      <c r="X166" s="970"/>
      <c r="Y166" s="970"/>
      <c r="Z166" s="970"/>
      <c r="AA166" s="970"/>
      <c r="AB166" s="970"/>
    </row>
    <row r="167" spans="1:28" ht="15.75" customHeight="1">
      <c r="A167" s="970"/>
      <c r="B167" s="970"/>
      <c r="C167" s="974"/>
      <c r="D167" s="974"/>
      <c r="E167" s="974"/>
      <c r="F167" s="974"/>
      <c r="G167" s="974"/>
      <c r="H167" s="974"/>
      <c r="I167" s="974"/>
      <c r="J167" s="974"/>
      <c r="K167" s="974"/>
      <c r="L167" s="974"/>
      <c r="M167" s="974"/>
      <c r="N167" s="974"/>
      <c r="O167" s="974"/>
      <c r="P167" s="974"/>
      <c r="Q167" s="974"/>
      <c r="R167" s="970"/>
      <c r="S167" s="970"/>
      <c r="T167" s="970"/>
      <c r="U167" s="970"/>
      <c r="V167" s="970"/>
      <c r="W167" s="970"/>
      <c r="X167" s="970"/>
      <c r="Y167" s="970"/>
      <c r="Z167" s="970"/>
      <c r="AA167" s="970"/>
      <c r="AB167" s="970"/>
    </row>
    <row r="168" spans="1:28" ht="15.75" customHeight="1">
      <c r="A168" s="970"/>
      <c r="B168" s="970"/>
      <c r="C168" s="974"/>
      <c r="D168" s="974"/>
      <c r="E168" s="974"/>
      <c r="F168" s="974"/>
      <c r="G168" s="974"/>
      <c r="H168" s="974"/>
      <c r="I168" s="974"/>
      <c r="J168" s="974"/>
      <c r="K168" s="974"/>
      <c r="L168" s="974"/>
      <c r="M168" s="974"/>
      <c r="N168" s="974"/>
      <c r="O168" s="974"/>
      <c r="P168" s="974"/>
      <c r="Q168" s="974"/>
      <c r="R168" s="970"/>
      <c r="S168" s="970"/>
      <c r="T168" s="970"/>
      <c r="U168" s="970"/>
      <c r="V168" s="970"/>
      <c r="W168" s="970"/>
      <c r="X168" s="970"/>
      <c r="Y168" s="970"/>
      <c r="Z168" s="970"/>
      <c r="AA168" s="970"/>
      <c r="AB168" s="970"/>
    </row>
    <row r="169" spans="1:28" ht="15.75" customHeight="1">
      <c r="A169" s="970"/>
      <c r="B169" s="970"/>
      <c r="C169" s="974"/>
      <c r="D169" s="974"/>
      <c r="E169" s="974"/>
      <c r="F169" s="974"/>
      <c r="G169" s="974"/>
      <c r="H169" s="974"/>
      <c r="I169" s="974"/>
      <c r="J169" s="974"/>
      <c r="K169" s="974"/>
      <c r="L169" s="974"/>
      <c r="M169" s="974"/>
      <c r="N169" s="974"/>
      <c r="O169" s="974"/>
      <c r="P169" s="974"/>
      <c r="Q169" s="974"/>
      <c r="R169" s="970"/>
      <c r="S169" s="970"/>
      <c r="T169" s="970"/>
      <c r="U169" s="970"/>
      <c r="V169" s="970"/>
      <c r="W169" s="970"/>
      <c r="X169" s="970"/>
      <c r="Y169" s="970"/>
      <c r="Z169" s="970"/>
      <c r="AA169" s="970"/>
      <c r="AB169" s="970"/>
    </row>
    <row r="170" spans="1:28" ht="15.75" customHeight="1">
      <c r="A170" s="970"/>
      <c r="B170" s="970"/>
      <c r="C170" s="974"/>
      <c r="D170" s="974"/>
      <c r="E170" s="974"/>
      <c r="F170" s="974"/>
      <c r="G170" s="974"/>
      <c r="H170" s="974"/>
      <c r="I170" s="974"/>
      <c r="J170" s="974"/>
      <c r="K170" s="974"/>
      <c r="L170" s="974"/>
      <c r="M170" s="974"/>
      <c r="N170" s="974"/>
      <c r="O170" s="974"/>
      <c r="P170" s="974"/>
      <c r="Q170" s="974"/>
      <c r="R170" s="970"/>
      <c r="S170" s="970"/>
      <c r="T170" s="970"/>
      <c r="U170" s="970"/>
      <c r="V170" s="970"/>
      <c r="W170" s="970"/>
      <c r="X170" s="970"/>
      <c r="Y170" s="970"/>
      <c r="Z170" s="970"/>
      <c r="AA170" s="970"/>
      <c r="AB170" s="970"/>
    </row>
    <row r="171" spans="1:28" ht="15.75" customHeight="1">
      <c r="A171" s="970"/>
      <c r="B171" s="970"/>
      <c r="C171" s="974"/>
      <c r="D171" s="974"/>
      <c r="E171" s="974"/>
      <c r="F171" s="974"/>
      <c r="G171" s="974"/>
      <c r="H171" s="974"/>
      <c r="I171" s="974"/>
      <c r="J171" s="974"/>
      <c r="K171" s="974"/>
      <c r="L171" s="974"/>
      <c r="M171" s="974"/>
      <c r="N171" s="974"/>
      <c r="O171" s="974"/>
      <c r="P171" s="974"/>
      <c r="Q171" s="974"/>
      <c r="R171" s="970"/>
      <c r="S171" s="970"/>
      <c r="T171" s="970"/>
      <c r="U171" s="970"/>
      <c r="V171" s="970"/>
      <c r="W171" s="970"/>
      <c r="X171" s="970"/>
      <c r="Y171" s="970"/>
      <c r="Z171" s="970"/>
      <c r="AA171" s="970"/>
      <c r="AB171" s="970"/>
    </row>
    <row r="172" spans="1:28" ht="15.75" customHeight="1">
      <c r="A172" s="970"/>
      <c r="B172" s="970"/>
      <c r="C172" s="974"/>
      <c r="D172" s="974"/>
      <c r="E172" s="974"/>
      <c r="F172" s="974"/>
      <c r="G172" s="974"/>
      <c r="H172" s="974"/>
      <c r="I172" s="974"/>
      <c r="J172" s="974"/>
      <c r="K172" s="974"/>
      <c r="L172" s="974"/>
      <c r="M172" s="974"/>
      <c r="N172" s="974"/>
      <c r="O172" s="974"/>
      <c r="P172" s="974"/>
      <c r="Q172" s="974"/>
      <c r="R172" s="970"/>
      <c r="S172" s="970"/>
      <c r="T172" s="970"/>
      <c r="U172" s="970"/>
      <c r="V172" s="970"/>
      <c r="W172" s="970"/>
      <c r="X172" s="970"/>
      <c r="Y172" s="970"/>
      <c r="Z172" s="970"/>
      <c r="AA172" s="970"/>
      <c r="AB172" s="970"/>
    </row>
    <row r="173" spans="1:28" ht="15.75" customHeight="1">
      <c r="A173" s="970"/>
      <c r="B173" s="970"/>
      <c r="C173" s="974"/>
      <c r="D173" s="974"/>
      <c r="E173" s="974"/>
      <c r="F173" s="974"/>
      <c r="G173" s="974"/>
      <c r="H173" s="974"/>
      <c r="I173" s="974"/>
      <c r="J173" s="974"/>
      <c r="K173" s="974"/>
      <c r="L173" s="974"/>
      <c r="M173" s="974"/>
      <c r="N173" s="974"/>
      <c r="O173" s="974"/>
      <c r="P173" s="974"/>
      <c r="Q173" s="974"/>
      <c r="R173" s="970"/>
      <c r="S173" s="970"/>
      <c r="T173" s="970"/>
      <c r="U173" s="970"/>
      <c r="V173" s="970"/>
      <c r="W173" s="970"/>
      <c r="X173" s="970"/>
      <c r="Y173" s="970"/>
      <c r="Z173" s="970"/>
      <c r="AA173" s="970"/>
      <c r="AB173" s="970"/>
    </row>
    <row r="174" spans="1:28" ht="15.75" customHeight="1">
      <c r="A174" s="970"/>
      <c r="B174" s="970"/>
      <c r="C174" s="974"/>
      <c r="D174" s="974"/>
      <c r="E174" s="974"/>
      <c r="F174" s="974"/>
      <c r="G174" s="974"/>
      <c r="H174" s="974"/>
      <c r="I174" s="974"/>
      <c r="J174" s="974"/>
      <c r="K174" s="974"/>
      <c r="L174" s="974"/>
      <c r="M174" s="974"/>
      <c r="N174" s="974"/>
      <c r="O174" s="974"/>
      <c r="P174" s="974"/>
      <c r="Q174" s="974"/>
      <c r="R174" s="970"/>
      <c r="S174" s="970"/>
      <c r="T174" s="970"/>
      <c r="U174" s="970"/>
      <c r="V174" s="970"/>
      <c r="W174" s="970"/>
      <c r="X174" s="970"/>
      <c r="Y174" s="970"/>
      <c r="Z174" s="970"/>
      <c r="AA174" s="970"/>
      <c r="AB174" s="970"/>
    </row>
    <row r="175" spans="1:28" ht="15.75" customHeight="1">
      <c r="A175" s="970"/>
      <c r="B175" s="970"/>
      <c r="C175" s="974"/>
      <c r="D175" s="974"/>
      <c r="E175" s="974"/>
      <c r="F175" s="974"/>
      <c r="G175" s="974"/>
      <c r="H175" s="974"/>
      <c r="I175" s="974"/>
      <c r="J175" s="974"/>
      <c r="K175" s="974"/>
      <c r="L175" s="974"/>
      <c r="M175" s="974"/>
      <c r="N175" s="974"/>
      <c r="O175" s="974"/>
      <c r="P175" s="974"/>
      <c r="Q175" s="974"/>
      <c r="R175" s="970"/>
      <c r="S175" s="970"/>
      <c r="T175" s="970"/>
      <c r="U175" s="970"/>
      <c r="V175" s="970"/>
      <c r="W175" s="970"/>
      <c r="X175" s="970"/>
      <c r="Y175" s="970"/>
      <c r="Z175" s="970"/>
      <c r="AA175" s="970"/>
      <c r="AB175" s="970"/>
    </row>
    <row r="176" spans="1:28" ht="15.75" customHeight="1">
      <c r="A176" s="970"/>
      <c r="B176" s="970"/>
      <c r="C176" s="974"/>
      <c r="D176" s="974"/>
      <c r="E176" s="974"/>
      <c r="F176" s="974"/>
      <c r="G176" s="974"/>
      <c r="H176" s="974"/>
      <c r="I176" s="974"/>
      <c r="J176" s="974"/>
      <c r="K176" s="974"/>
      <c r="L176" s="974"/>
      <c r="M176" s="974"/>
      <c r="N176" s="974"/>
      <c r="O176" s="974"/>
      <c r="P176" s="974"/>
      <c r="Q176" s="974"/>
      <c r="R176" s="970"/>
      <c r="S176" s="970"/>
      <c r="T176" s="970"/>
      <c r="U176" s="970"/>
      <c r="V176" s="970"/>
      <c r="W176" s="970"/>
      <c r="X176" s="970"/>
      <c r="Y176" s="970"/>
      <c r="Z176" s="970"/>
      <c r="AA176" s="970"/>
      <c r="AB176" s="970"/>
    </row>
    <row r="177" spans="1:28" ht="15.75" customHeight="1">
      <c r="A177" s="970"/>
      <c r="B177" s="970"/>
      <c r="C177" s="974"/>
      <c r="D177" s="974"/>
      <c r="E177" s="974"/>
      <c r="F177" s="974"/>
      <c r="G177" s="974"/>
      <c r="H177" s="974"/>
      <c r="I177" s="974"/>
      <c r="J177" s="974"/>
      <c r="K177" s="974"/>
      <c r="L177" s="974"/>
      <c r="M177" s="974"/>
      <c r="N177" s="974"/>
      <c r="O177" s="974"/>
      <c r="P177" s="974"/>
      <c r="Q177" s="974"/>
      <c r="R177" s="970"/>
      <c r="S177" s="970"/>
      <c r="T177" s="970"/>
      <c r="U177" s="970"/>
      <c r="V177" s="970"/>
      <c r="W177" s="970"/>
      <c r="X177" s="970"/>
      <c r="Y177" s="970"/>
      <c r="Z177" s="970"/>
      <c r="AA177" s="970"/>
      <c r="AB177" s="970"/>
    </row>
    <row r="178" spans="1:28" ht="15.75" customHeight="1">
      <c r="A178" s="970"/>
      <c r="B178" s="970"/>
      <c r="C178" s="974"/>
      <c r="D178" s="974"/>
      <c r="E178" s="974"/>
      <c r="F178" s="974"/>
      <c r="G178" s="974"/>
      <c r="H178" s="974"/>
      <c r="I178" s="974"/>
      <c r="J178" s="974"/>
      <c r="K178" s="974"/>
      <c r="L178" s="974"/>
      <c r="M178" s="974"/>
      <c r="N178" s="974"/>
      <c r="O178" s="974"/>
      <c r="P178" s="974"/>
      <c r="Q178" s="974"/>
      <c r="R178" s="970"/>
      <c r="S178" s="970"/>
      <c r="T178" s="970"/>
      <c r="U178" s="970"/>
      <c r="V178" s="970"/>
      <c r="W178" s="970"/>
      <c r="X178" s="970"/>
      <c r="Y178" s="970"/>
      <c r="Z178" s="970"/>
      <c r="AA178" s="970"/>
      <c r="AB178" s="970"/>
    </row>
    <row r="179" spans="1:28" ht="15.75" customHeight="1">
      <c r="A179" s="970"/>
      <c r="B179" s="970"/>
      <c r="C179" s="974"/>
      <c r="D179" s="974"/>
      <c r="E179" s="974"/>
      <c r="F179" s="974"/>
      <c r="G179" s="974"/>
      <c r="H179" s="974"/>
      <c r="I179" s="974"/>
      <c r="J179" s="974"/>
      <c r="K179" s="974"/>
      <c r="L179" s="974"/>
      <c r="M179" s="974"/>
      <c r="N179" s="974"/>
      <c r="O179" s="974"/>
      <c r="P179" s="974"/>
      <c r="Q179" s="974"/>
      <c r="R179" s="970"/>
      <c r="S179" s="970"/>
      <c r="T179" s="970"/>
      <c r="U179" s="970"/>
      <c r="V179" s="970"/>
      <c r="W179" s="970"/>
      <c r="X179" s="970"/>
      <c r="Y179" s="970"/>
      <c r="Z179" s="970"/>
      <c r="AA179" s="970"/>
      <c r="AB179" s="970"/>
    </row>
    <row r="180" spans="1:28" ht="15.75" customHeight="1">
      <c r="A180" s="970"/>
      <c r="B180" s="970"/>
      <c r="C180" s="974"/>
      <c r="D180" s="974"/>
      <c r="E180" s="974"/>
      <c r="F180" s="974"/>
      <c r="G180" s="974"/>
      <c r="H180" s="974"/>
      <c r="I180" s="974"/>
      <c r="J180" s="974"/>
      <c r="K180" s="974"/>
      <c r="L180" s="974"/>
      <c r="M180" s="974"/>
      <c r="N180" s="974"/>
      <c r="O180" s="974"/>
      <c r="P180" s="974"/>
      <c r="Q180" s="974"/>
      <c r="R180" s="970"/>
      <c r="S180" s="970"/>
      <c r="T180" s="970"/>
      <c r="U180" s="970"/>
      <c r="V180" s="970"/>
      <c r="W180" s="970"/>
      <c r="X180" s="970"/>
      <c r="Y180" s="970"/>
      <c r="Z180" s="970"/>
      <c r="AA180" s="970"/>
      <c r="AB180" s="970"/>
    </row>
    <row r="181" spans="1:28" ht="15.75" customHeight="1">
      <c r="A181" s="970"/>
      <c r="B181" s="970"/>
      <c r="C181" s="974"/>
      <c r="D181" s="974"/>
      <c r="E181" s="974"/>
      <c r="F181" s="974"/>
      <c r="G181" s="974"/>
      <c r="H181" s="974"/>
      <c r="I181" s="974"/>
      <c r="J181" s="974"/>
      <c r="K181" s="974"/>
      <c r="L181" s="974"/>
      <c r="M181" s="974"/>
      <c r="N181" s="974"/>
      <c r="O181" s="974"/>
      <c r="P181" s="974"/>
      <c r="Q181" s="974"/>
      <c r="R181" s="970"/>
      <c r="S181" s="970"/>
      <c r="T181" s="970"/>
      <c r="U181" s="970"/>
      <c r="V181" s="970"/>
      <c r="W181" s="970"/>
      <c r="X181" s="970"/>
      <c r="Y181" s="970"/>
      <c r="Z181" s="970"/>
      <c r="AA181" s="970"/>
      <c r="AB181" s="970"/>
    </row>
    <row r="182" spans="1:28" ht="15.75" customHeight="1">
      <c r="A182" s="970"/>
      <c r="B182" s="970"/>
      <c r="C182" s="974"/>
      <c r="D182" s="974"/>
      <c r="E182" s="974"/>
      <c r="F182" s="974"/>
      <c r="G182" s="974"/>
      <c r="H182" s="974"/>
      <c r="I182" s="974"/>
      <c r="J182" s="974"/>
      <c r="K182" s="974"/>
      <c r="L182" s="974"/>
      <c r="M182" s="974"/>
      <c r="N182" s="974"/>
      <c r="O182" s="974"/>
      <c r="P182" s="974"/>
      <c r="Q182" s="974"/>
      <c r="R182" s="970"/>
      <c r="S182" s="970"/>
      <c r="T182" s="970"/>
      <c r="U182" s="970"/>
      <c r="V182" s="970"/>
      <c r="W182" s="970"/>
      <c r="X182" s="970"/>
      <c r="Y182" s="970"/>
      <c r="Z182" s="970"/>
      <c r="AA182" s="970"/>
      <c r="AB182" s="970"/>
    </row>
    <row r="183" spans="1:28" ht="15.75" customHeight="1">
      <c r="A183" s="970"/>
      <c r="B183" s="970"/>
      <c r="C183" s="974"/>
      <c r="D183" s="974"/>
      <c r="E183" s="974"/>
      <c r="F183" s="974"/>
      <c r="G183" s="974"/>
      <c r="H183" s="974"/>
      <c r="I183" s="974"/>
      <c r="J183" s="974"/>
      <c r="K183" s="974"/>
      <c r="L183" s="974"/>
      <c r="M183" s="974"/>
      <c r="N183" s="974"/>
      <c r="O183" s="974"/>
      <c r="P183" s="974"/>
      <c r="Q183" s="974"/>
      <c r="R183" s="970"/>
      <c r="S183" s="970"/>
      <c r="T183" s="970"/>
      <c r="U183" s="970"/>
      <c r="V183" s="970"/>
      <c r="W183" s="970"/>
      <c r="X183" s="970"/>
      <c r="Y183" s="970"/>
      <c r="Z183" s="970"/>
      <c r="AA183" s="970"/>
      <c r="AB183" s="970"/>
    </row>
    <row r="184" spans="1:28" ht="15.75" customHeight="1">
      <c r="A184" s="970"/>
      <c r="B184" s="970"/>
      <c r="C184" s="974"/>
      <c r="D184" s="974"/>
      <c r="E184" s="974"/>
      <c r="F184" s="974"/>
      <c r="G184" s="974"/>
      <c r="H184" s="974"/>
      <c r="I184" s="974"/>
      <c r="J184" s="974"/>
      <c r="K184" s="974"/>
      <c r="L184" s="974"/>
      <c r="M184" s="974"/>
      <c r="N184" s="974"/>
      <c r="O184" s="974"/>
      <c r="P184" s="974"/>
      <c r="Q184" s="974"/>
      <c r="R184" s="970"/>
      <c r="S184" s="970"/>
      <c r="T184" s="970"/>
      <c r="U184" s="970"/>
      <c r="V184" s="970"/>
      <c r="W184" s="970"/>
      <c r="X184" s="970"/>
      <c r="Y184" s="970"/>
      <c r="Z184" s="970"/>
      <c r="AA184" s="970"/>
      <c r="AB184" s="970"/>
    </row>
    <row r="185" spans="1:28" ht="15.75" customHeight="1">
      <c r="A185" s="970"/>
      <c r="B185" s="970"/>
      <c r="C185" s="974"/>
      <c r="D185" s="974"/>
      <c r="E185" s="974"/>
      <c r="F185" s="974"/>
      <c r="G185" s="974"/>
      <c r="H185" s="974"/>
      <c r="I185" s="974"/>
      <c r="J185" s="974"/>
      <c r="K185" s="974"/>
      <c r="L185" s="974"/>
      <c r="M185" s="974"/>
      <c r="N185" s="974"/>
      <c r="O185" s="974"/>
      <c r="P185" s="974"/>
      <c r="Q185" s="974"/>
      <c r="R185" s="970"/>
      <c r="S185" s="970"/>
      <c r="T185" s="970"/>
      <c r="U185" s="970"/>
      <c r="V185" s="970"/>
      <c r="W185" s="970"/>
      <c r="X185" s="970"/>
      <c r="Y185" s="970"/>
      <c r="Z185" s="970"/>
      <c r="AA185" s="970"/>
      <c r="AB185" s="970"/>
    </row>
    <row r="186" spans="1:28" ht="15.75" customHeight="1">
      <c r="A186" s="970"/>
      <c r="B186" s="970"/>
      <c r="C186" s="974"/>
      <c r="D186" s="974"/>
      <c r="E186" s="974"/>
      <c r="F186" s="974"/>
      <c r="G186" s="974"/>
      <c r="H186" s="974"/>
      <c r="I186" s="974"/>
      <c r="J186" s="974"/>
      <c r="K186" s="974"/>
      <c r="L186" s="974"/>
      <c r="M186" s="974"/>
      <c r="N186" s="974"/>
      <c r="O186" s="974"/>
      <c r="P186" s="974"/>
      <c r="Q186" s="974"/>
      <c r="R186" s="970"/>
      <c r="S186" s="970"/>
      <c r="T186" s="970"/>
      <c r="U186" s="970"/>
      <c r="V186" s="970"/>
      <c r="W186" s="970"/>
      <c r="X186" s="970"/>
      <c r="Y186" s="970"/>
      <c r="Z186" s="970"/>
      <c r="AA186" s="970"/>
      <c r="AB186" s="970"/>
    </row>
    <row r="187" spans="1:28" ht="15.75" customHeight="1">
      <c r="A187" s="970"/>
      <c r="B187" s="970"/>
      <c r="C187" s="974"/>
      <c r="D187" s="974"/>
      <c r="E187" s="974"/>
      <c r="F187" s="974"/>
      <c r="G187" s="974"/>
      <c r="H187" s="974"/>
      <c r="I187" s="974"/>
      <c r="J187" s="974"/>
      <c r="K187" s="974"/>
      <c r="L187" s="974"/>
      <c r="M187" s="974"/>
      <c r="N187" s="974"/>
      <c r="O187" s="974"/>
      <c r="P187" s="974"/>
      <c r="Q187" s="974"/>
      <c r="R187" s="970"/>
      <c r="S187" s="970"/>
      <c r="T187" s="970"/>
      <c r="U187" s="970"/>
      <c r="V187" s="970"/>
      <c r="W187" s="970"/>
      <c r="X187" s="970"/>
      <c r="Y187" s="970"/>
      <c r="Z187" s="970"/>
      <c r="AA187" s="970"/>
      <c r="AB187" s="970"/>
    </row>
    <row r="188" spans="1:28" ht="15.75" customHeight="1">
      <c r="A188" s="970"/>
      <c r="B188" s="970"/>
      <c r="C188" s="974"/>
      <c r="D188" s="974"/>
      <c r="E188" s="974"/>
      <c r="F188" s="974"/>
      <c r="G188" s="974"/>
      <c r="H188" s="974"/>
      <c r="I188" s="974"/>
      <c r="J188" s="974"/>
      <c r="K188" s="974"/>
      <c r="L188" s="974"/>
      <c r="M188" s="974"/>
      <c r="N188" s="974"/>
      <c r="O188" s="974"/>
      <c r="P188" s="974"/>
      <c r="Q188" s="974"/>
      <c r="R188" s="970"/>
      <c r="S188" s="970"/>
      <c r="T188" s="970"/>
      <c r="U188" s="970"/>
      <c r="V188" s="970"/>
      <c r="W188" s="970"/>
      <c r="X188" s="970"/>
      <c r="Y188" s="970"/>
      <c r="Z188" s="970"/>
      <c r="AA188" s="970"/>
      <c r="AB188" s="970"/>
    </row>
    <row r="189" spans="1:28" ht="15.75" customHeight="1">
      <c r="A189" s="970"/>
      <c r="B189" s="970"/>
      <c r="C189" s="974"/>
      <c r="D189" s="974"/>
      <c r="E189" s="974"/>
      <c r="F189" s="974"/>
      <c r="G189" s="974"/>
      <c r="H189" s="974"/>
      <c r="I189" s="974"/>
      <c r="J189" s="974"/>
      <c r="K189" s="974"/>
      <c r="L189" s="974"/>
      <c r="M189" s="974"/>
      <c r="N189" s="974"/>
      <c r="O189" s="974"/>
      <c r="P189" s="974"/>
      <c r="Q189" s="974"/>
      <c r="R189" s="970"/>
      <c r="S189" s="970"/>
      <c r="T189" s="970"/>
      <c r="U189" s="970"/>
      <c r="V189" s="970"/>
      <c r="W189" s="970"/>
      <c r="X189" s="970"/>
      <c r="Y189" s="970"/>
      <c r="Z189" s="970"/>
      <c r="AA189" s="970"/>
      <c r="AB189" s="970"/>
    </row>
    <row r="190" spans="1:28" ht="15.75" customHeight="1">
      <c r="A190" s="970"/>
      <c r="B190" s="970"/>
      <c r="C190" s="974"/>
      <c r="D190" s="974"/>
      <c r="E190" s="974"/>
      <c r="F190" s="974"/>
      <c r="G190" s="974"/>
      <c r="H190" s="974"/>
      <c r="I190" s="974"/>
      <c r="J190" s="974"/>
      <c r="K190" s="974"/>
      <c r="L190" s="974"/>
      <c r="M190" s="974"/>
      <c r="N190" s="974"/>
      <c r="O190" s="974"/>
      <c r="P190" s="974"/>
      <c r="Q190" s="974"/>
      <c r="R190" s="970"/>
      <c r="S190" s="970"/>
      <c r="T190" s="970"/>
      <c r="U190" s="970"/>
      <c r="V190" s="970"/>
      <c r="W190" s="970"/>
      <c r="X190" s="970"/>
      <c r="Y190" s="970"/>
      <c r="Z190" s="970"/>
      <c r="AA190" s="970"/>
      <c r="AB190" s="970"/>
    </row>
    <row r="191" spans="1:28" ht="15.75" customHeight="1">
      <c r="A191" s="970"/>
      <c r="B191" s="970"/>
      <c r="C191" s="974"/>
      <c r="D191" s="974"/>
      <c r="E191" s="974"/>
      <c r="F191" s="974"/>
      <c r="G191" s="974"/>
      <c r="H191" s="974"/>
      <c r="I191" s="974"/>
      <c r="J191" s="974"/>
      <c r="K191" s="974"/>
      <c r="L191" s="974"/>
      <c r="M191" s="974"/>
      <c r="N191" s="974"/>
      <c r="O191" s="974"/>
      <c r="P191" s="974"/>
      <c r="Q191" s="974"/>
      <c r="R191" s="970"/>
      <c r="S191" s="970"/>
      <c r="T191" s="970"/>
      <c r="U191" s="970"/>
      <c r="V191" s="970"/>
      <c r="W191" s="970"/>
      <c r="X191" s="970"/>
      <c r="Y191" s="970"/>
      <c r="Z191" s="970"/>
      <c r="AA191" s="970"/>
      <c r="AB191" s="970"/>
    </row>
    <row r="192" spans="1:28" ht="15.75" customHeight="1">
      <c r="A192" s="970"/>
      <c r="B192" s="970"/>
      <c r="C192" s="974"/>
      <c r="D192" s="974"/>
      <c r="E192" s="974"/>
      <c r="F192" s="974"/>
      <c r="G192" s="974"/>
      <c r="H192" s="974"/>
      <c r="I192" s="974"/>
      <c r="J192" s="974"/>
      <c r="K192" s="974"/>
      <c r="L192" s="974"/>
      <c r="M192" s="974"/>
      <c r="N192" s="974"/>
      <c r="O192" s="974"/>
      <c r="P192" s="974"/>
      <c r="Q192" s="974"/>
      <c r="R192" s="970"/>
      <c r="S192" s="970"/>
      <c r="T192" s="970"/>
      <c r="U192" s="970"/>
      <c r="V192" s="970"/>
      <c r="W192" s="970"/>
      <c r="X192" s="970"/>
      <c r="Y192" s="970"/>
      <c r="Z192" s="970"/>
      <c r="AA192" s="970"/>
      <c r="AB192" s="970"/>
    </row>
    <row r="193" spans="1:28" ht="15.75" customHeight="1">
      <c r="A193" s="970"/>
      <c r="B193" s="970"/>
      <c r="C193" s="974"/>
      <c r="D193" s="974"/>
      <c r="E193" s="974"/>
      <c r="F193" s="974"/>
      <c r="G193" s="974"/>
      <c r="H193" s="974"/>
      <c r="I193" s="974"/>
      <c r="J193" s="974"/>
      <c r="K193" s="974"/>
      <c r="L193" s="974"/>
      <c r="M193" s="974"/>
      <c r="N193" s="974"/>
      <c r="O193" s="974"/>
      <c r="P193" s="974"/>
      <c r="Q193" s="974"/>
      <c r="R193" s="970"/>
      <c r="S193" s="970"/>
      <c r="T193" s="970"/>
      <c r="U193" s="970"/>
      <c r="V193" s="970"/>
      <c r="W193" s="970"/>
      <c r="X193" s="970"/>
      <c r="Y193" s="970"/>
      <c r="Z193" s="970"/>
      <c r="AA193" s="970"/>
      <c r="AB193" s="970"/>
    </row>
    <row r="194" spans="1:28" ht="15.75" customHeight="1">
      <c r="A194" s="970"/>
      <c r="B194" s="970"/>
      <c r="C194" s="974"/>
      <c r="D194" s="974"/>
      <c r="E194" s="974"/>
      <c r="F194" s="974"/>
      <c r="G194" s="974"/>
      <c r="H194" s="974"/>
      <c r="I194" s="974"/>
      <c r="J194" s="974"/>
      <c r="K194" s="974"/>
      <c r="L194" s="974"/>
      <c r="M194" s="974"/>
      <c r="N194" s="974"/>
      <c r="O194" s="974"/>
      <c r="P194" s="974"/>
      <c r="Q194" s="974"/>
      <c r="R194" s="970"/>
      <c r="S194" s="970"/>
      <c r="T194" s="970"/>
      <c r="U194" s="970"/>
      <c r="V194" s="970"/>
      <c r="W194" s="970"/>
      <c r="X194" s="970"/>
      <c r="Y194" s="970"/>
      <c r="Z194" s="970"/>
      <c r="AA194" s="970"/>
      <c r="AB194" s="970"/>
    </row>
    <row r="195" spans="1:28" ht="15.75" customHeight="1">
      <c r="A195" s="970"/>
      <c r="B195" s="970"/>
      <c r="C195" s="974"/>
      <c r="D195" s="974"/>
      <c r="E195" s="974"/>
      <c r="F195" s="974"/>
      <c r="G195" s="974"/>
      <c r="H195" s="974"/>
      <c r="I195" s="974"/>
      <c r="J195" s="974"/>
      <c r="K195" s="974"/>
      <c r="L195" s="974"/>
      <c r="M195" s="974"/>
      <c r="N195" s="974"/>
      <c r="O195" s="974"/>
      <c r="P195" s="974"/>
      <c r="Q195" s="974"/>
      <c r="R195" s="970"/>
      <c r="S195" s="970"/>
      <c r="T195" s="970"/>
      <c r="U195" s="970"/>
      <c r="V195" s="970"/>
      <c r="W195" s="970"/>
      <c r="X195" s="970"/>
      <c r="Y195" s="970"/>
      <c r="Z195" s="970"/>
      <c r="AA195" s="970"/>
      <c r="AB195" s="970"/>
    </row>
    <row r="196" spans="1:28" ht="15.75" customHeight="1">
      <c r="A196" s="970"/>
      <c r="B196" s="970"/>
      <c r="C196" s="974"/>
      <c r="D196" s="974"/>
      <c r="E196" s="974"/>
      <c r="F196" s="974"/>
      <c r="G196" s="974"/>
      <c r="H196" s="974"/>
      <c r="I196" s="974"/>
      <c r="J196" s="974"/>
      <c r="K196" s="974"/>
      <c r="L196" s="974"/>
      <c r="M196" s="974"/>
      <c r="N196" s="974"/>
      <c r="O196" s="974"/>
      <c r="P196" s="974"/>
      <c r="Q196" s="974"/>
      <c r="R196" s="970"/>
      <c r="S196" s="970"/>
      <c r="T196" s="970"/>
      <c r="U196" s="970"/>
      <c r="V196" s="970"/>
      <c r="W196" s="970"/>
      <c r="X196" s="970"/>
      <c r="Y196" s="970"/>
      <c r="Z196" s="970"/>
      <c r="AA196" s="970"/>
      <c r="AB196" s="970"/>
    </row>
    <row r="197" spans="1:28" ht="15.75" customHeight="1">
      <c r="A197" s="970"/>
      <c r="B197" s="970"/>
      <c r="C197" s="974"/>
      <c r="D197" s="974"/>
      <c r="E197" s="974"/>
      <c r="F197" s="974"/>
      <c r="G197" s="974"/>
      <c r="H197" s="974"/>
      <c r="I197" s="974"/>
      <c r="J197" s="974"/>
      <c r="K197" s="974"/>
      <c r="L197" s="974"/>
      <c r="M197" s="974"/>
      <c r="N197" s="974"/>
      <c r="O197" s="974"/>
      <c r="P197" s="974"/>
      <c r="Q197" s="974"/>
      <c r="R197" s="970"/>
      <c r="S197" s="970"/>
      <c r="T197" s="970"/>
      <c r="U197" s="970"/>
      <c r="V197" s="970"/>
      <c r="W197" s="970"/>
      <c r="X197" s="970"/>
      <c r="Y197" s="970"/>
      <c r="Z197" s="970"/>
      <c r="AA197" s="970"/>
      <c r="AB197" s="970"/>
    </row>
    <row r="198" spans="1:28" ht="15.75" customHeight="1">
      <c r="A198" s="970"/>
      <c r="B198" s="970"/>
      <c r="C198" s="974"/>
      <c r="D198" s="974"/>
      <c r="E198" s="974"/>
      <c r="F198" s="974"/>
      <c r="G198" s="974"/>
      <c r="H198" s="974"/>
      <c r="I198" s="974"/>
      <c r="J198" s="974"/>
      <c r="K198" s="974"/>
      <c r="L198" s="974"/>
      <c r="M198" s="974"/>
      <c r="N198" s="974"/>
      <c r="O198" s="974"/>
      <c r="P198" s="974"/>
      <c r="Q198" s="974"/>
      <c r="R198" s="970"/>
      <c r="S198" s="970"/>
      <c r="T198" s="970"/>
      <c r="U198" s="970"/>
      <c r="V198" s="970"/>
      <c r="W198" s="970"/>
      <c r="X198" s="970"/>
      <c r="Y198" s="970"/>
      <c r="Z198" s="970"/>
      <c r="AA198" s="970"/>
      <c r="AB198" s="970"/>
    </row>
    <row r="199" spans="1:28" ht="15.75" customHeight="1">
      <c r="A199" s="970"/>
      <c r="B199" s="970"/>
      <c r="C199" s="974"/>
      <c r="D199" s="974"/>
      <c r="E199" s="974"/>
      <c r="F199" s="974"/>
      <c r="G199" s="974"/>
      <c r="H199" s="974"/>
      <c r="I199" s="974"/>
      <c r="J199" s="974"/>
      <c r="K199" s="974"/>
      <c r="L199" s="974"/>
      <c r="M199" s="974"/>
      <c r="N199" s="974"/>
      <c r="O199" s="974"/>
      <c r="P199" s="974"/>
      <c r="Q199" s="974"/>
      <c r="R199" s="970"/>
      <c r="S199" s="970"/>
      <c r="T199" s="970"/>
      <c r="U199" s="970"/>
      <c r="V199" s="970"/>
      <c r="W199" s="970"/>
      <c r="X199" s="970"/>
      <c r="Y199" s="970"/>
      <c r="Z199" s="970"/>
      <c r="AA199" s="970"/>
      <c r="AB199" s="970"/>
    </row>
    <row r="200" spans="1:28" ht="15.75" customHeight="1">
      <c r="A200" s="970"/>
      <c r="B200" s="970"/>
      <c r="C200" s="974"/>
      <c r="D200" s="974"/>
      <c r="E200" s="974"/>
      <c r="F200" s="974"/>
      <c r="G200" s="974"/>
      <c r="H200" s="974"/>
      <c r="I200" s="974"/>
      <c r="J200" s="974"/>
      <c r="K200" s="974"/>
      <c r="L200" s="974"/>
      <c r="M200" s="974"/>
      <c r="N200" s="974"/>
      <c r="O200" s="974"/>
      <c r="P200" s="974"/>
      <c r="Q200" s="974"/>
      <c r="R200" s="970"/>
      <c r="S200" s="970"/>
      <c r="T200" s="970"/>
      <c r="U200" s="970"/>
      <c r="V200" s="970"/>
      <c r="W200" s="970"/>
      <c r="X200" s="970"/>
      <c r="Y200" s="970"/>
      <c r="Z200" s="970"/>
      <c r="AA200" s="970"/>
      <c r="AB200" s="970"/>
    </row>
    <row r="201" spans="1:28" ht="15.75" customHeight="1">
      <c r="A201" s="970"/>
      <c r="B201" s="970"/>
      <c r="C201" s="974"/>
      <c r="D201" s="974"/>
      <c r="E201" s="974"/>
      <c r="F201" s="974"/>
      <c r="G201" s="974"/>
      <c r="H201" s="974"/>
      <c r="I201" s="974"/>
      <c r="J201" s="974"/>
      <c r="K201" s="974"/>
      <c r="L201" s="974"/>
      <c r="M201" s="974"/>
      <c r="N201" s="974"/>
      <c r="O201" s="974"/>
      <c r="P201" s="974"/>
      <c r="Q201" s="974"/>
      <c r="R201" s="970"/>
      <c r="S201" s="970"/>
      <c r="T201" s="970"/>
      <c r="U201" s="970"/>
      <c r="V201" s="970"/>
      <c r="W201" s="970"/>
      <c r="X201" s="970"/>
      <c r="Y201" s="970"/>
      <c r="Z201" s="970"/>
      <c r="AA201" s="970"/>
      <c r="AB201" s="970"/>
    </row>
    <row r="202" spans="1:28" ht="15.75" customHeight="1">
      <c r="A202" s="970"/>
      <c r="B202" s="970"/>
      <c r="C202" s="974"/>
      <c r="D202" s="974"/>
      <c r="E202" s="974"/>
      <c r="F202" s="974"/>
      <c r="G202" s="974"/>
      <c r="H202" s="974"/>
      <c r="I202" s="974"/>
      <c r="J202" s="974"/>
      <c r="K202" s="974"/>
      <c r="L202" s="974"/>
      <c r="M202" s="974"/>
      <c r="N202" s="974"/>
      <c r="O202" s="974"/>
      <c r="P202" s="974"/>
      <c r="Q202" s="974"/>
      <c r="R202" s="970"/>
      <c r="S202" s="970"/>
      <c r="T202" s="970"/>
      <c r="U202" s="970"/>
      <c r="V202" s="970"/>
      <c r="W202" s="970"/>
      <c r="X202" s="970"/>
      <c r="Y202" s="970"/>
      <c r="Z202" s="970"/>
      <c r="AA202" s="970"/>
      <c r="AB202" s="970"/>
    </row>
    <row r="203" spans="1:28" ht="15.75" customHeight="1">
      <c r="A203" s="970"/>
      <c r="B203" s="970"/>
      <c r="C203" s="974"/>
      <c r="D203" s="974"/>
      <c r="E203" s="974"/>
      <c r="F203" s="974"/>
      <c r="G203" s="974"/>
      <c r="H203" s="974"/>
      <c r="I203" s="974"/>
      <c r="J203" s="974"/>
      <c r="K203" s="974"/>
      <c r="L203" s="974"/>
      <c r="M203" s="974"/>
      <c r="N203" s="974"/>
      <c r="O203" s="974"/>
      <c r="P203" s="974"/>
      <c r="Q203" s="974"/>
      <c r="R203" s="970"/>
      <c r="S203" s="970"/>
      <c r="T203" s="970"/>
      <c r="U203" s="970"/>
      <c r="V203" s="970"/>
      <c r="W203" s="970"/>
      <c r="X203" s="970"/>
      <c r="Y203" s="970"/>
      <c r="Z203" s="970"/>
      <c r="AA203" s="970"/>
      <c r="AB203" s="970"/>
    </row>
    <row r="204" spans="1:28" ht="15.75" customHeight="1">
      <c r="A204" s="970"/>
      <c r="B204" s="970"/>
      <c r="C204" s="974"/>
      <c r="D204" s="974"/>
      <c r="E204" s="974"/>
      <c r="F204" s="974"/>
      <c r="G204" s="974"/>
      <c r="H204" s="974"/>
      <c r="I204" s="974"/>
      <c r="J204" s="974"/>
      <c r="K204" s="974"/>
      <c r="L204" s="974"/>
      <c r="M204" s="974"/>
      <c r="N204" s="974"/>
      <c r="O204" s="974"/>
      <c r="P204" s="974"/>
      <c r="Q204" s="974"/>
      <c r="R204" s="970"/>
      <c r="S204" s="970"/>
      <c r="T204" s="970"/>
      <c r="U204" s="970"/>
      <c r="V204" s="970"/>
      <c r="W204" s="970"/>
      <c r="X204" s="970"/>
      <c r="Y204" s="970"/>
      <c r="Z204" s="970"/>
      <c r="AA204" s="970"/>
      <c r="AB204" s="970"/>
    </row>
    <row r="205" spans="1:28" ht="15.75" customHeight="1">
      <c r="A205" s="970"/>
      <c r="B205" s="970"/>
      <c r="C205" s="974"/>
      <c r="D205" s="974"/>
      <c r="E205" s="974"/>
      <c r="F205" s="974"/>
      <c r="G205" s="974"/>
      <c r="H205" s="974"/>
      <c r="I205" s="974"/>
      <c r="J205" s="974"/>
      <c r="K205" s="974"/>
      <c r="L205" s="974"/>
      <c r="M205" s="974"/>
      <c r="N205" s="974"/>
      <c r="O205" s="974"/>
      <c r="P205" s="974"/>
      <c r="Q205" s="974"/>
      <c r="R205" s="970"/>
      <c r="S205" s="970"/>
      <c r="T205" s="970"/>
      <c r="U205" s="970"/>
      <c r="V205" s="970"/>
      <c r="W205" s="970"/>
      <c r="X205" s="970"/>
      <c r="Y205" s="970"/>
      <c r="Z205" s="970"/>
      <c r="AA205" s="970"/>
      <c r="AB205" s="970"/>
    </row>
    <row r="206" spans="1:28" ht="15.75" customHeight="1">
      <c r="A206" s="970"/>
      <c r="B206" s="970"/>
      <c r="C206" s="974"/>
      <c r="D206" s="974"/>
      <c r="E206" s="974"/>
      <c r="F206" s="974"/>
      <c r="G206" s="974"/>
      <c r="H206" s="974"/>
      <c r="I206" s="974"/>
      <c r="J206" s="974"/>
      <c r="K206" s="974"/>
      <c r="L206" s="974"/>
      <c r="M206" s="974"/>
      <c r="N206" s="974"/>
      <c r="O206" s="974"/>
      <c r="P206" s="974"/>
      <c r="Q206" s="974"/>
      <c r="R206" s="970"/>
      <c r="S206" s="970"/>
      <c r="T206" s="970"/>
      <c r="U206" s="970"/>
      <c r="V206" s="970"/>
      <c r="W206" s="970"/>
      <c r="X206" s="970"/>
      <c r="Y206" s="970"/>
      <c r="Z206" s="970"/>
      <c r="AA206" s="970"/>
      <c r="AB206" s="970"/>
    </row>
    <row r="207" spans="1:28" ht="15.75" customHeight="1">
      <c r="A207" s="970"/>
      <c r="B207" s="970"/>
      <c r="C207" s="974"/>
      <c r="D207" s="974"/>
      <c r="E207" s="974"/>
      <c r="F207" s="974"/>
      <c r="G207" s="974"/>
      <c r="H207" s="974"/>
      <c r="I207" s="974"/>
      <c r="J207" s="974"/>
      <c r="K207" s="974"/>
      <c r="L207" s="974"/>
      <c r="M207" s="974"/>
      <c r="N207" s="974"/>
      <c r="O207" s="974"/>
      <c r="P207" s="974"/>
      <c r="Q207" s="974"/>
      <c r="R207" s="970"/>
      <c r="S207" s="970"/>
      <c r="T207" s="970"/>
      <c r="U207" s="970"/>
      <c r="V207" s="970"/>
      <c r="W207" s="970"/>
      <c r="X207" s="970"/>
      <c r="Y207" s="970"/>
      <c r="Z207" s="970"/>
      <c r="AA207" s="970"/>
      <c r="AB207" s="970"/>
    </row>
    <row r="208" spans="1:28" ht="15.75" customHeight="1">
      <c r="A208" s="970"/>
      <c r="B208" s="970"/>
      <c r="C208" s="974"/>
      <c r="D208" s="974"/>
      <c r="E208" s="974"/>
      <c r="F208" s="974"/>
      <c r="G208" s="974"/>
      <c r="H208" s="974"/>
      <c r="I208" s="974"/>
      <c r="J208" s="974"/>
      <c r="K208" s="974"/>
      <c r="L208" s="974"/>
      <c r="M208" s="974"/>
      <c r="N208" s="974"/>
      <c r="O208" s="974"/>
      <c r="P208" s="974"/>
      <c r="Q208" s="974"/>
      <c r="R208" s="970"/>
      <c r="S208" s="970"/>
      <c r="T208" s="970"/>
      <c r="U208" s="970"/>
      <c r="V208" s="970"/>
      <c r="W208" s="970"/>
      <c r="X208" s="970"/>
      <c r="Y208" s="970"/>
      <c r="Z208" s="970"/>
      <c r="AA208" s="970"/>
      <c r="AB208" s="970"/>
    </row>
    <row r="209" spans="1:28" ht="15.75" customHeight="1">
      <c r="A209" s="970"/>
      <c r="B209" s="970"/>
      <c r="C209" s="974"/>
      <c r="D209" s="974"/>
      <c r="E209" s="974"/>
      <c r="F209" s="974"/>
      <c r="G209" s="974"/>
      <c r="H209" s="974"/>
      <c r="I209" s="974"/>
      <c r="J209" s="974"/>
      <c r="K209" s="974"/>
      <c r="L209" s="974"/>
      <c r="M209" s="974"/>
      <c r="N209" s="974"/>
      <c r="O209" s="974"/>
      <c r="P209" s="974"/>
      <c r="Q209" s="974"/>
      <c r="R209" s="970"/>
      <c r="S209" s="970"/>
      <c r="T209" s="970"/>
      <c r="U209" s="970"/>
      <c r="V209" s="970"/>
      <c r="W209" s="970"/>
      <c r="X209" s="970"/>
      <c r="Y209" s="970"/>
      <c r="Z209" s="970"/>
      <c r="AA209" s="970"/>
      <c r="AB209" s="970"/>
    </row>
    <row r="210" spans="1:28" ht="15.75" customHeight="1">
      <c r="A210" s="970"/>
      <c r="B210" s="970"/>
      <c r="C210" s="974"/>
      <c r="D210" s="974"/>
      <c r="E210" s="974"/>
      <c r="F210" s="974"/>
      <c r="G210" s="974"/>
      <c r="H210" s="974"/>
      <c r="I210" s="974"/>
      <c r="J210" s="974"/>
      <c r="K210" s="974"/>
      <c r="L210" s="974"/>
      <c r="M210" s="974"/>
      <c r="N210" s="974"/>
      <c r="O210" s="974"/>
      <c r="P210" s="974"/>
      <c r="Q210" s="974"/>
      <c r="R210" s="970"/>
      <c r="S210" s="970"/>
      <c r="T210" s="970"/>
      <c r="U210" s="970"/>
      <c r="V210" s="970"/>
      <c r="W210" s="970"/>
      <c r="X210" s="970"/>
      <c r="Y210" s="970"/>
      <c r="Z210" s="970"/>
      <c r="AA210" s="970"/>
      <c r="AB210" s="970"/>
    </row>
    <row r="211" spans="1:28" ht="15.75" customHeight="1">
      <c r="A211" s="970"/>
      <c r="B211" s="970"/>
      <c r="C211" s="974"/>
      <c r="D211" s="974"/>
      <c r="E211" s="974"/>
      <c r="F211" s="974"/>
      <c r="G211" s="974"/>
      <c r="H211" s="974"/>
      <c r="I211" s="974"/>
      <c r="J211" s="974"/>
      <c r="K211" s="974"/>
      <c r="L211" s="974"/>
      <c r="M211" s="974"/>
      <c r="N211" s="974"/>
      <c r="O211" s="974"/>
      <c r="P211" s="974"/>
      <c r="Q211" s="974"/>
      <c r="R211" s="970"/>
      <c r="S211" s="970"/>
      <c r="T211" s="970"/>
      <c r="U211" s="970"/>
      <c r="V211" s="970"/>
      <c r="W211" s="970"/>
      <c r="X211" s="970"/>
      <c r="Y211" s="970"/>
      <c r="Z211" s="970"/>
      <c r="AA211" s="970"/>
      <c r="AB211" s="970"/>
    </row>
    <row r="212" spans="1:28" ht="15.75" customHeight="1">
      <c r="A212" s="970"/>
      <c r="B212" s="970"/>
      <c r="C212" s="974"/>
      <c r="D212" s="974"/>
      <c r="E212" s="974"/>
      <c r="F212" s="974"/>
      <c r="G212" s="974"/>
      <c r="H212" s="974"/>
      <c r="I212" s="974"/>
      <c r="J212" s="974"/>
      <c r="K212" s="974"/>
      <c r="L212" s="974"/>
      <c r="M212" s="974"/>
      <c r="N212" s="974"/>
      <c r="O212" s="974"/>
      <c r="P212" s="974"/>
      <c r="Q212" s="974"/>
      <c r="R212" s="970"/>
      <c r="S212" s="970"/>
      <c r="T212" s="970"/>
      <c r="U212" s="970"/>
      <c r="V212" s="970"/>
      <c r="W212" s="970"/>
      <c r="X212" s="970"/>
      <c r="Y212" s="970"/>
      <c r="Z212" s="970"/>
      <c r="AA212" s="970"/>
      <c r="AB212" s="970"/>
    </row>
    <row r="213" spans="1:28" ht="15.75" customHeight="1">
      <c r="A213" s="970"/>
      <c r="B213" s="970"/>
      <c r="C213" s="974"/>
      <c r="D213" s="974"/>
      <c r="E213" s="974"/>
      <c r="F213" s="974"/>
      <c r="G213" s="974"/>
      <c r="H213" s="974"/>
      <c r="I213" s="974"/>
      <c r="J213" s="974"/>
      <c r="K213" s="974"/>
      <c r="L213" s="974"/>
      <c r="M213" s="974"/>
      <c r="N213" s="974"/>
      <c r="O213" s="974"/>
      <c r="P213" s="974"/>
      <c r="Q213" s="974"/>
      <c r="R213" s="970"/>
      <c r="S213" s="970"/>
      <c r="T213" s="970"/>
      <c r="U213" s="970"/>
      <c r="V213" s="970"/>
      <c r="W213" s="970"/>
      <c r="X213" s="970"/>
      <c r="Y213" s="970"/>
      <c r="Z213" s="970"/>
      <c r="AA213" s="970"/>
      <c r="AB213" s="970"/>
    </row>
    <row r="214" spans="1:28" ht="15.75" customHeight="1">
      <c r="A214" s="970"/>
      <c r="B214" s="970"/>
      <c r="C214" s="974"/>
      <c r="D214" s="974"/>
      <c r="E214" s="974"/>
      <c r="F214" s="974"/>
      <c r="G214" s="974"/>
      <c r="H214" s="974"/>
      <c r="I214" s="974"/>
      <c r="J214" s="974"/>
      <c r="K214" s="974"/>
      <c r="L214" s="974"/>
      <c r="M214" s="974"/>
      <c r="N214" s="974"/>
      <c r="O214" s="974"/>
      <c r="P214" s="974"/>
      <c r="Q214" s="974"/>
      <c r="R214" s="970"/>
      <c r="S214" s="970"/>
      <c r="T214" s="970"/>
      <c r="U214" s="970"/>
      <c r="V214" s="970"/>
      <c r="W214" s="970"/>
      <c r="X214" s="970"/>
      <c r="Y214" s="970"/>
      <c r="Z214" s="970"/>
      <c r="AA214" s="970"/>
      <c r="AB214" s="970"/>
    </row>
    <row r="215" spans="1:28" ht="15.75" customHeight="1">
      <c r="A215" s="970"/>
      <c r="B215" s="970"/>
      <c r="C215" s="974"/>
      <c r="D215" s="974"/>
      <c r="E215" s="974"/>
      <c r="F215" s="974"/>
      <c r="G215" s="974"/>
      <c r="H215" s="974"/>
      <c r="I215" s="974"/>
      <c r="J215" s="974"/>
      <c r="K215" s="974"/>
      <c r="L215" s="974"/>
      <c r="M215" s="974"/>
      <c r="N215" s="974"/>
      <c r="O215" s="974"/>
      <c r="P215" s="974"/>
      <c r="Q215" s="974"/>
      <c r="R215" s="970"/>
      <c r="S215" s="970"/>
      <c r="T215" s="970"/>
      <c r="U215" s="970"/>
      <c r="V215" s="970"/>
      <c r="W215" s="970"/>
      <c r="X215" s="970"/>
      <c r="Y215" s="970"/>
      <c r="Z215" s="970"/>
      <c r="AA215" s="970"/>
      <c r="AB215" s="970"/>
    </row>
    <row r="216" spans="1:28" ht="15.75" customHeight="1">
      <c r="A216" s="970"/>
      <c r="B216" s="970"/>
      <c r="C216" s="974"/>
      <c r="D216" s="974"/>
      <c r="E216" s="974"/>
      <c r="F216" s="974"/>
      <c r="G216" s="974"/>
      <c r="H216" s="974"/>
      <c r="I216" s="974"/>
      <c r="J216" s="974"/>
      <c r="K216" s="974"/>
      <c r="L216" s="974"/>
      <c r="M216" s="974"/>
      <c r="N216" s="974"/>
      <c r="O216" s="974"/>
      <c r="P216" s="974"/>
      <c r="Q216" s="974"/>
      <c r="R216" s="970"/>
      <c r="S216" s="970"/>
      <c r="T216" s="970"/>
      <c r="U216" s="970"/>
      <c r="V216" s="970"/>
      <c r="W216" s="970"/>
      <c r="X216" s="970"/>
      <c r="Y216" s="970"/>
      <c r="Z216" s="970"/>
      <c r="AA216" s="970"/>
      <c r="AB216" s="970"/>
    </row>
    <row r="217" spans="1:28" ht="15.75" customHeight="1">
      <c r="A217" s="970"/>
      <c r="B217" s="970"/>
      <c r="C217" s="974"/>
      <c r="D217" s="974"/>
      <c r="E217" s="974"/>
      <c r="F217" s="974"/>
      <c r="G217" s="974"/>
      <c r="H217" s="974"/>
      <c r="I217" s="974"/>
      <c r="J217" s="974"/>
      <c r="K217" s="974"/>
      <c r="L217" s="974"/>
      <c r="M217" s="974"/>
      <c r="N217" s="974"/>
      <c r="O217" s="974"/>
      <c r="P217" s="974"/>
      <c r="Q217" s="974"/>
      <c r="R217" s="970"/>
      <c r="S217" s="970"/>
      <c r="T217" s="970"/>
      <c r="U217" s="970"/>
      <c r="V217" s="970"/>
      <c r="W217" s="970"/>
      <c r="X217" s="970"/>
      <c r="Y217" s="970"/>
      <c r="Z217" s="970"/>
      <c r="AA217" s="970"/>
      <c r="AB217" s="970"/>
    </row>
    <row r="218" spans="1:28" ht="15.75" customHeight="1">
      <c r="A218" s="970"/>
      <c r="B218" s="970"/>
      <c r="C218" s="974"/>
      <c r="D218" s="974"/>
      <c r="E218" s="974"/>
      <c r="F218" s="974"/>
      <c r="G218" s="974"/>
      <c r="H218" s="974"/>
      <c r="I218" s="974"/>
      <c r="J218" s="974"/>
      <c r="K218" s="974"/>
      <c r="L218" s="974"/>
      <c r="M218" s="974"/>
      <c r="N218" s="974"/>
      <c r="O218" s="974"/>
      <c r="P218" s="974"/>
      <c r="Q218" s="974"/>
      <c r="R218" s="970"/>
      <c r="S218" s="970"/>
      <c r="T218" s="970"/>
      <c r="U218" s="970"/>
      <c r="V218" s="970"/>
      <c r="W218" s="970"/>
      <c r="X218" s="970"/>
      <c r="Y218" s="970"/>
      <c r="Z218" s="970"/>
      <c r="AA218" s="970"/>
      <c r="AB218" s="970"/>
    </row>
    <row r="219" spans="1:28" ht="15.75" customHeight="1">
      <c r="A219" s="970"/>
      <c r="B219" s="970"/>
      <c r="C219" s="974"/>
      <c r="D219" s="974"/>
      <c r="E219" s="974"/>
      <c r="F219" s="974"/>
      <c r="G219" s="974"/>
      <c r="H219" s="974"/>
      <c r="I219" s="974"/>
      <c r="J219" s="974"/>
      <c r="K219" s="974"/>
      <c r="L219" s="974"/>
      <c r="M219" s="974"/>
      <c r="N219" s="974"/>
      <c r="O219" s="974"/>
      <c r="P219" s="974"/>
      <c r="Q219" s="974"/>
      <c r="R219" s="970"/>
      <c r="S219" s="970"/>
      <c r="T219" s="970"/>
      <c r="U219" s="970"/>
      <c r="V219" s="970"/>
      <c r="W219" s="970"/>
      <c r="X219" s="970"/>
      <c r="Y219" s="970"/>
      <c r="Z219" s="970"/>
      <c r="AA219" s="970"/>
      <c r="AB219" s="970"/>
    </row>
    <row r="220" spans="1:28" ht="15.75" customHeight="1">
      <c r="A220" s="970"/>
      <c r="B220" s="970"/>
      <c r="C220" s="974"/>
      <c r="D220" s="974"/>
      <c r="E220" s="974"/>
      <c r="F220" s="974"/>
      <c r="G220" s="974"/>
      <c r="H220" s="974"/>
      <c r="I220" s="974"/>
      <c r="J220" s="974"/>
      <c r="K220" s="974"/>
      <c r="L220" s="974"/>
      <c r="M220" s="974"/>
      <c r="N220" s="974"/>
      <c r="O220" s="974"/>
      <c r="P220" s="974"/>
      <c r="Q220" s="974"/>
      <c r="R220" s="970"/>
      <c r="S220" s="970"/>
      <c r="T220" s="970"/>
      <c r="U220" s="970"/>
      <c r="V220" s="970"/>
      <c r="W220" s="970"/>
      <c r="X220" s="970"/>
      <c r="Y220" s="970"/>
      <c r="Z220" s="970"/>
      <c r="AA220" s="970"/>
      <c r="AB220" s="970"/>
    </row>
    <row r="221" spans="1:28" ht="15.75" customHeight="1">
      <c r="A221" s="970"/>
      <c r="B221" s="970"/>
      <c r="C221" s="974"/>
      <c r="D221" s="974"/>
      <c r="E221" s="974"/>
      <c r="F221" s="974"/>
      <c r="G221" s="974"/>
      <c r="H221" s="974"/>
      <c r="I221" s="974"/>
      <c r="J221" s="974"/>
      <c r="K221" s="974"/>
      <c r="L221" s="974"/>
      <c r="M221" s="974"/>
      <c r="N221" s="974"/>
      <c r="O221" s="974"/>
      <c r="P221" s="974"/>
      <c r="Q221" s="974"/>
      <c r="R221" s="970"/>
      <c r="S221" s="970"/>
      <c r="T221" s="970"/>
      <c r="U221" s="970"/>
      <c r="V221" s="970"/>
      <c r="W221" s="970"/>
      <c r="X221" s="970"/>
      <c r="Y221" s="970"/>
      <c r="Z221" s="970"/>
      <c r="AA221" s="970"/>
      <c r="AB221" s="970"/>
    </row>
    <row r="222" spans="1:28" ht="15.75" customHeight="1">
      <c r="A222" s="970"/>
      <c r="B222" s="970"/>
      <c r="C222" s="974"/>
      <c r="D222" s="974"/>
      <c r="E222" s="974"/>
      <c r="F222" s="974"/>
      <c r="G222" s="974"/>
      <c r="H222" s="974"/>
      <c r="I222" s="974"/>
      <c r="J222" s="974"/>
      <c r="K222" s="974"/>
      <c r="L222" s="974"/>
      <c r="M222" s="974"/>
      <c r="N222" s="974"/>
      <c r="O222" s="974"/>
      <c r="P222" s="974"/>
      <c r="Q222" s="974"/>
      <c r="R222" s="970"/>
      <c r="S222" s="970"/>
      <c r="T222" s="970"/>
      <c r="U222" s="970"/>
      <c r="V222" s="970"/>
      <c r="W222" s="970"/>
      <c r="X222" s="970"/>
      <c r="Y222" s="970"/>
      <c r="Z222" s="970"/>
      <c r="AA222" s="970"/>
      <c r="AB222" s="970"/>
    </row>
    <row r="223" spans="1:28" ht="15.75" customHeight="1">
      <c r="A223" s="970"/>
      <c r="B223" s="970"/>
      <c r="C223" s="974"/>
      <c r="D223" s="974"/>
      <c r="E223" s="974"/>
      <c r="F223" s="974"/>
      <c r="G223" s="974"/>
      <c r="H223" s="974"/>
      <c r="I223" s="974"/>
      <c r="J223" s="974"/>
      <c r="K223" s="974"/>
      <c r="L223" s="974"/>
      <c r="M223" s="974"/>
      <c r="N223" s="974"/>
      <c r="O223" s="974"/>
      <c r="P223" s="974"/>
      <c r="Q223" s="974"/>
      <c r="R223" s="970"/>
      <c r="S223" s="970"/>
      <c r="T223" s="970"/>
      <c r="U223" s="970"/>
      <c r="V223" s="970"/>
      <c r="W223" s="970"/>
      <c r="X223" s="970"/>
      <c r="Y223" s="970"/>
      <c r="Z223" s="970"/>
      <c r="AA223" s="970"/>
      <c r="AB223" s="970"/>
    </row>
    <row r="224" spans="1:28" ht="15.75" customHeight="1">
      <c r="A224" s="970"/>
      <c r="B224" s="970"/>
      <c r="C224" s="974"/>
      <c r="D224" s="974"/>
      <c r="E224" s="974"/>
      <c r="F224" s="974"/>
      <c r="G224" s="974"/>
      <c r="H224" s="974"/>
      <c r="I224" s="974"/>
      <c r="J224" s="974"/>
      <c r="K224" s="974"/>
      <c r="L224" s="974"/>
      <c r="M224" s="974"/>
      <c r="N224" s="974"/>
      <c r="O224" s="974"/>
      <c r="P224" s="974"/>
      <c r="Q224" s="974"/>
      <c r="R224" s="970"/>
      <c r="S224" s="970"/>
      <c r="T224" s="970"/>
      <c r="U224" s="970"/>
      <c r="V224" s="970"/>
      <c r="W224" s="970"/>
      <c r="X224" s="970"/>
      <c r="Y224" s="970"/>
      <c r="Z224" s="970"/>
      <c r="AA224" s="970"/>
      <c r="AB224" s="970"/>
    </row>
    <row r="225" spans="1:28" ht="15.75" customHeight="1">
      <c r="A225" s="970"/>
      <c r="B225" s="970"/>
      <c r="C225" s="974"/>
      <c r="D225" s="974"/>
      <c r="E225" s="974"/>
      <c r="F225" s="974"/>
      <c r="G225" s="974"/>
      <c r="H225" s="974"/>
      <c r="I225" s="974"/>
      <c r="J225" s="974"/>
      <c r="K225" s="974"/>
      <c r="L225" s="974"/>
      <c r="M225" s="974"/>
      <c r="N225" s="974"/>
      <c r="O225" s="974"/>
      <c r="P225" s="974"/>
      <c r="Q225" s="974"/>
      <c r="R225" s="970"/>
      <c r="S225" s="970"/>
      <c r="T225" s="970"/>
      <c r="U225" s="970"/>
      <c r="V225" s="970"/>
      <c r="W225" s="970"/>
      <c r="X225" s="970"/>
      <c r="Y225" s="970"/>
      <c r="Z225" s="970"/>
      <c r="AA225" s="970"/>
      <c r="AB225" s="970"/>
    </row>
    <row r="226" spans="1:28" ht="15.75" customHeight="1">
      <c r="A226" s="970"/>
      <c r="B226" s="970"/>
      <c r="C226" s="974"/>
      <c r="D226" s="974"/>
      <c r="E226" s="974"/>
      <c r="F226" s="974"/>
      <c r="G226" s="974"/>
      <c r="H226" s="974"/>
      <c r="I226" s="974"/>
      <c r="J226" s="974"/>
      <c r="K226" s="974"/>
      <c r="L226" s="974"/>
      <c r="M226" s="974"/>
      <c r="N226" s="974"/>
      <c r="O226" s="974"/>
      <c r="P226" s="974"/>
      <c r="Q226" s="974"/>
      <c r="R226" s="970"/>
      <c r="S226" s="970"/>
      <c r="T226" s="970"/>
      <c r="U226" s="970"/>
      <c r="V226" s="970"/>
      <c r="W226" s="970"/>
      <c r="X226" s="970"/>
      <c r="Y226" s="970"/>
      <c r="Z226" s="970"/>
      <c r="AA226" s="970"/>
      <c r="AB226" s="970"/>
    </row>
    <row r="227" spans="1:28" ht="15.75" customHeight="1">
      <c r="A227" s="970"/>
      <c r="B227" s="970"/>
      <c r="C227" s="974"/>
      <c r="D227" s="974"/>
      <c r="E227" s="974"/>
      <c r="F227" s="974"/>
      <c r="G227" s="974"/>
      <c r="H227" s="974"/>
      <c r="I227" s="974"/>
      <c r="J227" s="974"/>
      <c r="K227" s="974"/>
      <c r="L227" s="974"/>
      <c r="M227" s="974"/>
      <c r="N227" s="974"/>
      <c r="O227" s="974"/>
      <c r="P227" s="974"/>
      <c r="Q227" s="974"/>
      <c r="R227" s="970"/>
      <c r="S227" s="970"/>
      <c r="T227" s="970"/>
      <c r="U227" s="970"/>
      <c r="V227" s="970"/>
      <c r="W227" s="970"/>
      <c r="X227" s="970"/>
      <c r="Y227" s="970"/>
      <c r="Z227" s="970"/>
      <c r="AA227" s="970"/>
      <c r="AB227" s="970"/>
    </row>
    <row r="228" spans="1:28" ht="15.75" customHeight="1">
      <c r="A228" s="970"/>
      <c r="B228" s="970"/>
      <c r="C228" s="974"/>
      <c r="D228" s="974"/>
      <c r="E228" s="974"/>
      <c r="F228" s="974"/>
      <c r="G228" s="974"/>
      <c r="H228" s="974"/>
      <c r="I228" s="974"/>
      <c r="J228" s="974"/>
      <c r="K228" s="974"/>
      <c r="L228" s="974"/>
      <c r="M228" s="974"/>
      <c r="N228" s="974"/>
      <c r="O228" s="974"/>
      <c r="P228" s="974"/>
      <c r="Q228" s="974"/>
      <c r="R228" s="970"/>
      <c r="S228" s="970"/>
      <c r="T228" s="970"/>
      <c r="U228" s="970"/>
      <c r="V228" s="970"/>
      <c r="W228" s="970"/>
      <c r="X228" s="970"/>
      <c r="Y228" s="970"/>
      <c r="Z228" s="970"/>
      <c r="AA228" s="970"/>
      <c r="AB228" s="970"/>
    </row>
    <row r="229" spans="1:28" ht="15.75" customHeight="1">
      <c r="A229" s="970"/>
      <c r="B229" s="970"/>
      <c r="C229" s="974"/>
      <c r="D229" s="974"/>
      <c r="E229" s="974"/>
      <c r="F229" s="974"/>
      <c r="G229" s="974"/>
      <c r="H229" s="974"/>
      <c r="I229" s="974"/>
      <c r="J229" s="974"/>
      <c r="K229" s="974"/>
      <c r="L229" s="974"/>
      <c r="M229" s="974"/>
      <c r="N229" s="974"/>
      <c r="O229" s="974"/>
      <c r="P229" s="974"/>
      <c r="Q229" s="974"/>
      <c r="R229" s="970"/>
      <c r="S229" s="970"/>
      <c r="T229" s="970"/>
      <c r="U229" s="970"/>
      <c r="V229" s="970"/>
      <c r="W229" s="970"/>
      <c r="X229" s="970"/>
      <c r="Y229" s="970"/>
      <c r="Z229" s="970"/>
      <c r="AA229" s="970"/>
      <c r="AB229" s="970"/>
    </row>
    <row r="230" spans="1:28" ht="15.75" customHeight="1">
      <c r="A230" s="970"/>
      <c r="B230" s="970"/>
      <c r="C230" s="974"/>
      <c r="D230" s="974"/>
      <c r="E230" s="974"/>
      <c r="F230" s="974"/>
      <c r="G230" s="974"/>
      <c r="H230" s="974"/>
      <c r="I230" s="974"/>
      <c r="J230" s="974"/>
      <c r="K230" s="974"/>
      <c r="L230" s="974"/>
      <c r="M230" s="974"/>
      <c r="N230" s="974"/>
      <c r="O230" s="974"/>
      <c r="P230" s="974"/>
      <c r="Q230" s="974"/>
      <c r="R230" s="970"/>
      <c r="S230" s="970"/>
      <c r="T230" s="970"/>
      <c r="U230" s="970"/>
      <c r="V230" s="970"/>
      <c r="W230" s="970"/>
      <c r="X230" s="970"/>
      <c r="Y230" s="970"/>
      <c r="Z230" s="970"/>
      <c r="AA230" s="970"/>
      <c r="AB230" s="970"/>
    </row>
    <row r="231" spans="1:28" ht="15.75" customHeight="1">
      <c r="A231" s="970"/>
      <c r="B231" s="970"/>
      <c r="C231" s="974"/>
      <c r="D231" s="974"/>
      <c r="E231" s="974"/>
      <c r="F231" s="974"/>
      <c r="G231" s="974"/>
      <c r="H231" s="974"/>
      <c r="I231" s="974"/>
      <c r="J231" s="974"/>
      <c r="K231" s="974"/>
      <c r="L231" s="974"/>
      <c r="M231" s="974"/>
      <c r="N231" s="974"/>
      <c r="O231" s="974"/>
      <c r="P231" s="974"/>
      <c r="Q231" s="974"/>
      <c r="R231" s="970"/>
      <c r="S231" s="970"/>
      <c r="T231" s="970"/>
      <c r="U231" s="970"/>
      <c r="V231" s="970"/>
      <c r="W231" s="970"/>
      <c r="X231" s="970"/>
      <c r="Y231" s="970"/>
      <c r="Z231" s="970"/>
      <c r="AA231" s="970"/>
      <c r="AB231" s="970"/>
    </row>
    <row r="232" spans="1:28" ht="15.75" customHeight="1">
      <c r="A232" s="970"/>
      <c r="B232" s="970"/>
      <c r="C232" s="974"/>
      <c r="D232" s="974"/>
      <c r="E232" s="974"/>
      <c r="F232" s="974"/>
      <c r="G232" s="974"/>
      <c r="H232" s="974"/>
      <c r="I232" s="974"/>
      <c r="J232" s="974"/>
      <c r="K232" s="974"/>
      <c r="L232" s="974"/>
      <c r="M232" s="974"/>
      <c r="N232" s="974"/>
      <c r="O232" s="974"/>
      <c r="P232" s="974"/>
      <c r="Q232" s="974"/>
      <c r="R232" s="970"/>
      <c r="S232" s="970"/>
      <c r="T232" s="970"/>
      <c r="U232" s="970"/>
      <c r="V232" s="970"/>
      <c r="W232" s="970"/>
      <c r="X232" s="970"/>
      <c r="Y232" s="970"/>
      <c r="Z232" s="970"/>
      <c r="AA232" s="970"/>
      <c r="AB232" s="970"/>
    </row>
    <row r="233" spans="1:28" ht="15.75" customHeight="1">
      <c r="A233" s="970"/>
      <c r="B233" s="970"/>
      <c r="C233" s="974"/>
      <c r="D233" s="974"/>
      <c r="E233" s="974"/>
      <c r="F233" s="974"/>
      <c r="G233" s="974"/>
      <c r="H233" s="974"/>
      <c r="I233" s="974"/>
      <c r="J233" s="974"/>
      <c r="K233" s="974"/>
      <c r="L233" s="974"/>
      <c r="M233" s="974"/>
      <c r="N233" s="974"/>
      <c r="O233" s="974"/>
      <c r="P233" s="974"/>
      <c r="Q233" s="974"/>
      <c r="R233" s="970"/>
      <c r="S233" s="970"/>
      <c r="T233" s="970"/>
      <c r="U233" s="970"/>
      <c r="V233" s="970"/>
      <c r="W233" s="970"/>
      <c r="X233" s="970"/>
      <c r="Y233" s="970"/>
      <c r="Z233" s="970"/>
      <c r="AA233" s="970"/>
      <c r="AB233" s="970"/>
    </row>
    <row r="234" spans="1:28" ht="15.75" customHeight="1">
      <c r="A234" s="970"/>
      <c r="B234" s="970"/>
      <c r="C234" s="974"/>
      <c r="D234" s="974"/>
      <c r="E234" s="974"/>
      <c r="F234" s="974"/>
      <c r="G234" s="974"/>
      <c r="H234" s="974"/>
      <c r="I234" s="974"/>
      <c r="J234" s="974"/>
      <c r="K234" s="974"/>
      <c r="L234" s="974"/>
      <c r="M234" s="974"/>
      <c r="N234" s="974"/>
      <c r="O234" s="974"/>
      <c r="P234" s="974"/>
      <c r="Q234" s="974"/>
      <c r="R234" s="970"/>
      <c r="S234" s="970"/>
      <c r="T234" s="970"/>
      <c r="U234" s="970"/>
      <c r="V234" s="970"/>
      <c r="W234" s="970"/>
      <c r="X234" s="970"/>
      <c r="Y234" s="970"/>
      <c r="Z234" s="970"/>
      <c r="AA234" s="970"/>
      <c r="AB234" s="970"/>
    </row>
    <row r="235" spans="1:28" ht="15.75" customHeight="1">
      <c r="A235" s="970"/>
      <c r="B235" s="970"/>
      <c r="C235" s="974"/>
      <c r="D235" s="974"/>
      <c r="E235" s="974"/>
      <c r="F235" s="974"/>
      <c r="G235" s="974"/>
      <c r="H235" s="974"/>
      <c r="I235" s="974"/>
      <c r="J235" s="974"/>
      <c r="K235" s="974"/>
      <c r="L235" s="974"/>
      <c r="M235" s="974"/>
      <c r="N235" s="974"/>
      <c r="O235" s="974"/>
      <c r="P235" s="974"/>
      <c r="Q235" s="974"/>
      <c r="R235" s="970"/>
      <c r="S235" s="970"/>
      <c r="T235" s="970"/>
      <c r="U235" s="970"/>
      <c r="V235" s="970"/>
      <c r="W235" s="970"/>
      <c r="X235" s="970"/>
      <c r="Y235" s="970"/>
      <c r="Z235" s="970"/>
      <c r="AA235" s="970"/>
      <c r="AB235" s="970"/>
    </row>
    <row r="236" spans="1:28" ht="15.75" customHeight="1">
      <c r="A236" s="970"/>
      <c r="B236" s="970"/>
      <c r="C236" s="974"/>
      <c r="D236" s="974"/>
      <c r="E236" s="974"/>
      <c r="F236" s="974"/>
      <c r="G236" s="974"/>
      <c r="H236" s="974"/>
      <c r="I236" s="974"/>
      <c r="J236" s="974"/>
      <c r="K236" s="974"/>
      <c r="L236" s="974"/>
      <c r="M236" s="974"/>
      <c r="N236" s="974"/>
      <c r="O236" s="974"/>
      <c r="P236" s="974"/>
      <c r="Q236" s="974"/>
      <c r="R236" s="970"/>
      <c r="S236" s="970"/>
      <c r="T236" s="970"/>
      <c r="U236" s="970"/>
      <c r="V236" s="970"/>
      <c r="W236" s="970"/>
      <c r="X236" s="970"/>
      <c r="Y236" s="970"/>
      <c r="Z236" s="970"/>
      <c r="AA236" s="970"/>
      <c r="AB236" s="970"/>
    </row>
    <row r="237" spans="1:28" ht="15.75" customHeight="1">
      <c r="A237" s="970"/>
      <c r="B237" s="970"/>
      <c r="C237" s="974"/>
      <c r="D237" s="974"/>
      <c r="E237" s="974"/>
      <c r="F237" s="974"/>
      <c r="G237" s="974"/>
      <c r="H237" s="974"/>
      <c r="I237" s="974"/>
      <c r="J237" s="974"/>
      <c r="K237" s="974"/>
      <c r="L237" s="974"/>
      <c r="M237" s="974"/>
      <c r="N237" s="974"/>
      <c r="O237" s="974"/>
      <c r="P237" s="974"/>
      <c r="Q237" s="974"/>
      <c r="R237" s="970"/>
      <c r="S237" s="970"/>
      <c r="T237" s="970"/>
      <c r="U237" s="970"/>
      <c r="V237" s="970"/>
      <c r="W237" s="970"/>
      <c r="X237" s="970"/>
      <c r="Y237" s="970"/>
      <c r="Z237" s="970"/>
      <c r="AA237" s="970"/>
      <c r="AB237" s="970"/>
    </row>
    <row r="238" spans="1:28" ht="15.75" customHeight="1">
      <c r="A238" s="970"/>
      <c r="B238" s="970"/>
      <c r="C238" s="974"/>
      <c r="D238" s="974"/>
      <c r="E238" s="974"/>
      <c r="F238" s="974"/>
      <c r="G238" s="974"/>
      <c r="H238" s="974"/>
      <c r="I238" s="974"/>
      <c r="J238" s="974"/>
      <c r="K238" s="974"/>
      <c r="L238" s="974"/>
      <c r="M238" s="974"/>
      <c r="N238" s="974"/>
      <c r="O238" s="974"/>
      <c r="P238" s="974"/>
      <c r="Q238" s="974"/>
      <c r="R238" s="970"/>
      <c r="S238" s="970"/>
      <c r="T238" s="970"/>
      <c r="U238" s="970"/>
      <c r="V238" s="970"/>
      <c r="W238" s="970"/>
      <c r="X238" s="970"/>
      <c r="Y238" s="970"/>
      <c r="Z238" s="970"/>
      <c r="AA238" s="970"/>
      <c r="AB238" s="970"/>
    </row>
    <row r="239" spans="1:28" ht="15.75" customHeight="1">
      <c r="A239" s="970"/>
      <c r="B239" s="970"/>
      <c r="C239" s="974"/>
      <c r="D239" s="974"/>
      <c r="E239" s="974"/>
      <c r="F239" s="974"/>
      <c r="G239" s="974"/>
      <c r="H239" s="974"/>
      <c r="I239" s="974"/>
      <c r="J239" s="974"/>
      <c r="K239" s="974"/>
      <c r="L239" s="974"/>
      <c r="M239" s="974"/>
      <c r="N239" s="974"/>
      <c r="O239" s="974"/>
      <c r="P239" s="974"/>
      <c r="Q239" s="974"/>
      <c r="R239" s="970"/>
      <c r="S239" s="970"/>
      <c r="T239" s="970"/>
      <c r="U239" s="970"/>
      <c r="V239" s="970"/>
      <c r="W239" s="970"/>
      <c r="X239" s="970"/>
      <c r="Y239" s="970"/>
      <c r="Z239" s="970"/>
      <c r="AA239" s="970"/>
      <c r="AB239" s="970"/>
    </row>
    <row r="240" spans="1:28" ht="15.75" customHeight="1">
      <c r="A240" s="970"/>
      <c r="B240" s="970"/>
      <c r="C240" s="974"/>
      <c r="D240" s="974"/>
      <c r="E240" s="974"/>
      <c r="F240" s="974"/>
      <c r="G240" s="974"/>
      <c r="H240" s="974"/>
      <c r="I240" s="974"/>
      <c r="J240" s="974"/>
      <c r="K240" s="974"/>
      <c r="L240" s="974"/>
      <c r="M240" s="974"/>
      <c r="N240" s="974"/>
      <c r="O240" s="974"/>
      <c r="P240" s="974"/>
      <c r="Q240" s="974"/>
      <c r="R240" s="970"/>
      <c r="S240" s="970"/>
      <c r="T240" s="970"/>
      <c r="U240" s="970"/>
      <c r="V240" s="970"/>
      <c r="W240" s="970"/>
      <c r="X240" s="970"/>
      <c r="Y240" s="970"/>
      <c r="Z240" s="970"/>
      <c r="AA240" s="970"/>
      <c r="AB240" s="970"/>
    </row>
    <row r="241" spans="1:28" ht="15.75" customHeight="1">
      <c r="A241" s="970"/>
      <c r="B241" s="970"/>
      <c r="C241" s="974"/>
      <c r="D241" s="974"/>
      <c r="E241" s="974"/>
      <c r="F241" s="974"/>
      <c r="G241" s="974"/>
      <c r="H241" s="974"/>
      <c r="I241" s="974"/>
      <c r="J241" s="974"/>
      <c r="K241" s="974"/>
      <c r="L241" s="974"/>
      <c r="M241" s="974"/>
      <c r="N241" s="974"/>
      <c r="O241" s="974"/>
      <c r="P241" s="974"/>
      <c r="Q241" s="974"/>
      <c r="R241" s="970"/>
      <c r="S241" s="970"/>
      <c r="T241" s="970"/>
      <c r="U241" s="970"/>
      <c r="V241" s="970"/>
      <c r="W241" s="970"/>
      <c r="X241" s="970"/>
      <c r="Y241" s="970"/>
      <c r="Z241" s="970"/>
      <c r="AA241" s="970"/>
      <c r="AB241" s="970"/>
    </row>
    <row r="242" spans="1:28" ht="15.75" customHeight="1">
      <c r="A242" s="970"/>
      <c r="B242" s="970"/>
      <c r="C242" s="974"/>
      <c r="D242" s="974"/>
      <c r="E242" s="974"/>
      <c r="F242" s="974"/>
      <c r="G242" s="974"/>
      <c r="H242" s="974"/>
      <c r="I242" s="974"/>
      <c r="J242" s="974"/>
      <c r="K242" s="974"/>
      <c r="L242" s="974"/>
      <c r="M242" s="974"/>
      <c r="N242" s="974"/>
      <c r="O242" s="974"/>
      <c r="P242" s="974"/>
      <c r="Q242" s="974"/>
      <c r="R242" s="970"/>
      <c r="S242" s="970"/>
      <c r="T242" s="970"/>
      <c r="U242" s="970"/>
      <c r="V242" s="970"/>
      <c r="W242" s="970"/>
      <c r="X242" s="970"/>
      <c r="Y242" s="970"/>
      <c r="Z242" s="970"/>
      <c r="AA242" s="970"/>
      <c r="AB242" s="970"/>
    </row>
    <row r="243" spans="1:28" ht="15.75" customHeight="1">
      <c r="A243" s="970"/>
      <c r="B243" s="970"/>
      <c r="C243" s="974"/>
      <c r="D243" s="974"/>
      <c r="E243" s="974"/>
      <c r="F243" s="974"/>
      <c r="G243" s="974"/>
      <c r="H243" s="974"/>
      <c r="I243" s="974"/>
      <c r="J243" s="974"/>
      <c r="K243" s="974"/>
      <c r="L243" s="974"/>
      <c r="M243" s="974"/>
      <c r="N243" s="974"/>
      <c r="O243" s="974"/>
      <c r="P243" s="974"/>
      <c r="Q243" s="974"/>
      <c r="R243" s="970"/>
      <c r="S243" s="970"/>
      <c r="T243" s="970"/>
      <c r="U243" s="970"/>
      <c r="V243" s="970"/>
      <c r="W243" s="970"/>
      <c r="X243" s="970"/>
      <c r="Y243" s="970"/>
      <c r="Z243" s="970"/>
      <c r="AA243" s="970"/>
      <c r="AB243" s="970"/>
    </row>
    <row r="244" spans="1:28" ht="15.75" customHeight="1">
      <c r="A244" s="970"/>
      <c r="B244" s="970"/>
      <c r="C244" s="974"/>
      <c r="D244" s="974"/>
      <c r="E244" s="974"/>
      <c r="F244" s="974"/>
      <c r="G244" s="974"/>
      <c r="H244" s="974"/>
      <c r="I244" s="974"/>
      <c r="J244" s="974"/>
      <c r="K244" s="974"/>
      <c r="L244" s="974"/>
      <c r="M244" s="974"/>
      <c r="N244" s="974"/>
      <c r="O244" s="974"/>
      <c r="P244" s="974"/>
      <c r="Q244" s="974"/>
      <c r="R244" s="970"/>
      <c r="S244" s="970"/>
      <c r="T244" s="970"/>
      <c r="U244" s="970"/>
      <c r="V244" s="970"/>
      <c r="W244" s="970"/>
      <c r="X244" s="970"/>
      <c r="Y244" s="970"/>
      <c r="Z244" s="970"/>
      <c r="AA244" s="970"/>
      <c r="AB244" s="970"/>
    </row>
    <row r="245" spans="1:28" ht="15.75" customHeight="1">
      <c r="A245" s="970"/>
      <c r="B245" s="970"/>
      <c r="C245" s="974"/>
      <c r="D245" s="974"/>
      <c r="E245" s="974"/>
      <c r="F245" s="974"/>
      <c r="G245" s="974"/>
      <c r="H245" s="974"/>
      <c r="I245" s="974"/>
      <c r="J245" s="974"/>
      <c r="K245" s="974"/>
      <c r="L245" s="974"/>
      <c r="M245" s="974"/>
      <c r="N245" s="974"/>
      <c r="O245" s="974"/>
      <c r="P245" s="974"/>
      <c r="Q245" s="974"/>
      <c r="R245" s="970"/>
      <c r="S245" s="970"/>
      <c r="T245" s="970"/>
      <c r="U245" s="970"/>
      <c r="V245" s="970"/>
      <c r="W245" s="970"/>
      <c r="X245" s="970"/>
      <c r="Y245" s="970"/>
      <c r="Z245" s="970"/>
      <c r="AA245" s="970"/>
      <c r="AB245" s="970"/>
    </row>
    <row r="246" spans="1:28" ht="15.75" customHeight="1">
      <c r="A246" s="970"/>
      <c r="B246" s="970"/>
      <c r="C246" s="974"/>
      <c r="D246" s="974"/>
      <c r="E246" s="974"/>
      <c r="F246" s="974"/>
      <c r="G246" s="974"/>
      <c r="H246" s="974"/>
      <c r="I246" s="974"/>
      <c r="J246" s="974"/>
      <c r="K246" s="974"/>
      <c r="L246" s="974"/>
      <c r="M246" s="974"/>
      <c r="N246" s="974"/>
      <c r="O246" s="974"/>
      <c r="P246" s="974"/>
      <c r="Q246" s="974"/>
      <c r="R246" s="970"/>
      <c r="S246" s="970"/>
      <c r="T246" s="970"/>
      <c r="U246" s="970"/>
      <c r="V246" s="970"/>
      <c r="W246" s="970"/>
      <c r="X246" s="970"/>
      <c r="Y246" s="970"/>
      <c r="Z246" s="970"/>
      <c r="AA246" s="970"/>
      <c r="AB246" s="970"/>
    </row>
    <row r="247" spans="1:28" ht="15.75" customHeight="1">
      <c r="A247" s="970"/>
      <c r="B247" s="970"/>
      <c r="C247" s="974"/>
      <c r="D247" s="974"/>
      <c r="E247" s="974"/>
      <c r="F247" s="974"/>
      <c r="G247" s="974"/>
      <c r="H247" s="974"/>
      <c r="I247" s="974"/>
      <c r="J247" s="974"/>
      <c r="K247" s="974"/>
      <c r="L247" s="974"/>
      <c r="M247" s="974"/>
      <c r="N247" s="974"/>
      <c r="O247" s="974"/>
      <c r="P247" s="974"/>
      <c r="Q247" s="974"/>
      <c r="R247" s="970"/>
      <c r="S247" s="970"/>
      <c r="T247" s="970"/>
      <c r="U247" s="970"/>
      <c r="V247" s="970"/>
      <c r="W247" s="970"/>
      <c r="X247" s="970"/>
      <c r="Y247" s="970"/>
      <c r="Z247" s="970"/>
      <c r="AA247" s="970"/>
      <c r="AB247" s="970"/>
    </row>
    <row r="248" spans="1:28" ht="15.75" customHeight="1">
      <c r="A248" s="970"/>
      <c r="B248" s="970"/>
      <c r="C248" s="974"/>
      <c r="D248" s="974"/>
      <c r="E248" s="974"/>
      <c r="F248" s="974"/>
      <c r="G248" s="974"/>
      <c r="H248" s="974"/>
      <c r="I248" s="974"/>
      <c r="J248" s="974"/>
      <c r="K248" s="974"/>
      <c r="L248" s="974"/>
      <c r="M248" s="974"/>
      <c r="N248" s="974"/>
      <c r="O248" s="974"/>
      <c r="P248" s="974"/>
      <c r="Q248" s="974"/>
      <c r="R248" s="970"/>
      <c r="S248" s="970"/>
      <c r="T248" s="970"/>
      <c r="U248" s="970"/>
      <c r="V248" s="970"/>
      <c r="W248" s="970"/>
      <c r="X248" s="970"/>
      <c r="Y248" s="970"/>
      <c r="Z248" s="970"/>
      <c r="AA248" s="970"/>
      <c r="AB248" s="970"/>
    </row>
    <row r="249" spans="1:28" ht="15.75" customHeight="1">
      <c r="C249" s="1003"/>
      <c r="D249" s="1003"/>
      <c r="E249" s="1003"/>
      <c r="F249" s="1003"/>
      <c r="G249" s="1003"/>
      <c r="H249" s="1003"/>
      <c r="I249" s="1003"/>
      <c r="J249" s="1003"/>
      <c r="K249" s="1003"/>
      <c r="L249" s="1003"/>
      <c r="M249" s="1003"/>
      <c r="N249" s="1003"/>
      <c r="O249" s="1003"/>
      <c r="P249" s="1003"/>
      <c r="Q249" s="1003"/>
    </row>
    <row r="250" spans="1:28" ht="15.75" customHeight="1">
      <c r="C250" s="1003"/>
      <c r="D250" s="1003"/>
      <c r="E250" s="1003"/>
      <c r="F250" s="1003"/>
      <c r="G250" s="1003"/>
      <c r="H250" s="1003"/>
      <c r="I250" s="1003"/>
      <c r="J250" s="1003"/>
      <c r="K250" s="1003"/>
      <c r="L250" s="1003"/>
      <c r="M250" s="1003"/>
      <c r="N250" s="1003"/>
      <c r="O250" s="1003"/>
      <c r="P250" s="1003"/>
      <c r="Q250" s="1003"/>
    </row>
    <row r="251" spans="1:28" ht="15.75" customHeight="1">
      <c r="C251" s="1003"/>
      <c r="D251" s="1003"/>
      <c r="E251" s="1003"/>
      <c r="F251" s="1003"/>
      <c r="G251" s="1003"/>
      <c r="H251" s="1003"/>
      <c r="I251" s="1003"/>
      <c r="J251" s="1003"/>
      <c r="K251" s="1003"/>
      <c r="L251" s="1003"/>
      <c r="M251" s="1003"/>
      <c r="N251" s="1003"/>
      <c r="O251" s="1003"/>
      <c r="P251" s="1003"/>
      <c r="Q251" s="1003"/>
    </row>
    <row r="252" spans="1:28" ht="15.75" customHeight="1">
      <c r="C252" s="1003"/>
      <c r="D252" s="1003"/>
      <c r="E252" s="1003"/>
      <c r="F252" s="1003"/>
      <c r="G252" s="1003"/>
      <c r="H252" s="1003"/>
      <c r="I252" s="1003"/>
      <c r="J252" s="1003"/>
      <c r="K252" s="1003"/>
      <c r="L252" s="1003"/>
      <c r="M252" s="1003"/>
      <c r="N252" s="1003"/>
      <c r="O252" s="1003"/>
      <c r="P252" s="1003"/>
      <c r="Q252" s="1003"/>
    </row>
    <row r="253" spans="1:28" ht="15.75" customHeight="1">
      <c r="C253" s="1003"/>
      <c r="D253" s="1003"/>
      <c r="E253" s="1003"/>
      <c r="F253" s="1003"/>
      <c r="G253" s="1003"/>
      <c r="H253" s="1003"/>
      <c r="I253" s="1003"/>
      <c r="J253" s="1003"/>
      <c r="K253" s="1003"/>
      <c r="L253" s="1003"/>
      <c r="M253" s="1003"/>
      <c r="N253" s="1003"/>
      <c r="O253" s="1003"/>
      <c r="P253" s="1003"/>
      <c r="Q253" s="1003"/>
    </row>
    <row r="254" spans="1:28" ht="15.75" customHeight="1">
      <c r="C254" s="1003"/>
      <c r="D254" s="1003"/>
      <c r="E254" s="1003"/>
      <c r="F254" s="1003"/>
      <c r="G254" s="1003"/>
      <c r="H254" s="1003"/>
      <c r="I254" s="1003"/>
      <c r="J254" s="1003"/>
      <c r="K254" s="1003"/>
      <c r="L254" s="1003"/>
      <c r="M254" s="1003"/>
      <c r="N254" s="1003"/>
      <c r="O254" s="1003"/>
      <c r="P254" s="1003"/>
      <c r="Q254" s="1003"/>
    </row>
    <row r="255" spans="1:28" ht="15.75" customHeight="1">
      <c r="C255" s="1003"/>
      <c r="D255" s="1003"/>
      <c r="E255" s="1003"/>
      <c r="F255" s="1003"/>
      <c r="G255" s="1003"/>
      <c r="H255" s="1003"/>
      <c r="I255" s="1003"/>
      <c r="J255" s="1003"/>
      <c r="K255" s="1003"/>
      <c r="L255" s="1003"/>
      <c r="M255" s="1003"/>
      <c r="N255" s="1003"/>
      <c r="O255" s="1003"/>
      <c r="P255" s="1003"/>
      <c r="Q255" s="1003"/>
    </row>
    <row r="256" spans="1:28" ht="15.75" customHeight="1">
      <c r="C256" s="1003"/>
      <c r="D256" s="1003"/>
      <c r="E256" s="1003"/>
      <c r="F256" s="1003"/>
      <c r="G256" s="1003"/>
      <c r="H256" s="1003"/>
      <c r="I256" s="1003"/>
      <c r="J256" s="1003"/>
      <c r="K256" s="1003"/>
      <c r="L256" s="1003"/>
      <c r="M256" s="1003"/>
      <c r="N256" s="1003"/>
      <c r="O256" s="1003"/>
      <c r="P256" s="1003"/>
      <c r="Q256" s="1003"/>
    </row>
    <row r="257" spans="3:17" ht="15.75" customHeight="1">
      <c r="C257" s="1003"/>
      <c r="D257" s="1003"/>
      <c r="E257" s="1003"/>
      <c r="F257" s="1003"/>
      <c r="G257" s="1003"/>
      <c r="H257" s="1003"/>
      <c r="I257" s="1003"/>
      <c r="J257" s="1003"/>
      <c r="K257" s="1003"/>
      <c r="L257" s="1003"/>
      <c r="M257" s="1003"/>
      <c r="N257" s="1003"/>
      <c r="O257" s="1003"/>
      <c r="P257" s="1003"/>
      <c r="Q257" s="1003"/>
    </row>
    <row r="258" spans="3:17" ht="15.75" customHeight="1">
      <c r="C258" s="1003"/>
      <c r="D258" s="1003"/>
      <c r="E258" s="1003"/>
      <c r="F258" s="1003"/>
      <c r="G258" s="1003"/>
      <c r="H258" s="1003"/>
      <c r="I258" s="1003"/>
      <c r="J258" s="1003"/>
      <c r="K258" s="1003"/>
      <c r="L258" s="1003"/>
      <c r="M258" s="1003"/>
      <c r="N258" s="1003"/>
      <c r="O258" s="1003"/>
      <c r="P258" s="1003"/>
      <c r="Q258" s="1003"/>
    </row>
    <row r="259" spans="3:17" ht="15.75" customHeight="1">
      <c r="C259" s="1003"/>
      <c r="D259" s="1003"/>
      <c r="E259" s="1003"/>
      <c r="F259" s="1003"/>
      <c r="G259" s="1003"/>
      <c r="H259" s="1003"/>
      <c r="I259" s="1003"/>
      <c r="J259" s="1003"/>
      <c r="K259" s="1003"/>
      <c r="L259" s="1003"/>
      <c r="M259" s="1003"/>
      <c r="N259" s="1003"/>
      <c r="O259" s="1003"/>
      <c r="P259" s="1003"/>
      <c r="Q259" s="1003"/>
    </row>
    <row r="260" spans="3:17" ht="15.75" customHeight="1">
      <c r="C260" s="1003"/>
      <c r="D260" s="1003"/>
      <c r="E260" s="1003"/>
      <c r="F260" s="1003"/>
      <c r="G260" s="1003"/>
      <c r="H260" s="1003"/>
      <c r="I260" s="1003"/>
      <c r="J260" s="1003"/>
      <c r="K260" s="1003"/>
      <c r="L260" s="1003"/>
      <c r="M260" s="1003"/>
      <c r="N260" s="1003"/>
      <c r="O260" s="1003"/>
      <c r="P260" s="1003"/>
      <c r="Q260" s="1003"/>
    </row>
    <row r="261" spans="3:17" ht="15.75" customHeight="1">
      <c r="C261" s="1003"/>
      <c r="D261" s="1003"/>
      <c r="E261" s="1003"/>
      <c r="F261" s="1003"/>
      <c r="G261" s="1003"/>
      <c r="H261" s="1003"/>
      <c r="I261" s="1003"/>
      <c r="J261" s="1003"/>
      <c r="K261" s="1003"/>
      <c r="L261" s="1003"/>
      <c r="M261" s="1003"/>
      <c r="N261" s="1003"/>
      <c r="O261" s="1003"/>
      <c r="P261" s="1003"/>
      <c r="Q261" s="1003"/>
    </row>
    <row r="262" spans="3:17" ht="15.75" customHeight="1">
      <c r="C262" s="1003"/>
      <c r="D262" s="1003"/>
      <c r="E262" s="1003"/>
      <c r="F262" s="1003"/>
      <c r="G262" s="1003"/>
      <c r="H262" s="1003"/>
      <c r="I262" s="1003"/>
      <c r="J262" s="1003"/>
      <c r="K262" s="1003"/>
      <c r="L262" s="1003"/>
      <c r="M262" s="1003"/>
      <c r="N262" s="1003"/>
      <c r="O262" s="1003"/>
      <c r="P262" s="1003"/>
      <c r="Q262" s="1003"/>
    </row>
    <row r="263" spans="3:17" ht="15.75" customHeight="1">
      <c r="C263" s="1003"/>
      <c r="D263" s="1003"/>
      <c r="E263" s="1003"/>
      <c r="F263" s="1003"/>
      <c r="G263" s="1003"/>
      <c r="H263" s="1003"/>
      <c r="I263" s="1003"/>
      <c r="J263" s="1003"/>
      <c r="K263" s="1003"/>
      <c r="L263" s="1003"/>
      <c r="M263" s="1003"/>
      <c r="N263" s="1003"/>
      <c r="O263" s="1003"/>
      <c r="P263" s="1003"/>
      <c r="Q263" s="1003"/>
    </row>
    <row r="264" spans="3:17" ht="15.75" customHeight="1">
      <c r="C264" s="1003"/>
      <c r="D264" s="1003"/>
      <c r="E264" s="1003"/>
      <c r="F264" s="1003"/>
      <c r="G264" s="1003"/>
      <c r="H264" s="1003"/>
      <c r="I264" s="1003"/>
      <c r="J264" s="1003"/>
      <c r="K264" s="1003"/>
      <c r="L264" s="1003"/>
      <c r="M264" s="1003"/>
      <c r="N264" s="1003"/>
      <c r="O264" s="1003"/>
      <c r="P264" s="1003"/>
      <c r="Q264" s="1003"/>
    </row>
    <row r="265" spans="3:17" ht="15.75" customHeight="1">
      <c r="C265" s="1003"/>
      <c r="D265" s="1003"/>
      <c r="E265" s="1003"/>
      <c r="F265" s="1003"/>
      <c r="G265" s="1003"/>
      <c r="H265" s="1003"/>
      <c r="I265" s="1003"/>
      <c r="J265" s="1003"/>
      <c r="K265" s="1003"/>
      <c r="L265" s="1003"/>
      <c r="M265" s="1003"/>
      <c r="N265" s="1003"/>
      <c r="O265" s="1003"/>
      <c r="P265" s="1003"/>
      <c r="Q265" s="1003"/>
    </row>
    <row r="266" spans="3:17" ht="15.75" customHeight="1">
      <c r="C266" s="1003"/>
      <c r="D266" s="1003"/>
      <c r="E266" s="1003"/>
      <c r="F266" s="1003"/>
      <c r="G266" s="1003"/>
      <c r="H266" s="1003"/>
      <c r="I266" s="1003"/>
      <c r="J266" s="1003"/>
      <c r="K266" s="1003"/>
      <c r="L266" s="1003"/>
      <c r="M266" s="1003"/>
      <c r="N266" s="1003"/>
      <c r="O266" s="1003"/>
      <c r="P266" s="1003"/>
      <c r="Q266" s="1003"/>
    </row>
    <row r="267" spans="3:17" ht="15.75" customHeight="1">
      <c r="C267" s="1003"/>
      <c r="D267" s="1003"/>
      <c r="E267" s="1003"/>
      <c r="F267" s="1003"/>
      <c r="G267" s="1003"/>
      <c r="H267" s="1003"/>
      <c r="I267" s="1003"/>
      <c r="J267" s="1003"/>
      <c r="K267" s="1003"/>
      <c r="L267" s="1003"/>
      <c r="M267" s="1003"/>
      <c r="N267" s="1003"/>
      <c r="O267" s="1003"/>
      <c r="P267" s="1003"/>
      <c r="Q267" s="1003"/>
    </row>
    <row r="268" spans="3:17" ht="15.75" customHeight="1">
      <c r="C268" s="1003"/>
      <c r="D268" s="1003"/>
      <c r="E268" s="1003"/>
      <c r="F268" s="1003"/>
      <c r="G268" s="1003"/>
      <c r="H268" s="1003"/>
      <c r="I268" s="1003"/>
      <c r="J268" s="1003"/>
      <c r="K268" s="1003"/>
      <c r="L268" s="1003"/>
      <c r="M268" s="1003"/>
      <c r="N268" s="1003"/>
      <c r="O268" s="1003"/>
      <c r="P268" s="1003"/>
      <c r="Q268" s="1003"/>
    </row>
    <row r="269" spans="3:17" ht="15.75" customHeight="1">
      <c r="C269" s="1003"/>
      <c r="D269" s="1003"/>
      <c r="E269" s="1003"/>
      <c r="F269" s="1003"/>
      <c r="G269" s="1003"/>
      <c r="H269" s="1003"/>
      <c r="I269" s="1003"/>
      <c r="J269" s="1003"/>
      <c r="K269" s="1003"/>
      <c r="L269" s="1003"/>
      <c r="M269" s="1003"/>
      <c r="N269" s="1003"/>
      <c r="O269" s="1003"/>
      <c r="P269" s="1003"/>
      <c r="Q269" s="1003"/>
    </row>
    <row r="270" spans="3:17" ht="15.75" customHeight="1">
      <c r="C270" s="1003"/>
      <c r="D270" s="1003"/>
      <c r="E270" s="1003"/>
      <c r="F270" s="1003"/>
      <c r="G270" s="1003"/>
      <c r="H270" s="1003"/>
      <c r="I270" s="1003"/>
      <c r="J270" s="1003"/>
      <c r="K270" s="1003"/>
      <c r="L270" s="1003"/>
      <c r="M270" s="1003"/>
      <c r="N270" s="1003"/>
      <c r="O270" s="1003"/>
      <c r="P270" s="1003"/>
      <c r="Q270" s="1003"/>
    </row>
    <row r="271" spans="3:17" ht="15.75" customHeight="1">
      <c r="C271" s="1003"/>
      <c r="D271" s="1003"/>
      <c r="E271" s="1003"/>
      <c r="F271" s="1003"/>
      <c r="G271" s="1003"/>
      <c r="H271" s="1003"/>
      <c r="I271" s="1003"/>
      <c r="J271" s="1003"/>
      <c r="K271" s="1003"/>
      <c r="L271" s="1003"/>
      <c r="M271" s="1003"/>
      <c r="N271" s="1003"/>
      <c r="O271" s="1003"/>
      <c r="P271" s="1003"/>
      <c r="Q271" s="1003"/>
    </row>
    <row r="272" spans="3:17" ht="15.75" customHeight="1">
      <c r="C272" s="1003"/>
      <c r="D272" s="1003"/>
      <c r="E272" s="1003"/>
      <c r="F272" s="1003"/>
      <c r="G272" s="1003"/>
      <c r="H272" s="1003"/>
      <c r="I272" s="1003"/>
      <c r="J272" s="1003"/>
      <c r="K272" s="1003"/>
      <c r="L272" s="1003"/>
      <c r="M272" s="1003"/>
      <c r="N272" s="1003"/>
      <c r="O272" s="1003"/>
      <c r="P272" s="1003"/>
      <c r="Q272" s="1003"/>
    </row>
    <row r="273" spans="3:17" ht="15.75" customHeight="1">
      <c r="C273" s="1003"/>
      <c r="D273" s="1003"/>
      <c r="E273" s="1003"/>
      <c r="F273" s="1003"/>
      <c r="G273" s="1003"/>
      <c r="H273" s="1003"/>
      <c r="I273" s="1003"/>
      <c r="J273" s="1003"/>
      <c r="K273" s="1003"/>
      <c r="L273" s="1003"/>
      <c r="M273" s="1003"/>
      <c r="N273" s="1003"/>
      <c r="O273" s="1003"/>
      <c r="P273" s="1003"/>
      <c r="Q273" s="1003"/>
    </row>
    <row r="274" spans="3:17" ht="15.75" customHeight="1">
      <c r="C274" s="1003"/>
      <c r="D274" s="1003"/>
      <c r="E274" s="1003"/>
      <c r="F274" s="1003"/>
      <c r="G274" s="1003"/>
      <c r="H274" s="1003"/>
      <c r="I274" s="1003"/>
      <c r="J274" s="1003"/>
      <c r="K274" s="1003"/>
      <c r="L274" s="1003"/>
      <c r="M274" s="1003"/>
      <c r="N274" s="1003"/>
      <c r="O274" s="1003"/>
      <c r="P274" s="1003"/>
      <c r="Q274" s="1003"/>
    </row>
    <row r="275" spans="3:17" ht="15.75" customHeight="1">
      <c r="C275" s="1003"/>
      <c r="D275" s="1003"/>
      <c r="E275" s="1003"/>
      <c r="F275" s="1003"/>
      <c r="G275" s="1003"/>
      <c r="H275" s="1003"/>
      <c r="I275" s="1003"/>
      <c r="J275" s="1003"/>
      <c r="K275" s="1003"/>
      <c r="L275" s="1003"/>
      <c r="M275" s="1003"/>
      <c r="N275" s="1003"/>
      <c r="O275" s="1003"/>
      <c r="P275" s="1003"/>
      <c r="Q275" s="1003"/>
    </row>
    <row r="276" spans="3:17" ht="15.75" customHeight="1">
      <c r="C276" s="1003"/>
      <c r="D276" s="1003"/>
      <c r="E276" s="1003"/>
      <c r="F276" s="1003"/>
      <c r="G276" s="1003"/>
      <c r="H276" s="1003"/>
      <c r="I276" s="1003"/>
      <c r="J276" s="1003"/>
      <c r="K276" s="1003"/>
      <c r="L276" s="1003"/>
      <c r="M276" s="1003"/>
      <c r="N276" s="1003"/>
      <c r="O276" s="1003"/>
      <c r="P276" s="1003"/>
      <c r="Q276" s="1003"/>
    </row>
    <row r="277" spans="3:17" ht="15.75" customHeight="1">
      <c r="C277" s="1003"/>
      <c r="D277" s="1003"/>
      <c r="E277" s="1003"/>
      <c r="F277" s="1003"/>
      <c r="G277" s="1003"/>
      <c r="H277" s="1003"/>
      <c r="I277" s="1003"/>
      <c r="J277" s="1003"/>
      <c r="K277" s="1003"/>
      <c r="L277" s="1003"/>
      <c r="M277" s="1003"/>
      <c r="N277" s="1003"/>
      <c r="O277" s="1003"/>
      <c r="P277" s="1003"/>
      <c r="Q277" s="1003"/>
    </row>
    <row r="278" spans="3:17" ht="15.75" customHeight="1">
      <c r="C278" s="1003"/>
      <c r="D278" s="1003"/>
      <c r="E278" s="1003"/>
      <c r="F278" s="1003"/>
      <c r="G278" s="1003"/>
      <c r="H278" s="1003"/>
      <c r="I278" s="1003"/>
      <c r="J278" s="1003"/>
      <c r="K278" s="1003"/>
      <c r="L278" s="1003"/>
      <c r="M278" s="1003"/>
      <c r="N278" s="1003"/>
      <c r="O278" s="1003"/>
      <c r="P278" s="1003"/>
      <c r="Q278" s="1003"/>
    </row>
    <row r="279" spans="3:17" ht="15.75" customHeight="1">
      <c r="C279" s="1003"/>
      <c r="D279" s="1003"/>
      <c r="E279" s="1003"/>
      <c r="F279" s="1003"/>
      <c r="G279" s="1003"/>
      <c r="H279" s="1003"/>
      <c r="I279" s="1003"/>
      <c r="J279" s="1003"/>
      <c r="K279" s="1003"/>
      <c r="L279" s="1003"/>
      <c r="M279" s="1003"/>
      <c r="N279" s="1003"/>
      <c r="O279" s="1003"/>
      <c r="P279" s="1003"/>
      <c r="Q279" s="1003"/>
    </row>
    <row r="280" spans="3:17" ht="15.75" customHeight="1">
      <c r="C280" s="1003"/>
      <c r="D280" s="1003"/>
      <c r="E280" s="1003"/>
      <c r="F280" s="1003"/>
      <c r="G280" s="1003"/>
      <c r="H280" s="1003"/>
      <c r="I280" s="1003"/>
      <c r="J280" s="1003"/>
      <c r="K280" s="1003"/>
      <c r="L280" s="1003"/>
      <c r="M280" s="1003"/>
      <c r="N280" s="1003"/>
      <c r="O280" s="1003"/>
      <c r="P280" s="1003"/>
      <c r="Q280" s="1003"/>
    </row>
    <row r="281" spans="3:17" ht="15.75" customHeight="1">
      <c r="C281" s="1003"/>
      <c r="D281" s="1003"/>
      <c r="E281" s="1003"/>
      <c r="F281" s="1003"/>
      <c r="G281" s="1003"/>
      <c r="H281" s="1003"/>
      <c r="I281" s="1003"/>
      <c r="J281" s="1003"/>
      <c r="K281" s="1003"/>
      <c r="L281" s="1003"/>
      <c r="M281" s="1003"/>
      <c r="N281" s="1003"/>
      <c r="O281" s="1003"/>
      <c r="P281" s="1003"/>
      <c r="Q281" s="1003"/>
    </row>
    <row r="282" spans="3:17" ht="15.75" customHeight="1">
      <c r="C282" s="1003"/>
      <c r="D282" s="1003"/>
      <c r="E282" s="1003"/>
      <c r="F282" s="1003"/>
      <c r="G282" s="1003"/>
      <c r="H282" s="1003"/>
      <c r="I282" s="1003"/>
      <c r="J282" s="1003"/>
      <c r="K282" s="1003"/>
      <c r="L282" s="1003"/>
      <c r="M282" s="1003"/>
      <c r="N282" s="1003"/>
      <c r="O282" s="1003"/>
      <c r="P282" s="1003"/>
      <c r="Q282" s="1003"/>
    </row>
    <row r="283" spans="3:17" ht="15.75" customHeight="1">
      <c r="C283" s="1003"/>
      <c r="D283" s="1003"/>
      <c r="E283" s="1003"/>
      <c r="F283" s="1003"/>
      <c r="G283" s="1003"/>
      <c r="H283" s="1003"/>
      <c r="I283" s="1003"/>
      <c r="J283" s="1003"/>
      <c r="K283" s="1003"/>
      <c r="L283" s="1003"/>
      <c r="M283" s="1003"/>
      <c r="N283" s="1003"/>
      <c r="O283" s="1003"/>
      <c r="P283" s="1003"/>
      <c r="Q283" s="1003"/>
    </row>
    <row r="284" spans="3:17" ht="15.75" customHeight="1">
      <c r="C284" s="1003"/>
      <c r="D284" s="1003"/>
      <c r="E284" s="1003"/>
      <c r="F284" s="1003"/>
      <c r="G284" s="1003"/>
      <c r="H284" s="1003"/>
      <c r="I284" s="1003"/>
      <c r="J284" s="1003"/>
      <c r="K284" s="1003"/>
      <c r="L284" s="1003"/>
      <c r="M284" s="1003"/>
      <c r="N284" s="1003"/>
      <c r="O284" s="1003"/>
      <c r="P284" s="1003"/>
      <c r="Q284" s="1003"/>
    </row>
    <row r="285" spans="3:17" ht="15.75" customHeight="1">
      <c r="C285" s="1003"/>
      <c r="D285" s="1003"/>
      <c r="E285" s="1003"/>
      <c r="F285" s="1003"/>
      <c r="G285" s="1003"/>
      <c r="H285" s="1003"/>
      <c r="I285" s="1003"/>
      <c r="J285" s="1003"/>
      <c r="K285" s="1003"/>
      <c r="L285" s="1003"/>
      <c r="M285" s="1003"/>
      <c r="N285" s="1003"/>
      <c r="O285" s="1003"/>
      <c r="P285" s="1003"/>
      <c r="Q285" s="1003"/>
    </row>
    <row r="286" spans="3:17" ht="15.75" customHeight="1">
      <c r="C286" s="1003"/>
      <c r="D286" s="1003"/>
      <c r="E286" s="1003"/>
      <c r="F286" s="1003"/>
      <c r="G286" s="1003"/>
      <c r="H286" s="1003"/>
      <c r="I286" s="1003"/>
      <c r="J286" s="1003"/>
      <c r="K286" s="1003"/>
      <c r="L286" s="1003"/>
      <c r="M286" s="1003"/>
      <c r="N286" s="1003"/>
      <c r="O286" s="1003"/>
      <c r="P286" s="1003"/>
      <c r="Q286" s="1003"/>
    </row>
    <row r="287" spans="3:17" ht="15.75" customHeight="1">
      <c r="C287" s="1003"/>
      <c r="D287" s="1003"/>
      <c r="E287" s="1003"/>
      <c r="F287" s="1003"/>
      <c r="G287" s="1003"/>
      <c r="H287" s="1003"/>
      <c r="I287" s="1003"/>
      <c r="J287" s="1003"/>
      <c r="K287" s="1003"/>
      <c r="L287" s="1003"/>
      <c r="M287" s="1003"/>
      <c r="N287" s="1003"/>
      <c r="O287" s="1003"/>
      <c r="P287" s="1003"/>
      <c r="Q287" s="1003"/>
    </row>
    <row r="288" spans="3:17" ht="15.75" customHeight="1">
      <c r="C288" s="1003"/>
      <c r="D288" s="1003"/>
      <c r="E288" s="1003"/>
      <c r="F288" s="1003"/>
      <c r="G288" s="1003"/>
      <c r="H288" s="1003"/>
      <c r="I288" s="1003"/>
      <c r="J288" s="1003"/>
      <c r="K288" s="1003"/>
      <c r="L288" s="1003"/>
      <c r="M288" s="1003"/>
      <c r="N288" s="1003"/>
      <c r="O288" s="1003"/>
      <c r="P288" s="1003"/>
      <c r="Q288" s="1003"/>
    </row>
    <row r="289" spans="3:17" ht="15.75" customHeight="1">
      <c r="C289" s="1003"/>
      <c r="D289" s="1003"/>
      <c r="E289" s="1003"/>
      <c r="F289" s="1003"/>
      <c r="G289" s="1003"/>
      <c r="H289" s="1003"/>
      <c r="I289" s="1003"/>
      <c r="J289" s="1003"/>
      <c r="K289" s="1003"/>
      <c r="L289" s="1003"/>
      <c r="M289" s="1003"/>
      <c r="N289" s="1003"/>
      <c r="O289" s="1003"/>
      <c r="P289" s="1003"/>
      <c r="Q289" s="1003"/>
    </row>
    <row r="290" spans="3:17" ht="15.75" customHeight="1">
      <c r="C290" s="1003"/>
      <c r="D290" s="1003"/>
      <c r="E290" s="1003"/>
      <c r="F290" s="1003"/>
      <c r="G290" s="1003"/>
      <c r="H290" s="1003"/>
      <c r="I290" s="1003"/>
      <c r="J290" s="1003"/>
      <c r="K290" s="1003"/>
      <c r="L290" s="1003"/>
      <c r="M290" s="1003"/>
      <c r="N290" s="1003"/>
      <c r="O290" s="1003"/>
      <c r="P290" s="1003"/>
      <c r="Q290" s="1003"/>
    </row>
    <row r="291" spans="3:17" ht="15.75" customHeight="1">
      <c r="C291" s="1003"/>
      <c r="D291" s="1003"/>
      <c r="E291" s="1003"/>
      <c r="F291" s="1003"/>
      <c r="G291" s="1003"/>
      <c r="H291" s="1003"/>
      <c r="I291" s="1003"/>
      <c r="J291" s="1003"/>
      <c r="K291" s="1003"/>
      <c r="L291" s="1003"/>
      <c r="M291" s="1003"/>
      <c r="N291" s="1003"/>
      <c r="O291" s="1003"/>
      <c r="P291" s="1003"/>
      <c r="Q291" s="1003"/>
    </row>
    <row r="292" spans="3:17" ht="15.75" customHeight="1">
      <c r="C292" s="1003"/>
      <c r="D292" s="1003"/>
      <c r="E292" s="1003"/>
      <c r="F292" s="1003"/>
      <c r="G292" s="1003"/>
      <c r="H292" s="1003"/>
      <c r="I292" s="1003"/>
      <c r="J292" s="1003"/>
      <c r="K292" s="1003"/>
      <c r="L292" s="1003"/>
      <c r="M292" s="1003"/>
      <c r="N292" s="1003"/>
      <c r="O292" s="1003"/>
      <c r="P292" s="1003"/>
      <c r="Q292" s="1003"/>
    </row>
    <row r="293" spans="3:17" ht="15.75" customHeight="1">
      <c r="C293" s="1003"/>
      <c r="D293" s="1003"/>
      <c r="E293" s="1003"/>
      <c r="F293" s="1003"/>
      <c r="G293" s="1003"/>
      <c r="H293" s="1003"/>
      <c r="I293" s="1003"/>
      <c r="J293" s="1003"/>
      <c r="K293" s="1003"/>
      <c r="L293" s="1003"/>
      <c r="M293" s="1003"/>
      <c r="N293" s="1003"/>
      <c r="O293" s="1003"/>
      <c r="P293" s="1003"/>
      <c r="Q293" s="1003"/>
    </row>
    <row r="294" spans="3:17" ht="15.75" customHeight="1">
      <c r="C294" s="1003"/>
      <c r="D294" s="1003"/>
      <c r="E294" s="1003"/>
      <c r="F294" s="1003"/>
      <c r="G294" s="1003"/>
      <c r="H294" s="1003"/>
      <c r="I294" s="1003"/>
      <c r="J294" s="1003"/>
      <c r="K294" s="1003"/>
      <c r="L294" s="1003"/>
      <c r="M294" s="1003"/>
      <c r="N294" s="1003"/>
      <c r="O294" s="1003"/>
      <c r="P294" s="1003"/>
      <c r="Q294" s="1003"/>
    </row>
    <row r="295" spans="3:17" ht="15.75" customHeight="1">
      <c r="C295" s="1003"/>
      <c r="D295" s="1003"/>
      <c r="E295" s="1003"/>
      <c r="F295" s="1003"/>
      <c r="G295" s="1003"/>
      <c r="H295" s="1003"/>
      <c r="I295" s="1003"/>
      <c r="J295" s="1003"/>
      <c r="K295" s="1003"/>
      <c r="L295" s="1003"/>
      <c r="M295" s="1003"/>
      <c r="N295" s="1003"/>
      <c r="O295" s="1003"/>
      <c r="P295" s="1003"/>
      <c r="Q295" s="1003"/>
    </row>
    <row r="296" spans="3:17" ht="15.75" customHeight="1">
      <c r="C296" s="1003"/>
      <c r="D296" s="1003"/>
      <c r="E296" s="1003"/>
      <c r="F296" s="1003"/>
      <c r="G296" s="1003"/>
      <c r="H296" s="1003"/>
      <c r="I296" s="1003"/>
      <c r="J296" s="1003"/>
      <c r="K296" s="1003"/>
      <c r="L296" s="1003"/>
      <c r="M296" s="1003"/>
      <c r="N296" s="1003"/>
      <c r="O296" s="1003"/>
      <c r="P296" s="1003"/>
      <c r="Q296" s="1003"/>
    </row>
    <row r="297" spans="3:17" ht="15.75" customHeight="1">
      <c r="C297" s="1003"/>
      <c r="D297" s="1003"/>
      <c r="E297" s="1003"/>
      <c r="F297" s="1003"/>
      <c r="G297" s="1003"/>
      <c r="H297" s="1003"/>
      <c r="I297" s="1003"/>
      <c r="J297" s="1003"/>
      <c r="K297" s="1003"/>
      <c r="L297" s="1003"/>
      <c r="M297" s="1003"/>
      <c r="N297" s="1003"/>
      <c r="O297" s="1003"/>
      <c r="P297" s="1003"/>
      <c r="Q297" s="1003"/>
    </row>
    <row r="298" spans="3:17" ht="15.75" customHeight="1">
      <c r="C298" s="1003"/>
      <c r="D298" s="1003"/>
      <c r="E298" s="1003"/>
      <c r="F298" s="1003"/>
      <c r="G298" s="1003"/>
      <c r="H298" s="1003"/>
      <c r="I298" s="1003"/>
      <c r="J298" s="1003"/>
      <c r="K298" s="1003"/>
      <c r="L298" s="1003"/>
      <c r="M298" s="1003"/>
      <c r="N298" s="1003"/>
      <c r="O298" s="1003"/>
      <c r="P298" s="1003"/>
      <c r="Q298" s="1003"/>
    </row>
    <row r="299" spans="3:17" ht="15.75" customHeight="1">
      <c r="C299" s="1003"/>
      <c r="D299" s="1003"/>
      <c r="E299" s="1003"/>
      <c r="F299" s="1003"/>
      <c r="G299" s="1003"/>
      <c r="H299" s="1003"/>
      <c r="I299" s="1003"/>
      <c r="J299" s="1003"/>
      <c r="K299" s="1003"/>
      <c r="L299" s="1003"/>
      <c r="M299" s="1003"/>
      <c r="N299" s="1003"/>
      <c r="O299" s="1003"/>
      <c r="P299" s="1003"/>
      <c r="Q299" s="1003"/>
    </row>
    <row r="300" spans="3:17" ht="15.75" customHeight="1">
      <c r="C300" s="1003"/>
      <c r="D300" s="1003"/>
      <c r="E300" s="1003"/>
      <c r="F300" s="1003"/>
      <c r="G300" s="1003"/>
      <c r="H300" s="1003"/>
      <c r="I300" s="1003"/>
      <c r="J300" s="1003"/>
      <c r="K300" s="1003"/>
      <c r="L300" s="1003"/>
      <c r="M300" s="1003"/>
      <c r="N300" s="1003"/>
      <c r="O300" s="1003"/>
      <c r="P300" s="1003"/>
      <c r="Q300" s="1003"/>
    </row>
    <row r="301" spans="3:17" ht="15.75" customHeight="1">
      <c r="C301" s="1003"/>
      <c r="D301" s="1003"/>
      <c r="E301" s="1003"/>
      <c r="F301" s="1003"/>
      <c r="G301" s="1003"/>
      <c r="H301" s="1003"/>
      <c r="I301" s="1003"/>
      <c r="J301" s="1003"/>
      <c r="K301" s="1003"/>
      <c r="L301" s="1003"/>
      <c r="M301" s="1003"/>
      <c r="N301" s="1003"/>
      <c r="O301" s="1003"/>
      <c r="P301" s="1003"/>
      <c r="Q301" s="1003"/>
    </row>
    <row r="302" spans="3:17" ht="15.75" customHeight="1">
      <c r="C302" s="1003"/>
      <c r="D302" s="1003"/>
      <c r="E302" s="1003"/>
      <c r="F302" s="1003"/>
      <c r="G302" s="1003"/>
      <c r="H302" s="1003"/>
      <c r="I302" s="1003"/>
      <c r="J302" s="1003"/>
      <c r="K302" s="1003"/>
      <c r="L302" s="1003"/>
      <c r="M302" s="1003"/>
      <c r="N302" s="1003"/>
      <c r="O302" s="1003"/>
      <c r="P302" s="1003"/>
      <c r="Q302" s="1003"/>
    </row>
    <row r="303" spans="3:17" ht="15.75" customHeight="1">
      <c r="C303" s="1003"/>
      <c r="D303" s="1003"/>
      <c r="E303" s="1003"/>
      <c r="F303" s="1003"/>
      <c r="G303" s="1003"/>
      <c r="H303" s="1003"/>
      <c r="I303" s="1003"/>
      <c r="J303" s="1003"/>
      <c r="K303" s="1003"/>
      <c r="L303" s="1003"/>
      <c r="M303" s="1003"/>
      <c r="N303" s="1003"/>
      <c r="O303" s="1003"/>
      <c r="P303" s="1003"/>
      <c r="Q303" s="1003"/>
    </row>
    <row r="304" spans="3:17" ht="15.75" customHeight="1">
      <c r="C304" s="1003"/>
      <c r="D304" s="1003"/>
      <c r="E304" s="1003"/>
      <c r="F304" s="1003"/>
      <c r="G304" s="1003"/>
      <c r="H304" s="1003"/>
      <c r="I304" s="1003"/>
      <c r="J304" s="1003"/>
      <c r="K304" s="1003"/>
      <c r="L304" s="1003"/>
      <c r="M304" s="1003"/>
      <c r="N304" s="1003"/>
      <c r="O304" s="1003"/>
      <c r="P304" s="1003"/>
      <c r="Q304" s="1003"/>
    </row>
    <row r="305" spans="3:17" ht="15.75" customHeight="1">
      <c r="C305" s="1003"/>
      <c r="D305" s="1003"/>
      <c r="E305" s="1003"/>
      <c r="F305" s="1003"/>
      <c r="G305" s="1003"/>
      <c r="H305" s="1003"/>
      <c r="I305" s="1003"/>
      <c r="J305" s="1003"/>
      <c r="K305" s="1003"/>
      <c r="L305" s="1003"/>
      <c r="M305" s="1003"/>
      <c r="N305" s="1003"/>
      <c r="O305" s="1003"/>
      <c r="P305" s="1003"/>
      <c r="Q305" s="1003"/>
    </row>
    <row r="306" spans="3:17" ht="15.75" customHeight="1">
      <c r="C306" s="1003"/>
      <c r="D306" s="1003"/>
      <c r="E306" s="1003"/>
      <c r="F306" s="1003"/>
      <c r="G306" s="1003"/>
      <c r="H306" s="1003"/>
      <c r="I306" s="1003"/>
      <c r="J306" s="1003"/>
      <c r="K306" s="1003"/>
      <c r="L306" s="1003"/>
      <c r="M306" s="1003"/>
      <c r="N306" s="1003"/>
      <c r="O306" s="1003"/>
      <c r="P306" s="1003"/>
      <c r="Q306" s="1003"/>
    </row>
    <row r="307" spans="3:17" ht="15.75" customHeight="1">
      <c r="C307" s="1003"/>
      <c r="D307" s="1003"/>
      <c r="E307" s="1003"/>
      <c r="F307" s="1003"/>
      <c r="G307" s="1003"/>
      <c r="H307" s="1003"/>
      <c r="I307" s="1003"/>
      <c r="J307" s="1003"/>
      <c r="K307" s="1003"/>
      <c r="L307" s="1003"/>
      <c r="M307" s="1003"/>
      <c r="N307" s="1003"/>
      <c r="O307" s="1003"/>
      <c r="P307" s="1003"/>
      <c r="Q307" s="1003"/>
    </row>
    <row r="308" spans="3:17" ht="15.75" customHeight="1">
      <c r="C308" s="1003"/>
      <c r="D308" s="1003"/>
      <c r="E308" s="1003"/>
      <c r="F308" s="1003"/>
      <c r="G308" s="1003"/>
      <c r="H308" s="1003"/>
      <c r="I308" s="1003"/>
      <c r="J308" s="1003"/>
      <c r="K308" s="1003"/>
      <c r="L308" s="1003"/>
      <c r="M308" s="1003"/>
      <c r="N308" s="1003"/>
      <c r="O308" s="1003"/>
      <c r="P308" s="1003"/>
      <c r="Q308" s="1003"/>
    </row>
    <row r="309" spans="3:17" ht="15.75" customHeight="1">
      <c r="C309" s="1003"/>
      <c r="D309" s="1003"/>
      <c r="E309" s="1003"/>
      <c r="F309" s="1003"/>
      <c r="G309" s="1003"/>
      <c r="H309" s="1003"/>
      <c r="I309" s="1003"/>
      <c r="J309" s="1003"/>
      <c r="K309" s="1003"/>
      <c r="L309" s="1003"/>
      <c r="M309" s="1003"/>
      <c r="N309" s="1003"/>
      <c r="O309" s="1003"/>
      <c r="P309" s="1003"/>
      <c r="Q309" s="1003"/>
    </row>
    <row r="310" spans="3:17" ht="15.75" customHeight="1">
      <c r="C310" s="1003"/>
      <c r="D310" s="1003"/>
      <c r="E310" s="1003"/>
      <c r="F310" s="1003"/>
      <c r="G310" s="1003"/>
      <c r="H310" s="1003"/>
      <c r="I310" s="1003"/>
      <c r="J310" s="1003"/>
      <c r="K310" s="1003"/>
      <c r="L310" s="1003"/>
      <c r="M310" s="1003"/>
      <c r="N310" s="1003"/>
      <c r="O310" s="1003"/>
      <c r="P310" s="1003"/>
      <c r="Q310" s="1003"/>
    </row>
    <row r="311" spans="3:17" ht="15.75" customHeight="1">
      <c r="C311" s="1003"/>
      <c r="D311" s="1003"/>
      <c r="E311" s="1003"/>
      <c r="F311" s="1003"/>
      <c r="G311" s="1003"/>
      <c r="H311" s="1003"/>
      <c r="I311" s="1003"/>
      <c r="J311" s="1003"/>
      <c r="K311" s="1003"/>
      <c r="L311" s="1003"/>
      <c r="M311" s="1003"/>
      <c r="N311" s="1003"/>
      <c r="O311" s="1003"/>
      <c r="P311" s="1003"/>
      <c r="Q311" s="1003"/>
    </row>
    <row r="312" spans="3:17" ht="15.75" customHeight="1">
      <c r="C312" s="1003"/>
      <c r="D312" s="1003"/>
      <c r="E312" s="1003"/>
      <c r="F312" s="1003"/>
      <c r="G312" s="1003"/>
      <c r="H312" s="1003"/>
      <c r="I312" s="1003"/>
      <c r="J312" s="1003"/>
      <c r="K312" s="1003"/>
      <c r="L312" s="1003"/>
      <c r="M312" s="1003"/>
      <c r="N312" s="1003"/>
      <c r="O312" s="1003"/>
      <c r="P312" s="1003"/>
      <c r="Q312" s="1003"/>
    </row>
    <row r="313" spans="3:17" ht="15.75" customHeight="1">
      <c r="C313" s="1003"/>
      <c r="D313" s="1003"/>
      <c r="E313" s="1003"/>
      <c r="F313" s="1003"/>
      <c r="G313" s="1003"/>
      <c r="H313" s="1003"/>
      <c r="I313" s="1003"/>
      <c r="J313" s="1003"/>
      <c r="K313" s="1003"/>
      <c r="L313" s="1003"/>
      <c r="M313" s="1003"/>
      <c r="N313" s="1003"/>
      <c r="O313" s="1003"/>
      <c r="P313" s="1003"/>
      <c r="Q313" s="1003"/>
    </row>
    <row r="314" spans="3:17" ht="15.75" customHeight="1">
      <c r="C314" s="1003"/>
      <c r="D314" s="1003"/>
      <c r="E314" s="1003"/>
      <c r="F314" s="1003"/>
      <c r="G314" s="1003"/>
      <c r="H314" s="1003"/>
      <c r="I314" s="1003"/>
      <c r="J314" s="1003"/>
      <c r="K314" s="1003"/>
      <c r="L314" s="1003"/>
      <c r="M314" s="1003"/>
      <c r="N314" s="1003"/>
      <c r="O314" s="1003"/>
      <c r="P314" s="1003"/>
      <c r="Q314" s="1003"/>
    </row>
    <row r="315" spans="3:17" ht="15.75" customHeight="1">
      <c r="C315" s="1003"/>
      <c r="D315" s="1003"/>
      <c r="E315" s="1003"/>
      <c r="F315" s="1003"/>
      <c r="G315" s="1003"/>
      <c r="H315" s="1003"/>
      <c r="I315" s="1003"/>
      <c r="J315" s="1003"/>
      <c r="K315" s="1003"/>
      <c r="L315" s="1003"/>
      <c r="M315" s="1003"/>
      <c r="N315" s="1003"/>
      <c r="O315" s="1003"/>
      <c r="P315" s="1003"/>
      <c r="Q315" s="1003"/>
    </row>
    <row r="316" spans="3:17" ht="15.75" customHeight="1">
      <c r="C316" s="1003"/>
      <c r="D316" s="1003"/>
      <c r="E316" s="1003"/>
      <c r="F316" s="1003"/>
      <c r="G316" s="1003"/>
      <c r="H316" s="1003"/>
      <c r="I316" s="1003"/>
      <c r="J316" s="1003"/>
      <c r="K316" s="1003"/>
      <c r="L316" s="1003"/>
      <c r="M316" s="1003"/>
      <c r="N316" s="1003"/>
      <c r="O316" s="1003"/>
      <c r="P316" s="1003"/>
      <c r="Q316" s="1003"/>
    </row>
    <row r="317" spans="3:17" ht="15.75" customHeight="1">
      <c r="C317" s="1003"/>
      <c r="D317" s="1003"/>
      <c r="E317" s="1003"/>
      <c r="F317" s="1003"/>
      <c r="G317" s="1003"/>
      <c r="H317" s="1003"/>
      <c r="I317" s="1003"/>
      <c r="J317" s="1003"/>
      <c r="K317" s="1003"/>
      <c r="L317" s="1003"/>
      <c r="M317" s="1003"/>
      <c r="N317" s="1003"/>
      <c r="O317" s="1003"/>
      <c r="P317" s="1003"/>
      <c r="Q317" s="1003"/>
    </row>
    <row r="318" spans="3:17" ht="15.75" customHeight="1">
      <c r="C318" s="1003"/>
      <c r="D318" s="1003"/>
      <c r="E318" s="1003"/>
      <c r="F318" s="1003"/>
      <c r="G318" s="1003"/>
      <c r="H318" s="1003"/>
      <c r="I318" s="1003"/>
      <c r="J318" s="1003"/>
      <c r="K318" s="1003"/>
      <c r="L318" s="1003"/>
      <c r="M318" s="1003"/>
      <c r="N318" s="1003"/>
      <c r="O318" s="1003"/>
      <c r="P318" s="1003"/>
      <c r="Q318" s="1003"/>
    </row>
    <row r="319" spans="3:17" ht="15.75" customHeight="1">
      <c r="C319" s="1003"/>
      <c r="D319" s="1003"/>
      <c r="E319" s="1003"/>
      <c r="F319" s="1003"/>
      <c r="G319" s="1003"/>
      <c r="H319" s="1003"/>
      <c r="I319" s="1003"/>
      <c r="J319" s="1003"/>
      <c r="K319" s="1003"/>
      <c r="L319" s="1003"/>
      <c r="M319" s="1003"/>
      <c r="N319" s="1003"/>
      <c r="O319" s="1003"/>
      <c r="P319" s="1003"/>
      <c r="Q319" s="1003"/>
    </row>
    <row r="320" spans="3:17" ht="15.75" customHeight="1">
      <c r="C320" s="1003"/>
      <c r="D320" s="1003"/>
      <c r="E320" s="1003"/>
      <c r="F320" s="1003"/>
      <c r="G320" s="1003"/>
      <c r="H320" s="1003"/>
      <c r="I320" s="1003"/>
      <c r="J320" s="1003"/>
      <c r="K320" s="1003"/>
      <c r="L320" s="1003"/>
      <c r="M320" s="1003"/>
      <c r="N320" s="1003"/>
      <c r="O320" s="1003"/>
      <c r="P320" s="1003"/>
      <c r="Q320" s="1003"/>
    </row>
    <row r="321" spans="3:17" ht="15.75" customHeight="1">
      <c r="C321" s="1003"/>
      <c r="D321" s="1003"/>
      <c r="E321" s="1003"/>
      <c r="F321" s="1003"/>
      <c r="G321" s="1003"/>
      <c r="H321" s="1003"/>
      <c r="I321" s="1003"/>
      <c r="J321" s="1003"/>
      <c r="K321" s="1003"/>
      <c r="L321" s="1003"/>
      <c r="M321" s="1003"/>
      <c r="N321" s="1003"/>
      <c r="O321" s="1003"/>
      <c r="P321" s="1003"/>
      <c r="Q321" s="1003"/>
    </row>
    <row r="322" spans="3:17" ht="15.75" customHeight="1">
      <c r="C322" s="1003"/>
      <c r="D322" s="1003"/>
      <c r="E322" s="1003"/>
      <c r="F322" s="1003"/>
      <c r="G322" s="1003"/>
      <c r="H322" s="1003"/>
      <c r="I322" s="1003"/>
      <c r="J322" s="1003"/>
      <c r="K322" s="1003"/>
      <c r="L322" s="1003"/>
      <c r="M322" s="1003"/>
      <c r="N322" s="1003"/>
      <c r="O322" s="1003"/>
      <c r="P322" s="1003"/>
      <c r="Q322" s="1003"/>
    </row>
    <row r="323" spans="3:17" ht="15.75" customHeight="1">
      <c r="C323" s="1003"/>
      <c r="D323" s="1003"/>
      <c r="E323" s="1003"/>
      <c r="F323" s="1003"/>
      <c r="G323" s="1003"/>
      <c r="H323" s="1003"/>
      <c r="I323" s="1003"/>
      <c r="J323" s="1003"/>
      <c r="K323" s="1003"/>
      <c r="L323" s="1003"/>
      <c r="M323" s="1003"/>
      <c r="N323" s="1003"/>
      <c r="O323" s="1003"/>
      <c r="P323" s="1003"/>
      <c r="Q323" s="1003"/>
    </row>
    <row r="324" spans="3:17" ht="15.75" customHeight="1">
      <c r="C324" s="1003"/>
      <c r="D324" s="1003"/>
      <c r="E324" s="1003"/>
      <c r="F324" s="1003"/>
      <c r="G324" s="1003"/>
      <c r="H324" s="1003"/>
      <c r="I324" s="1003"/>
      <c r="J324" s="1003"/>
      <c r="K324" s="1003"/>
      <c r="L324" s="1003"/>
      <c r="M324" s="1003"/>
      <c r="N324" s="1003"/>
      <c r="O324" s="1003"/>
      <c r="P324" s="1003"/>
      <c r="Q324" s="1003"/>
    </row>
    <row r="325" spans="3:17" ht="15.75" customHeight="1">
      <c r="C325" s="1003"/>
      <c r="D325" s="1003"/>
      <c r="E325" s="1003"/>
      <c r="F325" s="1003"/>
      <c r="G325" s="1003"/>
      <c r="H325" s="1003"/>
      <c r="I325" s="1003"/>
      <c r="J325" s="1003"/>
      <c r="K325" s="1003"/>
      <c r="L325" s="1003"/>
      <c r="M325" s="1003"/>
      <c r="N325" s="1003"/>
      <c r="O325" s="1003"/>
      <c r="P325" s="1003"/>
      <c r="Q325" s="1003"/>
    </row>
    <row r="326" spans="3:17" ht="15.75" customHeight="1">
      <c r="C326" s="1003"/>
      <c r="D326" s="1003"/>
      <c r="E326" s="1003"/>
      <c r="F326" s="1003"/>
      <c r="G326" s="1003"/>
      <c r="H326" s="1003"/>
      <c r="I326" s="1003"/>
      <c r="J326" s="1003"/>
      <c r="K326" s="1003"/>
      <c r="L326" s="1003"/>
      <c r="M326" s="1003"/>
      <c r="N326" s="1003"/>
      <c r="O326" s="1003"/>
      <c r="P326" s="1003"/>
      <c r="Q326" s="1003"/>
    </row>
    <row r="327" spans="3:17" ht="15.75" customHeight="1">
      <c r="C327" s="1003"/>
      <c r="D327" s="1003"/>
      <c r="E327" s="1003"/>
      <c r="F327" s="1003"/>
      <c r="G327" s="1003"/>
      <c r="H327" s="1003"/>
      <c r="I327" s="1003"/>
      <c r="J327" s="1003"/>
      <c r="K327" s="1003"/>
      <c r="L327" s="1003"/>
      <c r="M327" s="1003"/>
      <c r="N327" s="1003"/>
      <c r="O327" s="1003"/>
      <c r="P327" s="1003"/>
      <c r="Q327" s="1003"/>
    </row>
    <row r="328" spans="3:17" ht="15.75" customHeight="1">
      <c r="C328" s="1003"/>
      <c r="D328" s="1003"/>
      <c r="E328" s="1003"/>
      <c r="F328" s="1003"/>
      <c r="G328" s="1003"/>
      <c r="H328" s="1003"/>
      <c r="I328" s="1003"/>
      <c r="J328" s="1003"/>
      <c r="K328" s="1003"/>
      <c r="L328" s="1003"/>
      <c r="M328" s="1003"/>
      <c r="N328" s="1003"/>
      <c r="O328" s="1003"/>
      <c r="P328" s="1003"/>
      <c r="Q328" s="1003"/>
    </row>
    <row r="329" spans="3:17" ht="15.75" customHeight="1">
      <c r="C329" s="1003"/>
      <c r="D329" s="1003"/>
      <c r="E329" s="1003"/>
      <c r="F329" s="1003"/>
      <c r="G329" s="1003"/>
      <c r="H329" s="1003"/>
      <c r="I329" s="1003"/>
      <c r="J329" s="1003"/>
      <c r="K329" s="1003"/>
      <c r="L329" s="1003"/>
      <c r="M329" s="1003"/>
      <c r="N329" s="1003"/>
      <c r="O329" s="1003"/>
      <c r="P329" s="1003"/>
      <c r="Q329" s="1003"/>
    </row>
    <row r="330" spans="3:17" ht="15.75" customHeight="1">
      <c r="C330" s="1003"/>
      <c r="D330" s="1003"/>
      <c r="E330" s="1003"/>
      <c r="F330" s="1003"/>
      <c r="G330" s="1003"/>
      <c r="H330" s="1003"/>
      <c r="I330" s="1003"/>
      <c r="J330" s="1003"/>
      <c r="K330" s="1003"/>
      <c r="L330" s="1003"/>
      <c r="M330" s="1003"/>
      <c r="N330" s="1003"/>
      <c r="O330" s="1003"/>
      <c r="P330" s="1003"/>
      <c r="Q330" s="1003"/>
    </row>
    <row r="331" spans="3:17" ht="15.75" customHeight="1">
      <c r="C331" s="1003"/>
      <c r="D331" s="1003"/>
      <c r="E331" s="1003"/>
      <c r="F331" s="1003"/>
      <c r="G331" s="1003"/>
      <c r="H331" s="1003"/>
      <c r="I331" s="1003"/>
      <c r="J331" s="1003"/>
      <c r="K331" s="1003"/>
      <c r="L331" s="1003"/>
      <c r="M331" s="1003"/>
      <c r="N331" s="1003"/>
      <c r="O331" s="1003"/>
      <c r="P331" s="1003"/>
      <c r="Q331" s="1003"/>
    </row>
    <row r="332" spans="3:17" ht="15.75" customHeight="1">
      <c r="C332" s="1003"/>
      <c r="D332" s="1003"/>
      <c r="E332" s="1003"/>
      <c r="F332" s="1003"/>
      <c r="G332" s="1003"/>
      <c r="H332" s="1003"/>
      <c r="I332" s="1003"/>
      <c r="J332" s="1003"/>
      <c r="K332" s="1003"/>
      <c r="L332" s="1003"/>
      <c r="M332" s="1003"/>
      <c r="N332" s="1003"/>
      <c r="O332" s="1003"/>
      <c r="P332" s="1003"/>
      <c r="Q332" s="1003"/>
    </row>
    <row r="333" spans="3:17" ht="15.75" customHeight="1">
      <c r="C333" s="1003"/>
      <c r="D333" s="1003"/>
      <c r="E333" s="1003"/>
      <c r="F333" s="1003"/>
      <c r="G333" s="1003"/>
      <c r="H333" s="1003"/>
      <c r="I333" s="1003"/>
      <c r="J333" s="1003"/>
      <c r="K333" s="1003"/>
      <c r="L333" s="1003"/>
      <c r="M333" s="1003"/>
      <c r="N333" s="1003"/>
      <c r="O333" s="1003"/>
      <c r="P333" s="1003"/>
      <c r="Q333" s="1003"/>
    </row>
    <row r="334" spans="3:17" ht="15.75" customHeight="1">
      <c r="C334" s="1003"/>
      <c r="D334" s="1003"/>
      <c r="E334" s="1003"/>
      <c r="F334" s="1003"/>
      <c r="G334" s="1003"/>
      <c r="H334" s="1003"/>
      <c r="I334" s="1003"/>
      <c r="J334" s="1003"/>
      <c r="K334" s="1003"/>
      <c r="L334" s="1003"/>
      <c r="M334" s="1003"/>
      <c r="N334" s="1003"/>
      <c r="O334" s="1003"/>
      <c r="P334" s="1003"/>
      <c r="Q334" s="1003"/>
    </row>
    <row r="335" spans="3:17" ht="15.75" customHeight="1">
      <c r="C335" s="1003"/>
      <c r="D335" s="1003"/>
      <c r="E335" s="1003"/>
      <c r="F335" s="1003"/>
      <c r="G335" s="1003"/>
      <c r="H335" s="1003"/>
      <c r="I335" s="1003"/>
      <c r="J335" s="1003"/>
      <c r="K335" s="1003"/>
      <c r="L335" s="1003"/>
      <c r="M335" s="1003"/>
      <c r="N335" s="1003"/>
      <c r="O335" s="1003"/>
      <c r="P335" s="1003"/>
      <c r="Q335" s="1003"/>
    </row>
    <row r="336" spans="3:17" ht="15.75" customHeight="1">
      <c r="C336" s="1003"/>
      <c r="D336" s="1003"/>
      <c r="E336" s="1003"/>
      <c r="F336" s="1003"/>
      <c r="G336" s="1003"/>
      <c r="H336" s="1003"/>
      <c r="I336" s="1003"/>
      <c r="J336" s="1003"/>
      <c r="K336" s="1003"/>
      <c r="L336" s="1003"/>
      <c r="M336" s="1003"/>
      <c r="N336" s="1003"/>
      <c r="O336" s="1003"/>
      <c r="P336" s="1003"/>
      <c r="Q336" s="1003"/>
    </row>
    <row r="337" spans="3:17" ht="15.75" customHeight="1">
      <c r="C337" s="1003"/>
      <c r="D337" s="1003"/>
      <c r="E337" s="1003"/>
      <c r="F337" s="1003"/>
      <c r="G337" s="1003"/>
      <c r="H337" s="1003"/>
      <c r="I337" s="1003"/>
      <c r="J337" s="1003"/>
      <c r="K337" s="1003"/>
      <c r="L337" s="1003"/>
      <c r="M337" s="1003"/>
      <c r="N337" s="1003"/>
      <c r="O337" s="1003"/>
      <c r="P337" s="1003"/>
      <c r="Q337" s="1003"/>
    </row>
    <row r="338" spans="3:17" ht="15.75" customHeight="1">
      <c r="C338" s="1003"/>
      <c r="D338" s="1003"/>
      <c r="E338" s="1003"/>
      <c r="F338" s="1003"/>
      <c r="G338" s="1003"/>
      <c r="H338" s="1003"/>
      <c r="I338" s="1003"/>
      <c r="J338" s="1003"/>
      <c r="K338" s="1003"/>
      <c r="L338" s="1003"/>
      <c r="M338" s="1003"/>
      <c r="N338" s="1003"/>
      <c r="O338" s="1003"/>
      <c r="P338" s="1003"/>
      <c r="Q338" s="1003"/>
    </row>
    <row r="339" spans="3:17" ht="15.75" customHeight="1">
      <c r="C339" s="1003"/>
      <c r="D339" s="1003"/>
      <c r="E339" s="1003"/>
      <c r="F339" s="1003"/>
      <c r="G339" s="1003"/>
      <c r="H339" s="1003"/>
      <c r="I339" s="1003"/>
      <c r="J339" s="1003"/>
      <c r="K339" s="1003"/>
      <c r="L339" s="1003"/>
      <c r="M339" s="1003"/>
      <c r="N339" s="1003"/>
      <c r="O339" s="1003"/>
      <c r="P339" s="1003"/>
      <c r="Q339" s="1003"/>
    </row>
    <row r="340" spans="3:17" ht="15.75" customHeight="1">
      <c r="C340" s="1003"/>
      <c r="D340" s="1003"/>
      <c r="E340" s="1003"/>
      <c r="F340" s="1003"/>
      <c r="G340" s="1003"/>
      <c r="H340" s="1003"/>
      <c r="I340" s="1003"/>
      <c r="J340" s="1003"/>
      <c r="K340" s="1003"/>
      <c r="L340" s="1003"/>
      <c r="M340" s="1003"/>
      <c r="N340" s="1003"/>
      <c r="O340" s="1003"/>
      <c r="P340" s="1003"/>
      <c r="Q340" s="1003"/>
    </row>
    <row r="341" spans="3:17" ht="15.75" customHeight="1">
      <c r="C341" s="1003"/>
      <c r="D341" s="1003"/>
      <c r="E341" s="1003"/>
      <c r="F341" s="1003"/>
      <c r="G341" s="1003"/>
      <c r="H341" s="1003"/>
      <c r="I341" s="1003"/>
      <c r="J341" s="1003"/>
      <c r="K341" s="1003"/>
      <c r="L341" s="1003"/>
      <c r="M341" s="1003"/>
      <c r="N341" s="1003"/>
      <c r="O341" s="1003"/>
      <c r="P341" s="1003"/>
      <c r="Q341" s="1003"/>
    </row>
    <row r="342" spans="3:17" ht="15.75" customHeight="1">
      <c r="C342" s="1003"/>
      <c r="D342" s="1003"/>
      <c r="E342" s="1003"/>
      <c r="F342" s="1003"/>
      <c r="G342" s="1003"/>
      <c r="H342" s="1003"/>
      <c r="I342" s="1003"/>
      <c r="J342" s="1003"/>
      <c r="K342" s="1003"/>
      <c r="L342" s="1003"/>
      <c r="M342" s="1003"/>
      <c r="N342" s="1003"/>
      <c r="O342" s="1003"/>
      <c r="P342" s="1003"/>
      <c r="Q342" s="1003"/>
    </row>
    <row r="343" spans="3:17" ht="15.75" customHeight="1">
      <c r="C343" s="1003"/>
      <c r="D343" s="1003"/>
      <c r="E343" s="1003"/>
      <c r="F343" s="1003"/>
      <c r="G343" s="1003"/>
      <c r="H343" s="1003"/>
      <c r="I343" s="1003"/>
      <c r="J343" s="1003"/>
      <c r="K343" s="1003"/>
      <c r="L343" s="1003"/>
      <c r="M343" s="1003"/>
      <c r="N343" s="1003"/>
      <c r="O343" s="1003"/>
      <c r="P343" s="1003"/>
      <c r="Q343" s="1003"/>
    </row>
    <row r="344" spans="3:17" ht="15.75" customHeight="1">
      <c r="C344" s="1003"/>
      <c r="D344" s="1003"/>
      <c r="E344" s="1003"/>
      <c r="F344" s="1003"/>
      <c r="G344" s="1003"/>
      <c r="H344" s="1003"/>
      <c r="I344" s="1003"/>
      <c r="J344" s="1003"/>
      <c r="K344" s="1003"/>
      <c r="L344" s="1003"/>
      <c r="M344" s="1003"/>
      <c r="N344" s="1003"/>
      <c r="O344" s="1003"/>
      <c r="P344" s="1003"/>
      <c r="Q344" s="1003"/>
    </row>
    <row r="345" spans="3:17" ht="15.75" customHeight="1">
      <c r="C345" s="1003"/>
      <c r="D345" s="1003"/>
      <c r="E345" s="1003"/>
      <c r="F345" s="1003"/>
      <c r="G345" s="1003"/>
      <c r="H345" s="1003"/>
      <c r="I345" s="1003"/>
      <c r="J345" s="1003"/>
      <c r="K345" s="1003"/>
      <c r="L345" s="1003"/>
      <c r="M345" s="1003"/>
      <c r="N345" s="1003"/>
      <c r="O345" s="1003"/>
      <c r="P345" s="1003"/>
      <c r="Q345" s="1003"/>
    </row>
    <row r="346" spans="3:17" ht="15.75" customHeight="1">
      <c r="C346" s="1003"/>
      <c r="D346" s="1003"/>
      <c r="E346" s="1003"/>
      <c r="F346" s="1003"/>
      <c r="G346" s="1003"/>
      <c r="H346" s="1003"/>
      <c r="I346" s="1003"/>
      <c r="J346" s="1003"/>
      <c r="K346" s="1003"/>
      <c r="L346" s="1003"/>
      <c r="M346" s="1003"/>
      <c r="N346" s="1003"/>
      <c r="O346" s="1003"/>
      <c r="P346" s="1003"/>
      <c r="Q346" s="1003"/>
    </row>
    <row r="347" spans="3:17" ht="15.75" customHeight="1">
      <c r="C347" s="1003"/>
      <c r="D347" s="1003"/>
      <c r="E347" s="1003"/>
      <c r="F347" s="1003"/>
      <c r="G347" s="1003"/>
      <c r="H347" s="1003"/>
      <c r="I347" s="1003"/>
      <c r="J347" s="1003"/>
      <c r="K347" s="1003"/>
      <c r="L347" s="1003"/>
      <c r="M347" s="1003"/>
      <c r="N347" s="1003"/>
      <c r="O347" s="1003"/>
      <c r="P347" s="1003"/>
      <c r="Q347" s="1003"/>
    </row>
    <row r="348" spans="3:17" ht="15.75" customHeight="1">
      <c r="C348" s="1003"/>
      <c r="D348" s="1003"/>
      <c r="E348" s="1003"/>
      <c r="F348" s="1003"/>
      <c r="G348" s="1003"/>
      <c r="H348" s="1003"/>
      <c r="I348" s="1003"/>
      <c r="J348" s="1003"/>
      <c r="K348" s="1003"/>
      <c r="L348" s="1003"/>
      <c r="M348" s="1003"/>
      <c r="N348" s="1003"/>
      <c r="O348" s="1003"/>
      <c r="P348" s="1003"/>
      <c r="Q348" s="1003"/>
    </row>
    <row r="349" spans="3:17" ht="15.75" customHeight="1">
      <c r="C349" s="1003"/>
      <c r="D349" s="1003"/>
      <c r="E349" s="1003"/>
      <c r="F349" s="1003"/>
      <c r="G349" s="1003"/>
      <c r="H349" s="1003"/>
      <c r="I349" s="1003"/>
      <c r="J349" s="1003"/>
      <c r="K349" s="1003"/>
      <c r="L349" s="1003"/>
      <c r="M349" s="1003"/>
      <c r="N349" s="1003"/>
      <c r="O349" s="1003"/>
      <c r="P349" s="1003"/>
      <c r="Q349" s="1003"/>
    </row>
    <row r="350" spans="3:17" ht="15.75" customHeight="1">
      <c r="C350" s="1003"/>
      <c r="D350" s="1003"/>
      <c r="E350" s="1003"/>
      <c r="F350" s="1003"/>
      <c r="G350" s="1003"/>
      <c r="H350" s="1003"/>
      <c r="I350" s="1003"/>
      <c r="J350" s="1003"/>
      <c r="K350" s="1003"/>
      <c r="L350" s="1003"/>
      <c r="M350" s="1003"/>
      <c r="N350" s="1003"/>
      <c r="O350" s="1003"/>
      <c r="P350" s="1003"/>
      <c r="Q350" s="1003"/>
    </row>
    <row r="351" spans="3:17" ht="15.75" customHeight="1">
      <c r="C351" s="1003"/>
      <c r="D351" s="1003"/>
      <c r="E351" s="1003"/>
      <c r="F351" s="1003"/>
      <c r="G351" s="1003"/>
      <c r="H351" s="1003"/>
      <c r="I351" s="1003"/>
      <c r="J351" s="1003"/>
      <c r="K351" s="1003"/>
      <c r="L351" s="1003"/>
      <c r="M351" s="1003"/>
      <c r="N351" s="1003"/>
      <c r="O351" s="1003"/>
      <c r="P351" s="1003"/>
      <c r="Q351" s="1003"/>
    </row>
    <row r="352" spans="3:17" ht="15.75" customHeight="1">
      <c r="C352" s="1003"/>
      <c r="D352" s="1003"/>
      <c r="E352" s="1003"/>
      <c r="F352" s="1003"/>
      <c r="G352" s="1003"/>
      <c r="H352" s="1003"/>
      <c r="I352" s="1003"/>
      <c r="J352" s="1003"/>
      <c r="K352" s="1003"/>
      <c r="L352" s="1003"/>
      <c r="M352" s="1003"/>
      <c r="N352" s="1003"/>
      <c r="O352" s="1003"/>
      <c r="P352" s="1003"/>
      <c r="Q352" s="1003"/>
    </row>
    <row r="353" spans="3:17" ht="15.75" customHeight="1">
      <c r="C353" s="1003"/>
      <c r="D353" s="1003"/>
      <c r="E353" s="1003"/>
      <c r="F353" s="1003"/>
      <c r="G353" s="1003"/>
      <c r="H353" s="1003"/>
      <c r="I353" s="1003"/>
      <c r="J353" s="1003"/>
      <c r="K353" s="1003"/>
      <c r="L353" s="1003"/>
      <c r="M353" s="1003"/>
      <c r="N353" s="1003"/>
      <c r="O353" s="1003"/>
      <c r="P353" s="1003"/>
      <c r="Q353" s="1003"/>
    </row>
    <row r="354" spans="3:17" ht="15.75" customHeight="1">
      <c r="C354" s="1003"/>
      <c r="D354" s="1003"/>
      <c r="E354" s="1003"/>
      <c r="F354" s="1003"/>
      <c r="G354" s="1003"/>
      <c r="H354" s="1003"/>
      <c r="I354" s="1003"/>
      <c r="J354" s="1003"/>
      <c r="K354" s="1003"/>
      <c r="L354" s="1003"/>
      <c r="M354" s="1003"/>
      <c r="N354" s="1003"/>
      <c r="O354" s="1003"/>
      <c r="P354" s="1003"/>
      <c r="Q354" s="1003"/>
    </row>
    <row r="355" spans="3:17" ht="15.75" customHeight="1">
      <c r="C355" s="1003"/>
      <c r="D355" s="1003"/>
      <c r="E355" s="1003"/>
      <c r="F355" s="1003"/>
      <c r="G355" s="1003"/>
      <c r="H355" s="1003"/>
      <c r="I355" s="1003"/>
      <c r="J355" s="1003"/>
      <c r="K355" s="1003"/>
      <c r="L355" s="1003"/>
      <c r="M355" s="1003"/>
      <c r="N355" s="1003"/>
      <c r="O355" s="1003"/>
      <c r="P355" s="1003"/>
      <c r="Q355" s="1003"/>
    </row>
    <row r="356" spans="3:17" ht="15.75" customHeight="1">
      <c r="C356" s="1003"/>
      <c r="D356" s="1003"/>
      <c r="E356" s="1003"/>
      <c r="F356" s="1003"/>
      <c r="G356" s="1003"/>
      <c r="H356" s="1003"/>
      <c r="I356" s="1003"/>
      <c r="J356" s="1003"/>
      <c r="K356" s="1003"/>
      <c r="L356" s="1003"/>
      <c r="M356" s="1003"/>
      <c r="N356" s="1003"/>
      <c r="O356" s="1003"/>
      <c r="P356" s="1003"/>
      <c r="Q356" s="1003"/>
    </row>
    <row r="357" spans="3:17" ht="15.75" customHeight="1">
      <c r="C357" s="1003"/>
      <c r="D357" s="1003"/>
      <c r="E357" s="1003"/>
      <c r="F357" s="1003"/>
      <c r="G357" s="1003"/>
      <c r="H357" s="1003"/>
      <c r="I357" s="1003"/>
      <c r="J357" s="1003"/>
      <c r="K357" s="1003"/>
      <c r="L357" s="1003"/>
      <c r="M357" s="1003"/>
      <c r="N357" s="1003"/>
      <c r="O357" s="1003"/>
      <c r="P357" s="1003"/>
      <c r="Q357" s="1003"/>
    </row>
    <row r="358" spans="3:17" ht="15.75" customHeight="1">
      <c r="C358" s="1003"/>
      <c r="D358" s="1003"/>
      <c r="E358" s="1003"/>
      <c r="F358" s="1003"/>
      <c r="G358" s="1003"/>
      <c r="H358" s="1003"/>
      <c r="I358" s="1003"/>
      <c r="J358" s="1003"/>
      <c r="K358" s="1003"/>
      <c r="L358" s="1003"/>
      <c r="M358" s="1003"/>
      <c r="N358" s="1003"/>
      <c r="O358" s="1003"/>
      <c r="P358" s="1003"/>
      <c r="Q358" s="1003"/>
    </row>
    <row r="359" spans="3:17" ht="15.75" customHeight="1">
      <c r="C359" s="1003"/>
      <c r="D359" s="1003"/>
      <c r="E359" s="1003"/>
      <c r="F359" s="1003"/>
      <c r="G359" s="1003"/>
      <c r="H359" s="1003"/>
      <c r="I359" s="1003"/>
      <c r="J359" s="1003"/>
      <c r="K359" s="1003"/>
      <c r="L359" s="1003"/>
      <c r="M359" s="1003"/>
      <c r="N359" s="1003"/>
      <c r="O359" s="1003"/>
      <c r="P359" s="1003"/>
      <c r="Q359" s="1003"/>
    </row>
    <row r="360" spans="3:17" ht="15.75" customHeight="1">
      <c r="C360" s="1003"/>
      <c r="D360" s="1003"/>
      <c r="E360" s="1003"/>
      <c r="F360" s="1003"/>
      <c r="G360" s="1003"/>
      <c r="H360" s="1003"/>
      <c r="I360" s="1003"/>
      <c r="J360" s="1003"/>
      <c r="K360" s="1003"/>
      <c r="L360" s="1003"/>
      <c r="M360" s="1003"/>
      <c r="N360" s="1003"/>
      <c r="O360" s="1003"/>
      <c r="P360" s="1003"/>
      <c r="Q360" s="1003"/>
    </row>
    <row r="361" spans="3:17" ht="15.75" customHeight="1">
      <c r="C361" s="1003"/>
      <c r="D361" s="1003"/>
      <c r="E361" s="1003"/>
      <c r="F361" s="1003"/>
      <c r="G361" s="1003"/>
      <c r="H361" s="1003"/>
      <c r="I361" s="1003"/>
      <c r="J361" s="1003"/>
      <c r="K361" s="1003"/>
      <c r="L361" s="1003"/>
      <c r="M361" s="1003"/>
      <c r="N361" s="1003"/>
      <c r="O361" s="1003"/>
      <c r="P361" s="1003"/>
      <c r="Q361" s="1003"/>
    </row>
    <row r="362" spans="3:17" ht="15.75" customHeight="1">
      <c r="C362" s="1003"/>
      <c r="D362" s="1003"/>
      <c r="E362" s="1003"/>
      <c r="F362" s="1003"/>
      <c r="G362" s="1003"/>
      <c r="H362" s="1003"/>
      <c r="I362" s="1003"/>
      <c r="J362" s="1003"/>
      <c r="K362" s="1003"/>
      <c r="L362" s="1003"/>
      <c r="M362" s="1003"/>
      <c r="N362" s="1003"/>
      <c r="O362" s="1003"/>
      <c r="P362" s="1003"/>
      <c r="Q362" s="1003"/>
    </row>
    <row r="363" spans="3:17" ht="15.75" customHeight="1">
      <c r="C363" s="1003"/>
      <c r="D363" s="1003"/>
      <c r="E363" s="1003"/>
      <c r="F363" s="1003"/>
      <c r="G363" s="1003"/>
      <c r="H363" s="1003"/>
      <c r="I363" s="1003"/>
      <c r="J363" s="1003"/>
      <c r="K363" s="1003"/>
      <c r="L363" s="1003"/>
      <c r="M363" s="1003"/>
      <c r="N363" s="1003"/>
      <c r="O363" s="1003"/>
      <c r="P363" s="1003"/>
      <c r="Q363" s="1003"/>
    </row>
    <row r="364" spans="3:17" ht="15.75" customHeight="1">
      <c r="C364" s="1003"/>
      <c r="D364" s="1003"/>
      <c r="E364" s="1003"/>
      <c r="F364" s="1003"/>
      <c r="G364" s="1003"/>
      <c r="H364" s="1003"/>
      <c r="I364" s="1003"/>
      <c r="J364" s="1003"/>
      <c r="K364" s="1003"/>
      <c r="L364" s="1003"/>
      <c r="M364" s="1003"/>
      <c r="N364" s="1003"/>
      <c r="O364" s="1003"/>
      <c r="P364" s="1003"/>
      <c r="Q364" s="1003"/>
    </row>
    <row r="365" spans="3:17" ht="15.75" customHeight="1">
      <c r="C365" s="1003"/>
      <c r="D365" s="1003"/>
      <c r="E365" s="1003"/>
      <c r="F365" s="1003"/>
      <c r="G365" s="1003"/>
      <c r="H365" s="1003"/>
      <c r="I365" s="1003"/>
      <c r="J365" s="1003"/>
      <c r="K365" s="1003"/>
      <c r="L365" s="1003"/>
      <c r="M365" s="1003"/>
      <c r="N365" s="1003"/>
      <c r="O365" s="1003"/>
      <c r="P365" s="1003"/>
      <c r="Q365" s="1003"/>
    </row>
    <row r="366" spans="3:17" ht="15.75" customHeight="1">
      <c r="C366" s="1003"/>
      <c r="D366" s="1003"/>
      <c r="E366" s="1003"/>
      <c r="F366" s="1003"/>
      <c r="G366" s="1003"/>
      <c r="H366" s="1003"/>
      <c r="I366" s="1003"/>
      <c r="J366" s="1003"/>
      <c r="K366" s="1003"/>
      <c r="L366" s="1003"/>
      <c r="M366" s="1003"/>
      <c r="N366" s="1003"/>
      <c r="O366" s="1003"/>
      <c r="P366" s="1003"/>
      <c r="Q366" s="1003"/>
    </row>
    <row r="367" spans="3:17" ht="15.75" customHeight="1">
      <c r="C367" s="1003"/>
      <c r="D367" s="1003"/>
      <c r="E367" s="1003"/>
      <c r="F367" s="1003"/>
      <c r="G367" s="1003"/>
      <c r="H367" s="1003"/>
      <c r="I367" s="1003"/>
      <c r="J367" s="1003"/>
      <c r="K367" s="1003"/>
      <c r="L367" s="1003"/>
      <c r="M367" s="1003"/>
      <c r="N367" s="1003"/>
      <c r="O367" s="1003"/>
      <c r="P367" s="1003"/>
      <c r="Q367" s="1003"/>
    </row>
    <row r="368" spans="3:17" ht="15.75" customHeight="1">
      <c r="C368" s="1003"/>
      <c r="D368" s="1003"/>
      <c r="E368" s="1003"/>
      <c r="F368" s="1003"/>
      <c r="G368" s="1003"/>
      <c r="H368" s="1003"/>
      <c r="I368" s="1003"/>
      <c r="J368" s="1003"/>
      <c r="K368" s="1003"/>
      <c r="L368" s="1003"/>
      <c r="M368" s="1003"/>
      <c r="N368" s="1003"/>
      <c r="O368" s="1003"/>
      <c r="P368" s="1003"/>
      <c r="Q368" s="1003"/>
    </row>
    <row r="369" spans="3:17" ht="15.75" customHeight="1">
      <c r="C369" s="1003"/>
      <c r="D369" s="1003"/>
      <c r="E369" s="1003"/>
      <c r="F369" s="1003"/>
      <c r="G369" s="1003"/>
      <c r="H369" s="1003"/>
      <c r="I369" s="1003"/>
      <c r="J369" s="1003"/>
      <c r="K369" s="1003"/>
      <c r="L369" s="1003"/>
      <c r="M369" s="1003"/>
      <c r="N369" s="1003"/>
      <c r="O369" s="1003"/>
      <c r="P369" s="1003"/>
      <c r="Q369" s="1003"/>
    </row>
    <row r="370" spans="3:17" ht="15.75" customHeight="1">
      <c r="C370" s="1003"/>
      <c r="D370" s="1003"/>
      <c r="E370" s="1003"/>
      <c r="F370" s="1003"/>
      <c r="G370" s="1003"/>
      <c r="H370" s="1003"/>
      <c r="I370" s="1003"/>
      <c r="J370" s="1003"/>
      <c r="K370" s="1003"/>
      <c r="L370" s="1003"/>
      <c r="M370" s="1003"/>
      <c r="N370" s="1003"/>
      <c r="O370" s="1003"/>
      <c r="P370" s="1003"/>
      <c r="Q370" s="1003"/>
    </row>
    <row r="371" spans="3:17" ht="15.75" customHeight="1">
      <c r="C371" s="1003"/>
      <c r="D371" s="1003"/>
      <c r="E371" s="1003"/>
      <c r="F371" s="1003"/>
      <c r="G371" s="1003"/>
      <c r="H371" s="1003"/>
      <c r="I371" s="1003"/>
      <c r="J371" s="1003"/>
      <c r="K371" s="1003"/>
      <c r="L371" s="1003"/>
      <c r="M371" s="1003"/>
      <c r="N371" s="1003"/>
      <c r="O371" s="1003"/>
      <c r="P371" s="1003"/>
      <c r="Q371" s="1003"/>
    </row>
    <row r="372" spans="3:17" ht="15.75" customHeight="1">
      <c r="C372" s="1003"/>
      <c r="D372" s="1003"/>
      <c r="E372" s="1003"/>
      <c r="F372" s="1003"/>
      <c r="G372" s="1003"/>
      <c r="H372" s="1003"/>
      <c r="I372" s="1003"/>
      <c r="J372" s="1003"/>
      <c r="K372" s="1003"/>
      <c r="L372" s="1003"/>
      <c r="M372" s="1003"/>
      <c r="N372" s="1003"/>
      <c r="O372" s="1003"/>
      <c r="P372" s="1003"/>
      <c r="Q372" s="1003"/>
    </row>
    <row r="373" spans="3:17" ht="15.75" customHeight="1">
      <c r="C373" s="1003"/>
      <c r="D373" s="1003"/>
      <c r="E373" s="1003"/>
      <c r="F373" s="1003"/>
      <c r="G373" s="1003"/>
      <c r="H373" s="1003"/>
      <c r="I373" s="1003"/>
      <c r="J373" s="1003"/>
      <c r="K373" s="1003"/>
      <c r="L373" s="1003"/>
      <c r="M373" s="1003"/>
      <c r="N373" s="1003"/>
      <c r="O373" s="1003"/>
      <c r="P373" s="1003"/>
      <c r="Q373" s="1003"/>
    </row>
    <row r="374" spans="3:17" ht="15.75" customHeight="1">
      <c r="C374" s="1003"/>
      <c r="D374" s="1003"/>
      <c r="E374" s="1003"/>
      <c r="F374" s="1003"/>
      <c r="G374" s="1003"/>
      <c r="H374" s="1003"/>
      <c r="I374" s="1003"/>
      <c r="J374" s="1003"/>
      <c r="K374" s="1003"/>
      <c r="L374" s="1003"/>
      <c r="M374" s="1003"/>
      <c r="N374" s="1003"/>
      <c r="O374" s="1003"/>
      <c r="P374" s="1003"/>
      <c r="Q374" s="1003"/>
    </row>
    <row r="375" spans="3:17" ht="15.75" customHeight="1">
      <c r="C375" s="1003"/>
      <c r="D375" s="1003"/>
      <c r="E375" s="1003"/>
      <c r="F375" s="1003"/>
      <c r="G375" s="1003"/>
      <c r="H375" s="1003"/>
      <c r="I375" s="1003"/>
      <c r="J375" s="1003"/>
      <c r="K375" s="1003"/>
      <c r="L375" s="1003"/>
      <c r="M375" s="1003"/>
      <c r="N375" s="1003"/>
      <c r="O375" s="1003"/>
      <c r="P375" s="1003"/>
      <c r="Q375" s="1003"/>
    </row>
    <row r="376" spans="3:17" ht="15.75" customHeight="1">
      <c r="C376" s="1003"/>
      <c r="D376" s="1003"/>
      <c r="E376" s="1003"/>
      <c r="F376" s="1003"/>
      <c r="G376" s="1003"/>
      <c r="H376" s="1003"/>
      <c r="I376" s="1003"/>
      <c r="J376" s="1003"/>
      <c r="K376" s="1003"/>
      <c r="L376" s="1003"/>
      <c r="M376" s="1003"/>
      <c r="N376" s="1003"/>
      <c r="O376" s="1003"/>
      <c r="P376" s="1003"/>
      <c r="Q376" s="1003"/>
    </row>
    <row r="377" spans="3:17" ht="15.75" customHeight="1">
      <c r="C377" s="1003"/>
      <c r="D377" s="1003"/>
      <c r="E377" s="1003"/>
      <c r="F377" s="1003"/>
      <c r="G377" s="1003"/>
      <c r="H377" s="1003"/>
      <c r="I377" s="1003"/>
      <c r="J377" s="1003"/>
      <c r="K377" s="1003"/>
      <c r="L377" s="1003"/>
      <c r="M377" s="1003"/>
      <c r="N377" s="1003"/>
      <c r="O377" s="1003"/>
      <c r="P377" s="1003"/>
      <c r="Q377" s="1003"/>
    </row>
    <row r="378" spans="3:17" ht="15.75" customHeight="1">
      <c r="C378" s="1003"/>
      <c r="D378" s="1003"/>
      <c r="E378" s="1003"/>
      <c r="F378" s="1003"/>
      <c r="G378" s="1003"/>
      <c r="H378" s="1003"/>
      <c r="I378" s="1003"/>
      <c r="J378" s="1003"/>
      <c r="K378" s="1003"/>
      <c r="L378" s="1003"/>
      <c r="M378" s="1003"/>
      <c r="N378" s="1003"/>
      <c r="O378" s="1003"/>
      <c r="P378" s="1003"/>
      <c r="Q378" s="1003"/>
    </row>
    <row r="379" spans="3:17" ht="15.75" customHeight="1">
      <c r="C379" s="1003"/>
      <c r="D379" s="1003"/>
      <c r="E379" s="1003"/>
      <c r="F379" s="1003"/>
      <c r="G379" s="1003"/>
      <c r="H379" s="1003"/>
      <c r="I379" s="1003"/>
      <c r="J379" s="1003"/>
      <c r="K379" s="1003"/>
      <c r="L379" s="1003"/>
      <c r="M379" s="1003"/>
      <c r="N379" s="1003"/>
      <c r="O379" s="1003"/>
      <c r="P379" s="1003"/>
      <c r="Q379" s="1003"/>
    </row>
    <row r="380" spans="3:17" ht="15.75" customHeight="1">
      <c r="C380" s="1003"/>
      <c r="D380" s="1003"/>
      <c r="E380" s="1003"/>
      <c r="F380" s="1003"/>
      <c r="G380" s="1003"/>
      <c r="H380" s="1003"/>
      <c r="I380" s="1003"/>
      <c r="J380" s="1003"/>
      <c r="K380" s="1003"/>
      <c r="L380" s="1003"/>
      <c r="M380" s="1003"/>
      <c r="N380" s="1003"/>
      <c r="O380" s="1003"/>
      <c r="P380" s="1003"/>
      <c r="Q380" s="1003"/>
    </row>
    <row r="381" spans="3:17" ht="15.75" customHeight="1">
      <c r="C381" s="1003"/>
      <c r="D381" s="1003"/>
      <c r="E381" s="1003"/>
      <c r="F381" s="1003"/>
      <c r="G381" s="1003"/>
      <c r="H381" s="1003"/>
      <c r="I381" s="1003"/>
      <c r="J381" s="1003"/>
      <c r="K381" s="1003"/>
      <c r="L381" s="1003"/>
      <c r="M381" s="1003"/>
      <c r="N381" s="1003"/>
      <c r="O381" s="1003"/>
      <c r="P381" s="1003"/>
      <c r="Q381" s="1003"/>
    </row>
    <row r="382" spans="3:17" ht="15.75" customHeight="1">
      <c r="C382" s="1003"/>
      <c r="D382" s="1003"/>
      <c r="E382" s="1003"/>
      <c r="F382" s="1003"/>
      <c r="G382" s="1003"/>
      <c r="H382" s="1003"/>
      <c r="I382" s="1003"/>
      <c r="J382" s="1003"/>
      <c r="K382" s="1003"/>
      <c r="L382" s="1003"/>
      <c r="M382" s="1003"/>
      <c r="N382" s="1003"/>
      <c r="O382" s="1003"/>
      <c r="P382" s="1003"/>
      <c r="Q382" s="1003"/>
    </row>
    <row r="383" spans="3:17" ht="15.75" customHeight="1">
      <c r="C383" s="1003"/>
      <c r="D383" s="1003"/>
      <c r="E383" s="1003"/>
      <c r="F383" s="1003"/>
      <c r="G383" s="1003"/>
      <c r="H383" s="1003"/>
      <c r="I383" s="1003"/>
      <c r="J383" s="1003"/>
      <c r="K383" s="1003"/>
      <c r="L383" s="1003"/>
      <c r="M383" s="1003"/>
      <c r="N383" s="1003"/>
      <c r="O383" s="1003"/>
      <c r="P383" s="1003"/>
      <c r="Q383" s="1003"/>
    </row>
    <row r="384" spans="3:17" ht="15.75" customHeight="1">
      <c r="C384" s="1003"/>
      <c r="D384" s="1003"/>
      <c r="E384" s="1003"/>
      <c r="F384" s="1003"/>
      <c r="G384" s="1003"/>
      <c r="H384" s="1003"/>
      <c r="I384" s="1003"/>
      <c r="J384" s="1003"/>
      <c r="K384" s="1003"/>
      <c r="L384" s="1003"/>
      <c r="M384" s="1003"/>
      <c r="N384" s="1003"/>
      <c r="O384" s="1003"/>
      <c r="P384" s="1003"/>
      <c r="Q384" s="1003"/>
    </row>
    <row r="385" spans="3:17" ht="15.75" customHeight="1">
      <c r="C385" s="1003"/>
      <c r="D385" s="1003"/>
      <c r="E385" s="1003"/>
      <c r="F385" s="1003"/>
      <c r="G385" s="1003"/>
      <c r="H385" s="1003"/>
      <c r="I385" s="1003"/>
      <c r="J385" s="1003"/>
      <c r="K385" s="1003"/>
      <c r="L385" s="1003"/>
      <c r="M385" s="1003"/>
      <c r="N385" s="1003"/>
      <c r="O385" s="1003"/>
      <c r="P385" s="1003"/>
      <c r="Q385" s="1003"/>
    </row>
    <row r="386" spans="3:17" ht="15.75" customHeight="1">
      <c r="C386" s="1003"/>
      <c r="D386" s="1003"/>
      <c r="E386" s="1003"/>
      <c r="F386" s="1003"/>
      <c r="G386" s="1003"/>
      <c r="H386" s="1003"/>
      <c r="I386" s="1003"/>
      <c r="J386" s="1003"/>
      <c r="K386" s="1003"/>
      <c r="L386" s="1003"/>
      <c r="M386" s="1003"/>
      <c r="N386" s="1003"/>
      <c r="O386" s="1003"/>
      <c r="P386" s="1003"/>
      <c r="Q386" s="1003"/>
    </row>
    <row r="387" spans="3:17" ht="15.75" customHeight="1">
      <c r="C387" s="1003"/>
      <c r="D387" s="1003"/>
      <c r="E387" s="1003"/>
      <c r="F387" s="1003"/>
      <c r="G387" s="1003"/>
      <c r="H387" s="1003"/>
      <c r="I387" s="1003"/>
      <c r="J387" s="1003"/>
      <c r="K387" s="1003"/>
      <c r="L387" s="1003"/>
      <c r="M387" s="1003"/>
      <c r="N387" s="1003"/>
      <c r="O387" s="1003"/>
      <c r="P387" s="1003"/>
      <c r="Q387" s="1003"/>
    </row>
    <row r="388" spans="3:17" ht="15.75" customHeight="1">
      <c r="C388" s="1003"/>
      <c r="D388" s="1003"/>
      <c r="E388" s="1003"/>
      <c r="F388" s="1003"/>
      <c r="G388" s="1003"/>
      <c r="H388" s="1003"/>
      <c r="I388" s="1003"/>
      <c r="J388" s="1003"/>
      <c r="K388" s="1003"/>
      <c r="L388" s="1003"/>
      <c r="M388" s="1003"/>
      <c r="N388" s="1003"/>
      <c r="O388" s="1003"/>
      <c r="P388" s="1003"/>
      <c r="Q388" s="1003"/>
    </row>
    <row r="389" spans="3:17" ht="15.75" customHeight="1">
      <c r="C389" s="1003"/>
      <c r="D389" s="1003"/>
      <c r="E389" s="1003"/>
      <c r="F389" s="1003"/>
      <c r="G389" s="1003"/>
      <c r="H389" s="1003"/>
      <c r="I389" s="1003"/>
      <c r="J389" s="1003"/>
      <c r="K389" s="1003"/>
      <c r="L389" s="1003"/>
      <c r="M389" s="1003"/>
      <c r="N389" s="1003"/>
      <c r="O389" s="1003"/>
      <c r="P389" s="1003"/>
      <c r="Q389" s="1003"/>
    </row>
    <row r="390" spans="3:17" ht="15.75" customHeight="1">
      <c r="C390" s="1003"/>
      <c r="D390" s="1003"/>
      <c r="E390" s="1003"/>
      <c r="F390" s="1003"/>
      <c r="G390" s="1003"/>
      <c r="H390" s="1003"/>
      <c r="I390" s="1003"/>
      <c r="J390" s="1003"/>
      <c r="K390" s="1003"/>
      <c r="L390" s="1003"/>
      <c r="M390" s="1003"/>
      <c r="N390" s="1003"/>
      <c r="O390" s="1003"/>
      <c r="P390" s="1003"/>
      <c r="Q390" s="1003"/>
    </row>
    <row r="391" spans="3:17" ht="15.75" customHeight="1">
      <c r="C391" s="1003"/>
      <c r="D391" s="1003"/>
      <c r="E391" s="1003"/>
      <c r="F391" s="1003"/>
      <c r="G391" s="1003"/>
      <c r="H391" s="1003"/>
      <c r="I391" s="1003"/>
      <c r="J391" s="1003"/>
      <c r="K391" s="1003"/>
      <c r="L391" s="1003"/>
      <c r="M391" s="1003"/>
      <c r="N391" s="1003"/>
      <c r="O391" s="1003"/>
      <c r="P391" s="1003"/>
      <c r="Q391" s="1003"/>
    </row>
    <row r="392" spans="3:17" ht="15.75" customHeight="1">
      <c r="C392" s="1003"/>
      <c r="D392" s="1003"/>
      <c r="E392" s="1003"/>
      <c r="F392" s="1003"/>
      <c r="G392" s="1003"/>
      <c r="H392" s="1003"/>
      <c r="I392" s="1003"/>
      <c r="J392" s="1003"/>
      <c r="K392" s="1003"/>
      <c r="L392" s="1003"/>
      <c r="M392" s="1003"/>
      <c r="N392" s="1003"/>
      <c r="O392" s="1003"/>
      <c r="P392" s="1003"/>
      <c r="Q392" s="1003"/>
    </row>
    <row r="393" spans="3:17" ht="15.75" customHeight="1">
      <c r="C393" s="1003"/>
      <c r="D393" s="1003"/>
      <c r="E393" s="1003"/>
      <c r="F393" s="1003"/>
      <c r="G393" s="1003"/>
      <c r="H393" s="1003"/>
      <c r="I393" s="1003"/>
      <c r="J393" s="1003"/>
      <c r="K393" s="1003"/>
      <c r="L393" s="1003"/>
      <c r="M393" s="1003"/>
      <c r="N393" s="1003"/>
      <c r="O393" s="1003"/>
      <c r="P393" s="1003"/>
      <c r="Q393" s="1003"/>
    </row>
    <row r="394" spans="3:17" ht="15.75" customHeight="1">
      <c r="C394" s="1003"/>
      <c r="D394" s="1003"/>
      <c r="E394" s="1003"/>
      <c r="F394" s="1003"/>
      <c r="G394" s="1003"/>
      <c r="H394" s="1003"/>
      <c r="I394" s="1003"/>
      <c r="J394" s="1003"/>
      <c r="K394" s="1003"/>
      <c r="L394" s="1003"/>
      <c r="M394" s="1003"/>
      <c r="N394" s="1003"/>
      <c r="O394" s="1003"/>
      <c r="P394" s="1003"/>
      <c r="Q394" s="1003"/>
    </row>
    <row r="395" spans="3:17" ht="15.75" customHeight="1">
      <c r="C395" s="1003"/>
      <c r="D395" s="1003"/>
      <c r="E395" s="1003"/>
      <c r="F395" s="1003"/>
      <c r="G395" s="1003"/>
      <c r="H395" s="1003"/>
      <c r="I395" s="1003"/>
      <c r="J395" s="1003"/>
      <c r="K395" s="1003"/>
      <c r="L395" s="1003"/>
      <c r="M395" s="1003"/>
      <c r="N395" s="1003"/>
      <c r="O395" s="1003"/>
      <c r="P395" s="1003"/>
      <c r="Q395" s="1003"/>
    </row>
    <row r="396" spans="3:17" ht="15.75" customHeight="1">
      <c r="C396" s="1003"/>
      <c r="D396" s="1003"/>
      <c r="E396" s="1003"/>
      <c r="F396" s="1003"/>
      <c r="G396" s="1003"/>
      <c r="H396" s="1003"/>
      <c r="I396" s="1003"/>
      <c r="J396" s="1003"/>
      <c r="K396" s="1003"/>
      <c r="L396" s="1003"/>
      <c r="M396" s="1003"/>
      <c r="N396" s="1003"/>
      <c r="O396" s="1003"/>
      <c r="P396" s="1003"/>
      <c r="Q396" s="1003"/>
    </row>
    <row r="397" spans="3:17" ht="15.75" customHeight="1">
      <c r="C397" s="1003"/>
      <c r="D397" s="1003"/>
      <c r="E397" s="1003"/>
      <c r="F397" s="1003"/>
      <c r="G397" s="1003"/>
      <c r="H397" s="1003"/>
      <c r="I397" s="1003"/>
      <c r="J397" s="1003"/>
      <c r="K397" s="1003"/>
      <c r="L397" s="1003"/>
      <c r="M397" s="1003"/>
      <c r="N397" s="1003"/>
      <c r="O397" s="1003"/>
      <c r="P397" s="1003"/>
      <c r="Q397" s="1003"/>
    </row>
    <row r="398" spans="3:17" ht="15.75" customHeight="1">
      <c r="C398" s="1003"/>
      <c r="D398" s="1003"/>
      <c r="E398" s="1003"/>
      <c r="F398" s="1003"/>
      <c r="G398" s="1003"/>
      <c r="H398" s="1003"/>
      <c r="I398" s="1003"/>
      <c r="J398" s="1003"/>
      <c r="K398" s="1003"/>
      <c r="L398" s="1003"/>
      <c r="M398" s="1003"/>
      <c r="N398" s="1003"/>
      <c r="O398" s="1003"/>
      <c r="P398" s="1003"/>
      <c r="Q398" s="1003"/>
    </row>
    <row r="399" spans="3:17" ht="15.75" customHeight="1">
      <c r="C399" s="1003"/>
      <c r="D399" s="1003"/>
      <c r="E399" s="1003"/>
      <c r="F399" s="1003"/>
      <c r="G399" s="1003"/>
      <c r="H399" s="1003"/>
      <c r="I399" s="1003"/>
      <c r="J399" s="1003"/>
      <c r="K399" s="1003"/>
      <c r="L399" s="1003"/>
      <c r="M399" s="1003"/>
      <c r="N399" s="1003"/>
      <c r="O399" s="1003"/>
      <c r="P399" s="1003"/>
      <c r="Q399" s="1003"/>
    </row>
    <row r="400" spans="3:17" ht="15.75" customHeight="1">
      <c r="C400" s="1003"/>
      <c r="D400" s="1003"/>
      <c r="E400" s="1003"/>
      <c r="F400" s="1003"/>
      <c r="G400" s="1003"/>
      <c r="H400" s="1003"/>
      <c r="I400" s="1003"/>
      <c r="J400" s="1003"/>
      <c r="K400" s="1003"/>
      <c r="L400" s="1003"/>
      <c r="M400" s="1003"/>
      <c r="N400" s="1003"/>
      <c r="O400" s="1003"/>
      <c r="P400" s="1003"/>
      <c r="Q400" s="1003"/>
    </row>
    <row r="401" spans="3:17" ht="15.75" customHeight="1">
      <c r="C401" s="1003"/>
      <c r="D401" s="1003"/>
      <c r="E401" s="1003"/>
      <c r="F401" s="1003"/>
      <c r="G401" s="1003"/>
      <c r="H401" s="1003"/>
      <c r="I401" s="1003"/>
      <c r="J401" s="1003"/>
      <c r="K401" s="1003"/>
      <c r="L401" s="1003"/>
      <c r="M401" s="1003"/>
      <c r="N401" s="1003"/>
      <c r="O401" s="1003"/>
      <c r="P401" s="1003"/>
      <c r="Q401" s="1003"/>
    </row>
    <row r="402" spans="3:17" ht="15.75" customHeight="1">
      <c r="C402" s="1003"/>
      <c r="D402" s="1003"/>
      <c r="E402" s="1003"/>
      <c r="F402" s="1003"/>
      <c r="G402" s="1003"/>
      <c r="H402" s="1003"/>
      <c r="I402" s="1003"/>
      <c r="J402" s="1003"/>
      <c r="K402" s="1003"/>
      <c r="L402" s="1003"/>
      <c r="M402" s="1003"/>
      <c r="N402" s="1003"/>
      <c r="O402" s="1003"/>
      <c r="P402" s="1003"/>
      <c r="Q402" s="1003"/>
    </row>
    <row r="403" spans="3:17" ht="15.75" customHeight="1">
      <c r="C403" s="1003"/>
      <c r="D403" s="1003"/>
      <c r="E403" s="1003"/>
      <c r="F403" s="1003"/>
      <c r="G403" s="1003"/>
      <c r="H403" s="1003"/>
      <c r="I403" s="1003"/>
      <c r="J403" s="1003"/>
      <c r="K403" s="1003"/>
      <c r="L403" s="1003"/>
      <c r="M403" s="1003"/>
      <c r="N403" s="1003"/>
      <c r="O403" s="1003"/>
      <c r="P403" s="1003"/>
      <c r="Q403" s="1003"/>
    </row>
    <row r="404" spans="3:17" ht="15.75" customHeight="1">
      <c r="C404" s="1003"/>
      <c r="D404" s="1003"/>
      <c r="E404" s="1003"/>
      <c r="F404" s="1003"/>
      <c r="G404" s="1003"/>
      <c r="H404" s="1003"/>
      <c r="I404" s="1003"/>
      <c r="J404" s="1003"/>
      <c r="K404" s="1003"/>
      <c r="L404" s="1003"/>
      <c r="M404" s="1003"/>
      <c r="N404" s="1003"/>
      <c r="O404" s="1003"/>
      <c r="P404" s="1003"/>
      <c r="Q404" s="1003"/>
    </row>
    <row r="405" spans="3:17" ht="15.75" customHeight="1">
      <c r="C405" s="1003"/>
      <c r="D405" s="1003"/>
      <c r="E405" s="1003"/>
      <c r="F405" s="1003"/>
      <c r="G405" s="1003"/>
      <c r="H405" s="1003"/>
      <c r="I405" s="1003"/>
      <c r="J405" s="1003"/>
      <c r="K405" s="1003"/>
      <c r="L405" s="1003"/>
      <c r="M405" s="1003"/>
      <c r="N405" s="1003"/>
      <c r="O405" s="1003"/>
      <c r="P405" s="1003"/>
      <c r="Q405" s="1003"/>
    </row>
    <row r="406" spans="3:17" ht="15.75" customHeight="1">
      <c r="C406" s="1003"/>
      <c r="D406" s="1003"/>
      <c r="E406" s="1003"/>
      <c r="F406" s="1003"/>
      <c r="G406" s="1003"/>
      <c r="H406" s="1003"/>
      <c r="I406" s="1003"/>
      <c r="J406" s="1003"/>
      <c r="K406" s="1003"/>
      <c r="L406" s="1003"/>
      <c r="M406" s="1003"/>
      <c r="N406" s="1003"/>
      <c r="O406" s="1003"/>
      <c r="P406" s="1003"/>
      <c r="Q406" s="1003"/>
    </row>
    <row r="407" spans="3:17" ht="15.75" customHeight="1">
      <c r="C407" s="1003"/>
      <c r="D407" s="1003"/>
      <c r="E407" s="1003"/>
      <c r="F407" s="1003"/>
      <c r="G407" s="1003"/>
      <c r="H407" s="1003"/>
      <c r="I407" s="1003"/>
      <c r="J407" s="1003"/>
      <c r="K407" s="1003"/>
      <c r="L407" s="1003"/>
      <c r="M407" s="1003"/>
      <c r="N407" s="1003"/>
      <c r="O407" s="1003"/>
      <c r="P407" s="1003"/>
      <c r="Q407" s="1003"/>
    </row>
    <row r="408" spans="3:17" ht="15.75" customHeight="1">
      <c r="C408" s="1003"/>
      <c r="D408" s="1003"/>
      <c r="E408" s="1003"/>
      <c r="F408" s="1003"/>
      <c r="G408" s="1003"/>
      <c r="H408" s="1003"/>
      <c r="I408" s="1003"/>
      <c r="J408" s="1003"/>
      <c r="K408" s="1003"/>
      <c r="L408" s="1003"/>
      <c r="M408" s="1003"/>
      <c r="N408" s="1003"/>
      <c r="O408" s="1003"/>
      <c r="P408" s="1003"/>
      <c r="Q408" s="1003"/>
    </row>
    <row r="409" spans="3:17" ht="15.75" customHeight="1">
      <c r="C409" s="1003"/>
      <c r="D409" s="1003"/>
      <c r="E409" s="1003"/>
      <c r="F409" s="1003"/>
      <c r="G409" s="1003"/>
      <c r="H409" s="1003"/>
      <c r="I409" s="1003"/>
      <c r="J409" s="1003"/>
      <c r="K409" s="1003"/>
      <c r="L409" s="1003"/>
      <c r="M409" s="1003"/>
      <c r="N409" s="1003"/>
      <c r="O409" s="1003"/>
      <c r="P409" s="1003"/>
      <c r="Q409" s="1003"/>
    </row>
    <row r="410" spans="3:17" ht="15.75" customHeight="1">
      <c r="C410" s="1003"/>
      <c r="D410" s="1003"/>
      <c r="E410" s="1003"/>
      <c r="F410" s="1003"/>
      <c r="G410" s="1003"/>
      <c r="H410" s="1003"/>
      <c r="I410" s="1003"/>
      <c r="J410" s="1003"/>
      <c r="K410" s="1003"/>
      <c r="L410" s="1003"/>
      <c r="M410" s="1003"/>
      <c r="N410" s="1003"/>
      <c r="O410" s="1003"/>
      <c r="P410" s="1003"/>
      <c r="Q410" s="1003"/>
    </row>
    <row r="411" spans="3:17" ht="15.75" customHeight="1">
      <c r="C411" s="1003"/>
      <c r="D411" s="1003"/>
      <c r="E411" s="1003"/>
      <c r="F411" s="1003"/>
      <c r="G411" s="1003"/>
      <c r="H411" s="1003"/>
      <c r="I411" s="1003"/>
      <c r="J411" s="1003"/>
      <c r="K411" s="1003"/>
      <c r="L411" s="1003"/>
      <c r="M411" s="1003"/>
      <c r="N411" s="1003"/>
      <c r="O411" s="1003"/>
      <c r="P411" s="1003"/>
      <c r="Q411" s="1003"/>
    </row>
    <row r="412" spans="3:17" ht="15.75" customHeight="1">
      <c r="C412" s="1003"/>
      <c r="D412" s="1003"/>
      <c r="E412" s="1003"/>
      <c r="F412" s="1003"/>
      <c r="G412" s="1003"/>
      <c r="H412" s="1003"/>
      <c r="I412" s="1003"/>
      <c r="J412" s="1003"/>
      <c r="K412" s="1003"/>
      <c r="L412" s="1003"/>
      <c r="M412" s="1003"/>
      <c r="N412" s="1003"/>
      <c r="O412" s="1003"/>
      <c r="P412" s="1003"/>
      <c r="Q412" s="1003"/>
    </row>
    <row r="413" spans="3:17" ht="15.75" customHeight="1">
      <c r="C413" s="1003"/>
      <c r="D413" s="1003"/>
      <c r="E413" s="1003"/>
      <c r="F413" s="1003"/>
      <c r="G413" s="1003"/>
      <c r="H413" s="1003"/>
      <c r="I413" s="1003"/>
      <c r="J413" s="1003"/>
      <c r="K413" s="1003"/>
      <c r="L413" s="1003"/>
      <c r="M413" s="1003"/>
      <c r="N413" s="1003"/>
      <c r="O413" s="1003"/>
      <c r="P413" s="1003"/>
      <c r="Q413" s="1003"/>
    </row>
    <row r="414" spans="3:17" ht="15.75" customHeight="1">
      <c r="C414" s="1003"/>
      <c r="D414" s="1003"/>
      <c r="E414" s="1003"/>
      <c r="F414" s="1003"/>
      <c r="G414" s="1003"/>
      <c r="H414" s="1003"/>
      <c r="I414" s="1003"/>
      <c r="J414" s="1003"/>
      <c r="K414" s="1003"/>
      <c r="L414" s="1003"/>
      <c r="M414" s="1003"/>
      <c r="N414" s="1003"/>
      <c r="O414" s="1003"/>
      <c r="P414" s="1003"/>
      <c r="Q414" s="1003"/>
    </row>
    <row r="415" spans="3:17" ht="15.75" customHeight="1">
      <c r="C415" s="1003"/>
      <c r="D415" s="1003"/>
      <c r="E415" s="1003"/>
      <c r="F415" s="1003"/>
      <c r="G415" s="1003"/>
      <c r="H415" s="1003"/>
      <c r="I415" s="1003"/>
      <c r="J415" s="1003"/>
      <c r="K415" s="1003"/>
      <c r="L415" s="1003"/>
      <c r="M415" s="1003"/>
      <c r="N415" s="1003"/>
      <c r="O415" s="1003"/>
      <c r="P415" s="1003"/>
      <c r="Q415" s="1003"/>
    </row>
    <row r="416" spans="3:17" ht="15.75" customHeight="1">
      <c r="C416" s="1003"/>
      <c r="D416" s="1003"/>
      <c r="E416" s="1003"/>
      <c r="F416" s="1003"/>
      <c r="G416" s="1003"/>
      <c r="H416" s="1003"/>
      <c r="I416" s="1003"/>
      <c r="J416" s="1003"/>
      <c r="K416" s="1003"/>
      <c r="L416" s="1003"/>
      <c r="M416" s="1003"/>
      <c r="N416" s="1003"/>
      <c r="O416" s="1003"/>
      <c r="P416" s="1003"/>
      <c r="Q416" s="1003"/>
    </row>
    <row r="417" spans="3:17" ht="15.75" customHeight="1">
      <c r="C417" s="1003"/>
      <c r="D417" s="1003"/>
      <c r="E417" s="1003"/>
      <c r="F417" s="1003"/>
      <c r="G417" s="1003"/>
      <c r="H417" s="1003"/>
      <c r="I417" s="1003"/>
      <c r="J417" s="1003"/>
      <c r="K417" s="1003"/>
      <c r="L417" s="1003"/>
      <c r="M417" s="1003"/>
      <c r="N417" s="1003"/>
      <c r="O417" s="1003"/>
      <c r="P417" s="1003"/>
      <c r="Q417" s="1003"/>
    </row>
    <row r="418" spans="3:17" ht="15.75" customHeight="1">
      <c r="C418" s="1003"/>
      <c r="D418" s="1003"/>
      <c r="E418" s="1003"/>
      <c r="F418" s="1003"/>
      <c r="G418" s="1003"/>
      <c r="H418" s="1003"/>
      <c r="I418" s="1003"/>
      <c r="J418" s="1003"/>
      <c r="K418" s="1003"/>
      <c r="L418" s="1003"/>
      <c r="M418" s="1003"/>
      <c r="N418" s="1003"/>
      <c r="O418" s="1003"/>
      <c r="P418" s="1003"/>
      <c r="Q418" s="1003"/>
    </row>
    <row r="419" spans="3:17" ht="15.75" customHeight="1">
      <c r="C419" s="1003"/>
      <c r="D419" s="1003"/>
      <c r="E419" s="1003"/>
      <c r="F419" s="1003"/>
      <c r="G419" s="1003"/>
      <c r="H419" s="1003"/>
      <c r="I419" s="1003"/>
      <c r="J419" s="1003"/>
      <c r="K419" s="1003"/>
      <c r="L419" s="1003"/>
      <c r="M419" s="1003"/>
      <c r="N419" s="1003"/>
      <c r="O419" s="1003"/>
      <c r="P419" s="1003"/>
      <c r="Q419" s="1003"/>
    </row>
    <row r="420" spans="3:17" ht="15.75" customHeight="1">
      <c r="C420" s="1003"/>
      <c r="D420" s="1003"/>
      <c r="E420" s="1003"/>
      <c r="F420" s="1003"/>
      <c r="G420" s="1003"/>
      <c r="H420" s="1003"/>
      <c r="I420" s="1003"/>
      <c r="J420" s="1003"/>
      <c r="K420" s="1003"/>
      <c r="L420" s="1003"/>
      <c r="M420" s="1003"/>
      <c r="N420" s="1003"/>
      <c r="O420" s="1003"/>
      <c r="P420" s="1003"/>
      <c r="Q420" s="1003"/>
    </row>
    <row r="421" spans="3:17" ht="15.75" customHeight="1">
      <c r="C421" s="1003"/>
      <c r="D421" s="1003"/>
      <c r="E421" s="1003"/>
      <c r="F421" s="1003"/>
      <c r="G421" s="1003"/>
      <c r="H421" s="1003"/>
      <c r="I421" s="1003"/>
      <c r="J421" s="1003"/>
      <c r="K421" s="1003"/>
      <c r="L421" s="1003"/>
      <c r="M421" s="1003"/>
      <c r="N421" s="1003"/>
      <c r="O421" s="1003"/>
      <c r="P421" s="1003"/>
      <c r="Q421" s="1003"/>
    </row>
    <row r="422" spans="3:17" ht="15.75" customHeight="1">
      <c r="C422" s="1003"/>
      <c r="D422" s="1003"/>
      <c r="E422" s="1003"/>
      <c r="F422" s="1003"/>
      <c r="G422" s="1003"/>
      <c r="H422" s="1003"/>
      <c r="I422" s="1003"/>
      <c r="J422" s="1003"/>
      <c r="K422" s="1003"/>
      <c r="L422" s="1003"/>
      <c r="M422" s="1003"/>
      <c r="N422" s="1003"/>
      <c r="O422" s="1003"/>
      <c r="P422" s="1003"/>
      <c r="Q422" s="1003"/>
    </row>
    <row r="423" spans="3:17" ht="15.75" customHeight="1">
      <c r="C423" s="1003"/>
      <c r="D423" s="1003"/>
      <c r="E423" s="1003"/>
      <c r="F423" s="1003"/>
      <c r="G423" s="1003"/>
      <c r="H423" s="1003"/>
      <c r="I423" s="1003"/>
      <c r="J423" s="1003"/>
      <c r="K423" s="1003"/>
      <c r="L423" s="1003"/>
      <c r="M423" s="1003"/>
      <c r="N423" s="1003"/>
      <c r="O423" s="1003"/>
      <c r="P423" s="1003"/>
      <c r="Q423" s="1003"/>
    </row>
    <row r="424" spans="3:17" ht="15.75" customHeight="1">
      <c r="C424" s="1003"/>
      <c r="D424" s="1003"/>
      <c r="E424" s="1003"/>
      <c r="F424" s="1003"/>
      <c r="G424" s="1003"/>
      <c r="H424" s="1003"/>
      <c r="I424" s="1003"/>
      <c r="J424" s="1003"/>
      <c r="K424" s="1003"/>
      <c r="L424" s="1003"/>
      <c r="M424" s="1003"/>
      <c r="N424" s="1003"/>
      <c r="O424" s="1003"/>
      <c r="P424" s="1003"/>
      <c r="Q424" s="1003"/>
    </row>
    <row r="425" spans="3:17" ht="15.75" customHeight="1">
      <c r="C425" s="1003"/>
      <c r="D425" s="1003"/>
      <c r="E425" s="1003"/>
      <c r="F425" s="1003"/>
      <c r="G425" s="1003"/>
      <c r="H425" s="1003"/>
      <c r="I425" s="1003"/>
      <c r="J425" s="1003"/>
      <c r="K425" s="1003"/>
      <c r="L425" s="1003"/>
      <c r="M425" s="1003"/>
      <c r="N425" s="1003"/>
      <c r="O425" s="1003"/>
      <c r="P425" s="1003"/>
      <c r="Q425" s="1003"/>
    </row>
    <row r="426" spans="3:17" ht="15.75" customHeight="1">
      <c r="C426" s="1003"/>
      <c r="D426" s="1003"/>
      <c r="E426" s="1003"/>
      <c r="F426" s="1003"/>
      <c r="G426" s="1003"/>
      <c r="H426" s="1003"/>
      <c r="I426" s="1003"/>
      <c r="J426" s="1003"/>
      <c r="K426" s="1003"/>
      <c r="L426" s="1003"/>
      <c r="M426" s="1003"/>
      <c r="N426" s="1003"/>
      <c r="O426" s="1003"/>
      <c r="P426" s="1003"/>
      <c r="Q426" s="1003"/>
    </row>
    <row r="427" spans="3:17" ht="15.75" customHeight="1">
      <c r="C427" s="1003"/>
      <c r="D427" s="1003"/>
      <c r="E427" s="1003"/>
      <c r="F427" s="1003"/>
      <c r="G427" s="1003"/>
      <c r="H427" s="1003"/>
      <c r="I427" s="1003"/>
      <c r="J427" s="1003"/>
      <c r="K427" s="1003"/>
      <c r="L427" s="1003"/>
      <c r="M427" s="1003"/>
      <c r="N427" s="1003"/>
      <c r="O427" s="1003"/>
      <c r="P427" s="1003"/>
      <c r="Q427" s="1003"/>
    </row>
    <row r="428" spans="3:17" ht="15.75" customHeight="1">
      <c r="C428" s="1003"/>
      <c r="D428" s="1003"/>
      <c r="E428" s="1003"/>
      <c r="F428" s="1003"/>
      <c r="G428" s="1003"/>
      <c r="H428" s="1003"/>
      <c r="I428" s="1003"/>
      <c r="J428" s="1003"/>
      <c r="K428" s="1003"/>
      <c r="L428" s="1003"/>
      <c r="M428" s="1003"/>
      <c r="N428" s="1003"/>
      <c r="O428" s="1003"/>
      <c r="P428" s="1003"/>
      <c r="Q428" s="1003"/>
    </row>
    <row r="429" spans="3:17" ht="15.75" customHeight="1">
      <c r="C429" s="1003"/>
      <c r="D429" s="1003"/>
      <c r="E429" s="1003"/>
      <c r="F429" s="1003"/>
      <c r="G429" s="1003"/>
      <c r="H429" s="1003"/>
      <c r="I429" s="1003"/>
      <c r="J429" s="1003"/>
      <c r="K429" s="1003"/>
      <c r="L429" s="1003"/>
      <c r="M429" s="1003"/>
      <c r="N429" s="1003"/>
      <c r="O429" s="1003"/>
      <c r="P429" s="1003"/>
      <c r="Q429" s="1003"/>
    </row>
    <row r="430" spans="3:17" ht="15.75" customHeight="1">
      <c r="C430" s="1003"/>
      <c r="D430" s="1003"/>
      <c r="E430" s="1003"/>
      <c r="F430" s="1003"/>
      <c r="G430" s="1003"/>
      <c r="H430" s="1003"/>
      <c r="I430" s="1003"/>
      <c r="J430" s="1003"/>
      <c r="K430" s="1003"/>
      <c r="L430" s="1003"/>
      <c r="M430" s="1003"/>
      <c r="N430" s="1003"/>
      <c r="O430" s="1003"/>
      <c r="P430" s="1003"/>
      <c r="Q430" s="1003"/>
    </row>
    <row r="431" spans="3:17" ht="15.75" customHeight="1">
      <c r="C431" s="1003"/>
      <c r="D431" s="1003"/>
      <c r="E431" s="1003"/>
      <c r="F431" s="1003"/>
      <c r="G431" s="1003"/>
      <c r="H431" s="1003"/>
      <c r="I431" s="1003"/>
      <c r="J431" s="1003"/>
      <c r="K431" s="1003"/>
      <c r="L431" s="1003"/>
      <c r="M431" s="1003"/>
      <c r="N431" s="1003"/>
      <c r="O431" s="1003"/>
      <c r="P431" s="1003"/>
      <c r="Q431" s="1003"/>
    </row>
    <row r="432" spans="3:17" ht="15.75" customHeight="1">
      <c r="C432" s="1003"/>
      <c r="D432" s="1003"/>
      <c r="E432" s="1003"/>
      <c r="F432" s="1003"/>
      <c r="G432" s="1003"/>
      <c r="H432" s="1003"/>
      <c r="I432" s="1003"/>
      <c r="J432" s="1003"/>
      <c r="K432" s="1003"/>
      <c r="L432" s="1003"/>
      <c r="M432" s="1003"/>
      <c r="N432" s="1003"/>
      <c r="O432" s="1003"/>
      <c r="P432" s="1003"/>
      <c r="Q432" s="1003"/>
    </row>
    <row r="433" spans="3:17" ht="15.75" customHeight="1">
      <c r="C433" s="1003"/>
      <c r="D433" s="1003"/>
      <c r="E433" s="1003"/>
      <c r="F433" s="1003"/>
      <c r="G433" s="1003"/>
      <c r="H433" s="1003"/>
      <c r="I433" s="1003"/>
      <c r="J433" s="1003"/>
      <c r="K433" s="1003"/>
      <c r="L433" s="1003"/>
      <c r="M433" s="1003"/>
      <c r="N433" s="1003"/>
      <c r="O433" s="1003"/>
      <c r="P433" s="1003"/>
      <c r="Q433" s="1003"/>
    </row>
    <row r="434" spans="3:17" ht="15.75" customHeight="1">
      <c r="C434" s="1003"/>
      <c r="D434" s="1003"/>
      <c r="E434" s="1003"/>
      <c r="F434" s="1003"/>
      <c r="G434" s="1003"/>
      <c r="H434" s="1003"/>
      <c r="I434" s="1003"/>
      <c r="J434" s="1003"/>
      <c r="K434" s="1003"/>
      <c r="L434" s="1003"/>
      <c r="M434" s="1003"/>
      <c r="N434" s="1003"/>
      <c r="O434" s="1003"/>
      <c r="P434" s="1003"/>
      <c r="Q434" s="1003"/>
    </row>
    <row r="435" spans="3:17" ht="15.75" customHeight="1">
      <c r="C435" s="1003"/>
      <c r="D435" s="1003"/>
      <c r="E435" s="1003"/>
      <c r="F435" s="1003"/>
      <c r="G435" s="1003"/>
      <c r="H435" s="1003"/>
      <c r="I435" s="1003"/>
      <c r="J435" s="1003"/>
      <c r="K435" s="1003"/>
      <c r="L435" s="1003"/>
      <c r="M435" s="1003"/>
      <c r="N435" s="1003"/>
      <c r="O435" s="1003"/>
      <c r="P435" s="1003"/>
      <c r="Q435" s="1003"/>
    </row>
    <row r="436" spans="3:17" ht="15.75" customHeight="1">
      <c r="C436" s="1003"/>
      <c r="D436" s="1003"/>
      <c r="E436" s="1003"/>
      <c r="F436" s="1003"/>
      <c r="G436" s="1003"/>
      <c r="H436" s="1003"/>
      <c r="I436" s="1003"/>
      <c r="J436" s="1003"/>
      <c r="K436" s="1003"/>
      <c r="L436" s="1003"/>
      <c r="M436" s="1003"/>
      <c r="N436" s="1003"/>
      <c r="O436" s="1003"/>
      <c r="P436" s="1003"/>
      <c r="Q436" s="1003"/>
    </row>
    <row r="437" spans="3:17" ht="15.75" customHeight="1">
      <c r="C437" s="1003"/>
      <c r="D437" s="1003"/>
      <c r="E437" s="1003"/>
      <c r="F437" s="1003"/>
      <c r="G437" s="1003"/>
      <c r="H437" s="1003"/>
      <c r="I437" s="1003"/>
      <c r="J437" s="1003"/>
      <c r="K437" s="1003"/>
      <c r="L437" s="1003"/>
      <c r="M437" s="1003"/>
      <c r="N437" s="1003"/>
      <c r="O437" s="1003"/>
      <c r="P437" s="1003"/>
      <c r="Q437" s="1003"/>
    </row>
    <row r="438" spans="3:17" ht="15.75" customHeight="1">
      <c r="C438" s="1003"/>
      <c r="D438" s="1003"/>
      <c r="E438" s="1003"/>
      <c r="F438" s="1003"/>
      <c r="G438" s="1003"/>
      <c r="H438" s="1003"/>
      <c r="I438" s="1003"/>
      <c r="J438" s="1003"/>
      <c r="K438" s="1003"/>
      <c r="L438" s="1003"/>
      <c r="M438" s="1003"/>
      <c r="N438" s="1003"/>
      <c r="O438" s="1003"/>
      <c r="P438" s="1003"/>
      <c r="Q438" s="1003"/>
    </row>
    <row r="439" spans="3:17" ht="15.75" customHeight="1">
      <c r="C439" s="1003"/>
      <c r="D439" s="1003"/>
      <c r="E439" s="1003"/>
      <c r="F439" s="1003"/>
      <c r="G439" s="1003"/>
      <c r="H439" s="1003"/>
      <c r="I439" s="1003"/>
      <c r="J439" s="1003"/>
      <c r="K439" s="1003"/>
      <c r="L439" s="1003"/>
      <c r="M439" s="1003"/>
      <c r="N439" s="1003"/>
      <c r="O439" s="1003"/>
      <c r="P439" s="1003"/>
      <c r="Q439" s="1003"/>
    </row>
    <row r="440" spans="3:17" ht="15.75" customHeight="1">
      <c r="C440" s="1003"/>
      <c r="D440" s="1003"/>
      <c r="E440" s="1003"/>
      <c r="F440" s="1003"/>
      <c r="G440" s="1003"/>
      <c r="H440" s="1003"/>
      <c r="I440" s="1003"/>
      <c r="J440" s="1003"/>
      <c r="K440" s="1003"/>
      <c r="L440" s="1003"/>
      <c r="M440" s="1003"/>
      <c r="N440" s="1003"/>
      <c r="O440" s="1003"/>
      <c r="P440" s="1003"/>
      <c r="Q440" s="1003"/>
    </row>
    <row r="441" spans="3:17" ht="15.75" customHeight="1">
      <c r="C441" s="1003"/>
      <c r="D441" s="1003"/>
      <c r="E441" s="1003"/>
      <c r="F441" s="1003"/>
      <c r="G441" s="1003"/>
      <c r="H441" s="1003"/>
      <c r="I441" s="1003"/>
      <c r="J441" s="1003"/>
      <c r="K441" s="1003"/>
      <c r="L441" s="1003"/>
      <c r="M441" s="1003"/>
      <c r="N441" s="1003"/>
      <c r="O441" s="1003"/>
      <c r="P441" s="1003"/>
      <c r="Q441" s="1003"/>
    </row>
    <row r="442" spans="3:17" ht="15.75" customHeight="1">
      <c r="C442" s="1003"/>
      <c r="D442" s="1003"/>
      <c r="E442" s="1003"/>
      <c r="F442" s="1003"/>
      <c r="G442" s="1003"/>
      <c r="H442" s="1003"/>
      <c r="I442" s="1003"/>
      <c r="J442" s="1003"/>
      <c r="K442" s="1003"/>
      <c r="L442" s="1003"/>
      <c r="M442" s="1003"/>
      <c r="N442" s="1003"/>
      <c r="O442" s="1003"/>
      <c r="P442" s="1003"/>
      <c r="Q442" s="1003"/>
    </row>
    <row r="443" spans="3:17" ht="15.75" customHeight="1">
      <c r="C443" s="1003"/>
      <c r="D443" s="1003"/>
      <c r="E443" s="1003"/>
      <c r="F443" s="1003"/>
      <c r="G443" s="1003"/>
      <c r="H443" s="1003"/>
      <c r="I443" s="1003"/>
      <c r="J443" s="1003"/>
      <c r="K443" s="1003"/>
      <c r="L443" s="1003"/>
      <c r="M443" s="1003"/>
      <c r="N443" s="1003"/>
      <c r="O443" s="1003"/>
      <c r="P443" s="1003"/>
      <c r="Q443" s="1003"/>
    </row>
    <row r="444" spans="3:17" ht="15.75" customHeight="1">
      <c r="C444" s="1003"/>
      <c r="D444" s="1003"/>
      <c r="E444" s="1003"/>
      <c r="F444" s="1003"/>
      <c r="G444" s="1003"/>
      <c r="H444" s="1003"/>
      <c r="I444" s="1003"/>
      <c r="J444" s="1003"/>
      <c r="K444" s="1003"/>
      <c r="L444" s="1003"/>
      <c r="M444" s="1003"/>
      <c r="N444" s="1003"/>
      <c r="O444" s="1003"/>
      <c r="P444" s="1003"/>
      <c r="Q444" s="1003"/>
    </row>
    <row r="445" spans="3:17" ht="15.75" customHeight="1">
      <c r="C445" s="1003"/>
      <c r="D445" s="1003"/>
      <c r="E445" s="1003"/>
      <c r="F445" s="1003"/>
      <c r="G445" s="1003"/>
      <c r="H445" s="1003"/>
      <c r="I445" s="1003"/>
      <c r="J445" s="1003"/>
      <c r="K445" s="1003"/>
      <c r="L445" s="1003"/>
      <c r="M445" s="1003"/>
      <c r="N445" s="1003"/>
      <c r="O445" s="1003"/>
      <c r="P445" s="1003"/>
      <c r="Q445" s="1003"/>
    </row>
    <row r="446" spans="3:17" ht="15.75" customHeight="1">
      <c r="C446" s="1003"/>
      <c r="D446" s="1003"/>
      <c r="E446" s="1003"/>
      <c r="F446" s="1003"/>
      <c r="G446" s="1003"/>
      <c r="H446" s="1003"/>
      <c r="I446" s="1003"/>
      <c r="J446" s="1003"/>
      <c r="K446" s="1003"/>
      <c r="L446" s="1003"/>
      <c r="M446" s="1003"/>
      <c r="N446" s="1003"/>
      <c r="O446" s="1003"/>
      <c r="P446" s="1003"/>
      <c r="Q446" s="1003"/>
    </row>
    <row r="447" spans="3:17" ht="15.75" customHeight="1">
      <c r="C447" s="1003"/>
      <c r="D447" s="1003"/>
      <c r="E447" s="1003"/>
      <c r="F447" s="1003"/>
      <c r="G447" s="1003"/>
      <c r="H447" s="1003"/>
      <c r="I447" s="1003"/>
      <c r="J447" s="1003"/>
      <c r="K447" s="1003"/>
      <c r="L447" s="1003"/>
      <c r="M447" s="1003"/>
      <c r="N447" s="1003"/>
      <c r="O447" s="1003"/>
      <c r="P447" s="1003"/>
      <c r="Q447" s="1003"/>
    </row>
    <row r="448" spans="3:17" ht="15.75" customHeight="1">
      <c r="C448" s="1003"/>
      <c r="D448" s="1003"/>
      <c r="E448" s="1003"/>
      <c r="F448" s="1003"/>
      <c r="G448" s="1003"/>
      <c r="H448" s="1003"/>
      <c r="I448" s="1003"/>
      <c r="J448" s="1003"/>
      <c r="K448" s="1003"/>
      <c r="L448" s="1003"/>
      <c r="M448" s="1003"/>
      <c r="N448" s="1003"/>
      <c r="O448" s="1003"/>
      <c r="P448" s="1003"/>
      <c r="Q448" s="1003"/>
    </row>
    <row r="449" spans="3:17" ht="15.75" customHeight="1">
      <c r="C449" s="1003"/>
      <c r="D449" s="1003"/>
      <c r="E449" s="1003"/>
      <c r="F449" s="1003"/>
      <c r="G449" s="1003"/>
      <c r="H449" s="1003"/>
      <c r="I449" s="1003"/>
      <c r="J449" s="1003"/>
      <c r="K449" s="1003"/>
      <c r="L449" s="1003"/>
      <c r="M449" s="1003"/>
      <c r="N449" s="1003"/>
      <c r="O449" s="1003"/>
      <c r="P449" s="1003"/>
      <c r="Q449" s="1003"/>
    </row>
    <row r="450" spans="3:17" ht="15.75" customHeight="1">
      <c r="C450" s="1003"/>
      <c r="D450" s="1003"/>
      <c r="E450" s="1003"/>
      <c r="F450" s="1003"/>
      <c r="G450" s="1003"/>
      <c r="H450" s="1003"/>
      <c r="I450" s="1003"/>
      <c r="J450" s="1003"/>
      <c r="K450" s="1003"/>
      <c r="L450" s="1003"/>
      <c r="M450" s="1003"/>
      <c r="N450" s="1003"/>
      <c r="O450" s="1003"/>
      <c r="P450" s="1003"/>
      <c r="Q450" s="1003"/>
    </row>
    <row r="451" spans="3:17" ht="15.75" customHeight="1">
      <c r="C451" s="1003"/>
      <c r="D451" s="1003"/>
      <c r="E451" s="1003"/>
      <c r="F451" s="1003"/>
      <c r="G451" s="1003"/>
      <c r="H451" s="1003"/>
      <c r="I451" s="1003"/>
      <c r="J451" s="1003"/>
      <c r="K451" s="1003"/>
      <c r="L451" s="1003"/>
      <c r="M451" s="1003"/>
      <c r="N451" s="1003"/>
      <c r="O451" s="1003"/>
      <c r="P451" s="1003"/>
      <c r="Q451" s="1003"/>
    </row>
    <row r="452" spans="3:17" ht="15.75" customHeight="1">
      <c r="C452" s="1003"/>
      <c r="D452" s="1003"/>
      <c r="E452" s="1003"/>
      <c r="F452" s="1003"/>
      <c r="G452" s="1003"/>
      <c r="H452" s="1003"/>
      <c r="I452" s="1003"/>
      <c r="J452" s="1003"/>
      <c r="K452" s="1003"/>
      <c r="L452" s="1003"/>
      <c r="M452" s="1003"/>
      <c r="N452" s="1003"/>
      <c r="O452" s="1003"/>
      <c r="P452" s="1003"/>
      <c r="Q452" s="1003"/>
    </row>
    <row r="453" spans="3:17" ht="15.75" customHeight="1">
      <c r="C453" s="1003"/>
      <c r="D453" s="1003"/>
      <c r="E453" s="1003"/>
      <c r="F453" s="1003"/>
      <c r="G453" s="1003"/>
      <c r="H453" s="1003"/>
      <c r="I453" s="1003"/>
      <c r="J453" s="1003"/>
      <c r="K453" s="1003"/>
      <c r="L453" s="1003"/>
      <c r="M453" s="1003"/>
      <c r="N453" s="1003"/>
      <c r="O453" s="1003"/>
      <c r="P453" s="1003"/>
      <c r="Q453" s="1003"/>
    </row>
    <row r="454" spans="3:17" ht="15.75" customHeight="1">
      <c r="C454" s="1003"/>
      <c r="D454" s="1003"/>
      <c r="E454" s="1003"/>
      <c r="F454" s="1003"/>
      <c r="G454" s="1003"/>
      <c r="H454" s="1003"/>
      <c r="I454" s="1003"/>
      <c r="J454" s="1003"/>
      <c r="K454" s="1003"/>
      <c r="L454" s="1003"/>
      <c r="M454" s="1003"/>
      <c r="N454" s="1003"/>
      <c r="O454" s="1003"/>
      <c r="P454" s="1003"/>
      <c r="Q454" s="1003"/>
    </row>
    <row r="455" spans="3:17" ht="15.75" customHeight="1">
      <c r="C455" s="1003"/>
      <c r="D455" s="1003"/>
      <c r="E455" s="1003"/>
      <c r="F455" s="1003"/>
      <c r="G455" s="1003"/>
      <c r="H455" s="1003"/>
      <c r="I455" s="1003"/>
      <c r="J455" s="1003"/>
      <c r="K455" s="1003"/>
      <c r="L455" s="1003"/>
      <c r="M455" s="1003"/>
      <c r="N455" s="1003"/>
      <c r="O455" s="1003"/>
      <c r="P455" s="1003"/>
      <c r="Q455" s="1003"/>
    </row>
    <row r="456" spans="3:17" ht="15.75" customHeight="1">
      <c r="C456" s="1003"/>
      <c r="D456" s="1003"/>
      <c r="E456" s="1003"/>
      <c r="F456" s="1003"/>
      <c r="G456" s="1003"/>
      <c r="H456" s="1003"/>
      <c r="I456" s="1003"/>
      <c r="J456" s="1003"/>
      <c r="K456" s="1003"/>
      <c r="L456" s="1003"/>
      <c r="M456" s="1003"/>
      <c r="N456" s="1003"/>
      <c r="O456" s="1003"/>
      <c r="P456" s="1003"/>
      <c r="Q456" s="1003"/>
    </row>
    <row r="457" spans="3:17" ht="15.75" customHeight="1">
      <c r="C457" s="1003"/>
      <c r="D457" s="1003"/>
      <c r="E457" s="1003"/>
      <c r="F457" s="1003"/>
      <c r="G457" s="1003"/>
      <c r="H457" s="1003"/>
      <c r="I457" s="1003"/>
      <c r="J457" s="1003"/>
      <c r="K457" s="1003"/>
      <c r="L457" s="1003"/>
      <c r="M457" s="1003"/>
      <c r="N457" s="1003"/>
      <c r="O457" s="1003"/>
      <c r="P457" s="1003"/>
      <c r="Q457" s="1003"/>
    </row>
    <row r="458" spans="3:17" ht="15.75" customHeight="1">
      <c r="C458" s="1003"/>
      <c r="D458" s="1003"/>
      <c r="E458" s="1003"/>
      <c r="F458" s="1003"/>
      <c r="G458" s="1003"/>
      <c r="H458" s="1003"/>
      <c r="I458" s="1003"/>
      <c r="J458" s="1003"/>
      <c r="K458" s="1003"/>
      <c r="L458" s="1003"/>
      <c r="M458" s="1003"/>
      <c r="N458" s="1003"/>
      <c r="O458" s="1003"/>
      <c r="P458" s="1003"/>
      <c r="Q458" s="1003"/>
    </row>
    <row r="459" spans="3:17" ht="15.75" customHeight="1">
      <c r="C459" s="1003"/>
      <c r="D459" s="1003"/>
      <c r="E459" s="1003"/>
      <c r="F459" s="1003"/>
      <c r="G459" s="1003"/>
      <c r="H459" s="1003"/>
      <c r="I459" s="1003"/>
      <c r="J459" s="1003"/>
      <c r="K459" s="1003"/>
      <c r="L459" s="1003"/>
      <c r="M459" s="1003"/>
      <c r="N459" s="1003"/>
      <c r="O459" s="1003"/>
      <c r="P459" s="1003"/>
      <c r="Q459" s="1003"/>
    </row>
    <row r="460" spans="3:17" ht="15.75" customHeight="1">
      <c r="C460" s="1003"/>
      <c r="D460" s="1003"/>
      <c r="E460" s="1003"/>
      <c r="F460" s="1003"/>
      <c r="G460" s="1003"/>
      <c r="H460" s="1003"/>
      <c r="I460" s="1003"/>
      <c r="J460" s="1003"/>
      <c r="K460" s="1003"/>
      <c r="L460" s="1003"/>
      <c r="M460" s="1003"/>
      <c r="N460" s="1003"/>
      <c r="O460" s="1003"/>
      <c r="P460" s="1003"/>
      <c r="Q460" s="1003"/>
    </row>
    <row r="461" spans="3:17" ht="15.75" customHeight="1">
      <c r="C461" s="1003"/>
      <c r="D461" s="1003"/>
      <c r="E461" s="1003"/>
      <c r="F461" s="1003"/>
      <c r="G461" s="1003"/>
      <c r="H461" s="1003"/>
      <c r="I461" s="1003"/>
      <c r="J461" s="1003"/>
      <c r="K461" s="1003"/>
      <c r="L461" s="1003"/>
      <c r="M461" s="1003"/>
      <c r="N461" s="1003"/>
      <c r="O461" s="1003"/>
      <c r="P461" s="1003"/>
      <c r="Q461" s="1003"/>
    </row>
    <row r="462" spans="3:17" ht="15.75" customHeight="1">
      <c r="C462" s="1003"/>
      <c r="D462" s="1003"/>
      <c r="E462" s="1003"/>
      <c r="F462" s="1003"/>
      <c r="G462" s="1003"/>
      <c r="H462" s="1003"/>
      <c r="I462" s="1003"/>
      <c r="J462" s="1003"/>
      <c r="K462" s="1003"/>
      <c r="L462" s="1003"/>
      <c r="M462" s="1003"/>
      <c r="N462" s="1003"/>
      <c r="O462" s="1003"/>
      <c r="P462" s="1003"/>
      <c r="Q462" s="1003"/>
    </row>
    <row r="463" spans="3:17" ht="15.75" customHeight="1">
      <c r="C463" s="1003"/>
      <c r="D463" s="1003"/>
      <c r="E463" s="1003"/>
      <c r="F463" s="1003"/>
      <c r="G463" s="1003"/>
      <c r="H463" s="1003"/>
      <c r="I463" s="1003"/>
      <c r="J463" s="1003"/>
      <c r="K463" s="1003"/>
      <c r="L463" s="1003"/>
      <c r="M463" s="1003"/>
      <c r="N463" s="1003"/>
      <c r="O463" s="1003"/>
      <c r="P463" s="1003"/>
      <c r="Q463" s="1003"/>
    </row>
    <row r="464" spans="3:17" ht="15.75" customHeight="1">
      <c r="C464" s="1003"/>
      <c r="D464" s="1003"/>
      <c r="E464" s="1003"/>
      <c r="F464" s="1003"/>
      <c r="G464" s="1003"/>
      <c r="H464" s="1003"/>
      <c r="I464" s="1003"/>
      <c r="J464" s="1003"/>
      <c r="K464" s="1003"/>
      <c r="L464" s="1003"/>
      <c r="M464" s="1003"/>
      <c r="N464" s="1003"/>
      <c r="O464" s="1003"/>
      <c r="P464" s="1003"/>
      <c r="Q464" s="1003"/>
    </row>
    <row r="465" spans="3:17" ht="15.75" customHeight="1">
      <c r="C465" s="1003"/>
      <c r="D465" s="1003"/>
      <c r="E465" s="1003"/>
      <c r="F465" s="1003"/>
      <c r="G465" s="1003"/>
      <c r="H465" s="1003"/>
      <c r="I465" s="1003"/>
      <c r="J465" s="1003"/>
      <c r="K465" s="1003"/>
      <c r="L465" s="1003"/>
      <c r="M465" s="1003"/>
      <c r="N465" s="1003"/>
      <c r="O465" s="1003"/>
      <c r="P465" s="1003"/>
      <c r="Q465" s="1003"/>
    </row>
    <row r="466" spans="3:17" ht="15.75" customHeight="1">
      <c r="C466" s="1003"/>
      <c r="D466" s="1003"/>
      <c r="E466" s="1003"/>
      <c r="F466" s="1003"/>
      <c r="G466" s="1003"/>
      <c r="H466" s="1003"/>
      <c r="I466" s="1003"/>
      <c r="J466" s="1003"/>
      <c r="K466" s="1003"/>
      <c r="L466" s="1003"/>
      <c r="M466" s="1003"/>
      <c r="N466" s="1003"/>
      <c r="O466" s="1003"/>
      <c r="P466" s="1003"/>
      <c r="Q466" s="1003"/>
    </row>
    <row r="467" spans="3:17" ht="15.75" customHeight="1">
      <c r="C467" s="1003"/>
      <c r="D467" s="1003"/>
      <c r="E467" s="1003"/>
      <c r="F467" s="1003"/>
      <c r="G467" s="1003"/>
      <c r="H467" s="1003"/>
      <c r="I467" s="1003"/>
      <c r="J467" s="1003"/>
      <c r="K467" s="1003"/>
      <c r="L467" s="1003"/>
      <c r="M467" s="1003"/>
      <c r="N467" s="1003"/>
      <c r="O467" s="1003"/>
      <c r="P467" s="1003"/>
      <c r="Q467" s="1003"/>
    </row>
    <row r="468" spans="3:17" ht="15.75" customHeight="1">
      <c r="C468" s="1003"/>
      <c r="D468" s="1003"/>
      <c r="E468" s="1003"/>
      <c r="F468" s="1003"/>
      <c r="G468" s="1003"/>
      <c r="H468" s="1003"/>
      <c r="I468" s="1003"/>
      <c r="J468" s="1003"/>
      <c r="K468" s="1003"/>
      <c r="L468" s="1003"/>
      <c r="M468" s="1003"/>
      <c r="N468" s="1003"/>
      <c r="O468" s="1003"/>
      <c r="P468" s="1003"/>
      <c r="Q468" s="1003"/>
    </row>
    <row r="469" spans="3:17" ht="15.75" customHeight="1">
      <c r="C469" s="1003"/>
      <c r="D469" s="1003"/>
      <c r="E469" s="1003"/>
      <c r="F469" s="1003"/>
      <c r="G469" s="1003"/>
      <c r="H469" s="1003"/>
      <c r="I469" s="1003"/>
      <c r="J469" s="1003"/>
      <c r="K469" s="1003"/>
      <c r="L469" s="1003"/>
      <c r="M469" s="1003"/>
      <c r="N469" s="1003"/>
      <c r="O469" s="1003"/>
      <c r="P469" s="1003"/>
      <c r="Q469" s="1003"/>
    </row>
    <row r="470" spans="3:17" ht="15.75" customHeight="1">
      <c r="C470" s="1003"/>
      <c r="D470" s="1003"/>
      <c r="E470" s="1003"/>
      <c r="F470" s="1003"/>
      <c r="G470" s="1003"/>
      <c r="H470" s="1003"/>
      <c r="I470" s="1003"/>
      <c r="J470" s="1003"/>
      <c r="K470" s="1003"/>
      <c r="L470" s="1003"/>
      <c r="M470" s="1003"/>
      <c r="N470" s="1003"/>
      <c r="O470" s="1003"/>
      <c r="P470" s="1003"/>
      <c r="Q470" s="1003"/>
    </row>
    <row r="471" spans="3:17" ht="15.75" customHeight="1">
      <c r="C471" s="1003"/>
      <c r="D471" s="1003"/>
      <c r="E471" s="1003"/>
      <c r="F471" s="1003"/>
      <c r="G471" s="1003"/>
      <c r="H471" s="1003"/>
      <c r="I471" s="1003"/>
      <c r="J471" s="1003"/>
      <c r="K471" s="1003"/>
      <c r="L471" s="1003"/>
      <c r="M471" s="1003"/>
      <c r="N471" s="1003"/>
      <c r="O471" s="1003"/>
      <c r="P471" s="1003"/>
      <c r="Q471" s="1003"/>
    </row>
    <row r="472" spans="3:17" ht="15.75" customHeight="1">
      <c r="C472" s="1003"/>
      <c r="D472" s="1003"/>
      <c r="E472" s="1003"/>
      <c r="F472" s="1003"/>
      <c r="G472" s="1003"/>
      <c r="H472" s="1003"/>
      <c r="I472" s="1003"/>
      <c r="J472" s="1003"/>
      <c r="K472" s="1003"/>
      <c r="L472" s="1003"/>
      <c r="M472" s="1003"/>
      <c r="N472" s="1003"/>
      <c r="O472" s="1003"/>
      <c r="P472" s="1003"/>
      <c r="Q472" s="1003"/>
    </row>
    <row r="473" spans="3:17" ht="15.75" customHeight="1">
      <c r="C473" s="1003"/>
      <c r="D473" s="1003"/>
      <c r="E473" s="1003"/>
      <c r="F473" s="1003"/>
      <c r="G473" s="1003"/>
      <c r="H473" s="1003"/>
      <c r="I473" s="1003"/>
      <c r="J473" s="1003"/>
      <c r="K473" s="1003"/>
      <c r="L473" s="1003"/>
      <c r="M473" s="1003"/>
      <c r="N473" s="1003"/>
      <c r="O473" s="1003"/>
      <c r="P473" s="1003"/>
      <c r="Q473" s="1003"/>
    </row>
    <row r="474" spans="3:17" ht="15.75" customHeight="1">
      <c r="C474" s="1003"/>
      <c r="D474" s="1003"/>
      <c r="E474" s="1003"/>
      <c r="F474" s="1003"/>
      <c r="G474" s="1003"/>
      <c r="H474" s="1003"/>
      <c r="I474" s="1003"/>
      <c r="J474" s="1003"/>
      <c r="K474" s="1003"/>
      <c r="L474" s="1003"/>
      <c r="M474" s="1003"/>
      <c r="N474" s="1003"/>
      <c r="O474" s="1003"/>
      <c r="P474" s="1003"/>
      <c r="Q474" s="1003"/>
    </row>
    <row r="475" spans="3:17" ht="15.75" customHeight="1">
      <c r="C475" s="1003"/>
      <c r="D475" s="1003"/>
      <c r="E475" s="1003"/>
      <c r="F475" s="1003"/>
      <c r="G475" s="1003"/>
      <c r="H475" s="1003"/>
      <c r="I475" s="1003"/>
      <c r="J475" s="1003"/>
      <c r="K475" s="1003"/>
      <c r="L475" s="1003"/>
      <c r="M475" s="1003"/>
      <c r="N475" s="1003"/>
      <c r="O475" s="1003"/>
      <c r="P475" s="1003"/>
      <c r="Q475" s="1003"/>
    </row>
    <row r="476" spans="3:17" ht="15.75" customHeight="1">
      <c r="C476" s="1003"/>
      <c r="D476" s="1003"/>
      <c r="E476" s="1003"/>
      <c r="F476" s="1003"/>
      <c r="G476" s="1003"/>
      <c r="H476" s="1003"/>
      <c r="I476" s="1003"/>
      <c r="J476" s="1003"/>
      <c r="K476" s="1003"/>
      <c r="L476" s="1003"/>
      <c r="M476" s="1003"/>
      <c r="N476" s="1003"/>
      <c r="O476" s="1003"/>
      <c r="P476" s="1003"/>
      <c r="Q476" s="1003"/>
    </row>
    <row r="477" spans="3:17" ht="15.75" customHeight="1">
      <c r="C477" s="1003"/>
      <c r="D477" s="1003"/>
      <c r="E477" s="1003"/>
      <c r="F477" s="1003"/>
      <c r="G477" s="1003"/>
      <c r="H477" s="1003"/>
      <c r="I477" s="1003"/>
      <c r="J477" s="1003"/>
      <c r="K477" s="1003"/>
      <c r="L477" s="1003"/>
      <c r="M477" s="1003"/>
      <c r="N477" s="1003"/>
      <c r="O477" s="1003"/>
      <c r="P477" s="1003"/>
      <c r="Q477" s="1003"/>
    </row>
    <row r="478" spans="3:17" ht="15.75" customHeight="1">
      <c r="C478" s="1003"/>
      <c r="D478" s="1003"/>
      <c r="E478" s="1003"/>
      <c r="F478" s="1003"/>
      <c r="G478" s="1003"/>
      <c r="H478" s="1003"/>
      <c r="I478" s="1003"/>
      <c r="J478" s="1003"/>
      <c r="K478" s="1003"/>
      <c r="L478" s="1003"/>
      <c r="M478" s="1003"/>
      <c r="N478" s="1003"/>
      <c r="O478" s="1003"/>
      <c r="P478" s="1003"/>
      <c r="Q478" s="1003"/>
    </row>
    <row r="479" spans="3:17" ht="15.75" customHeight="1">
      <c r="C479" s="1003"/>
      <c r="D479" s="1003"/>
      <c r="E479" s="1003"/>
      <c r="F479" s="1003"/>
      <c r="G479" s="1003"/>
      <c r="H479" s="1003"/>
      <c r="I479" s="1003"/>
      <c r="J479" s="1003"/>
      <c r="K479" s="1003"/>
      <c r="L479" s="1003"/>
      <c r="M479" s="1003"/>
      <c r="N479" s="1003"/>
      <c r="O479" s="1003"/>
      <c r="P479" s="1003"/>
      <c r="Q479" s="1003"/>
    </row>
    <row r="480" spans="3:17" ht="15.75" customHeight="1">
      <c r="C480" s="1003"/>
      <c r="D480" s="1003"/>
      <c r="E480" s="1003"/>
      <c r="F480" s="1003"/>
      <c r="G480" s="1003"/>
      <c r="H480" s="1003"/>
      <c r="I480" s="1003"/>
      <c r="J480" s="1003"/>
      <c r="K480" s="1003"/>
      <c r="L480" s="1003"/>
      <c r="M480" s="1003"/>
      <c r="N480" s="1003"/>
      <c r="O480" s="1003"/>
      <c r="P480" s="1003"/>
      <c r="Q480" s="1003"/>
    </row>
    <row r="481" spans="3:17" ht="15.75" customHeight="1">
      <c r="C481" s="1003"/>
      <c r="D481" s="1003"/>
      <c r="E481" s="1003"/>
      <c r="F481" s="1003"/>
      <c r="G481" s="1003"/>
      <c r="H481" s="1003"/>
      <c r="I481" s="1003"/>
      <c r="J481" s="1003"/>
      <c r="K481" s="1003"/>
      <c r="L481" s="1003"/>
      <c r="M481" s="1003"/>
      <c r="N481" s="1003"/>
      <c r="O481" s="1003"/>
      <c r="P481" s="1003"/>
      <c r="Q481" s="1003"/>
    </row>
    <row r="482" spans="3:17" ht="15.75" customHeight="1">
      <c r="C482" s="1003"/>
      <c r="D482" s="1003"/>
      <c r="E482" s="1003"/>
      <c r="F482" s="1003"/>
      <c r="G482" s="1003"/>
      <c r="H482" s="1003"/>
      <c r="I482" s="1003"/>
      <c r="J482" s="1003"/>
      <c r="K482" s="1003"/>
      <c r="L482" s="1003"/>
      <c r="M482" s="1003"/>
      <c r="N482" s="1003"/>
      <c r="O482" s="1003"/>
      <c r="P482" s="1003"/>
      <c r="Q482" s="1003"/>
    </row>
    <row r="483" spans="3:17" ht="15.75" customHeight="1">
      <c r="C483" s="1003"/>
      <c r="D483" s="1003"/>
      <c r="E483" s="1003"/>
      <c r="F483" s="1003"/>
      <c r="G483" s="1003"/>
      <c r="H483" s="1003"/>
      <c r="I483" s="1003"/>
      <c r="J483" s="1003"/>
      <c r="K483" s="1003"/>
      <c r="L483" s="1003"/>
      <c r="M483" s="1003"/>
      <c r="N483" s="1003"/>
      <c r="O483" s="1003"/>
      <c r="P483" s="1003"/>
      <c r="Q483" s="1003"/>
    </row>
    <row r="484" spans="3:17" ht="15.75" customHeight="1">
      <c r="C484" s="1003"/>
      <c r="D484" s="1003"/>
      <c r="E484" s="1003"/>
      <c r="F484" s="1003"/>
      <c r="G484" s="1003"/>
      <c r="H484" s="1003"/>
      <c r="I484" s="1003"/>
      <c r="J484" s="1003"/>
      <c r="K484" s="1003"/>
      <c r="L484" s="1003"/>
      <c r="M484" s="1003"/>
      <c r="N484" s="1003"/>
      <c r="O484" s="1003"/>
      <c r="P484" s="1003"/>
      <c r="Q484" s="1003"/>
    </row>
    <row r="485" spans="3:17" ht="15.75" customHeight="1">
      <c r="C485" s="1003"/>
      <c r="D485" s="1003"/>
      <c r="E485" s="1003"/>
      <c r="F485" s="1003"/>
      <c r="G485" s="1003"/>
      <c r="H485" s="1003"/>
      <c r="I485" s="1003"/>
      <c r="J485" s="1003"/>
      <c r="K485" s="1003"/>
      <c r="L485" s="1003"/>
      <c r="M485" s="1003"/>
      <c r="N485" s="1003"/>
      <c r="O485" s="1003"/>
      <c r="P485" s="1003"/>
      <c r="Q485" s="1003"/>
    </row>
    <row r="486" spans="3:17" ht="15.75" customHeight="1">
      <c r="C486" s="1003"/>
      <c r="D486" s="1003"/>
      <c r="E486" s="1003"/>
      <c r="F486" s="1003"/>
      <c r="G486" s="1003"/>
      <c r="H486" s="1003"/>
      <c r="I486" s="1003"/>
      <c r="J486" s="1003"/>
      <c r="K486" s="1003"/>
      <c r="L486" s="1003"/>
      <c r="M486" s="1003"/>
      <c r="N486" s="1003"/>
      <c r="O486" s="1003"/>
      <c r="P486" s="1003"/>
      <c r="Q486" s="1003"/>
    </row>
    <row r="487" spans="3:17" ht="15.75" customHeight="1">
      <c r="C487" s="1003"/>
      <c r="D487" s="1003"/>
      <c r="E487" s="1003"/>
      <c r="F487" s="1003"/>
      <c r="G487" s="1003"/>
      <c r="H487" s="1003"/>
      <c r="I487" s="1003"/>
      <c r="J487" s="1003"/>
      <c r="K487" s="1003"/>
      <c r="L487" s="1003"/>
      <c r="M487" s="1003"/>
      <c r="N487" s="1003"/>
      <c r="O487" s="1003"/>
      <c r="P487" s="1003"/>
      <c r="Q487" s="1003"/>
    </row>
    <row r="488" spans="3:17" ht="15.75" customHeight="1">
      <c r="C488" s="1003"/>
      <c r="D488" s="1003"/>
      <c r="E488" s="1003"/>
      <c r="F488" s="1003"/>
      <c r="G488" s="1003"/>
      <c r="H488" s="1003"/>
      <c r="I488" s="1003"/>
      <c r="J488" s="1003"/>
      <c r="K488" s="1003"/>
      <c r="L488" s="1003"/>
      <c r="M488" s="1003"/>
      <c r="N488" s="1003"/>
      <c r="O488" s="1003"/>
      <c r="P488" s="1003"/>
      <c r="Q488" s="1003"/>
    </row>
    <row r="489" spans="3:17" ht="15.75" customHeight="1">
      <c r="C489" s="1003"/>
      <c r="D489" s="1003"/>
      <c r="E489" s="1003"/>
      <c r="F489" s="1003"/>
      <c r="G489" s="1003"/>
      <c r="H489" s="1003"/>
      <c r="I489" s="1003"/>
      <c r="J489" s="1003"/>
      <c r="K489" s="1003"/>
      <c r="L489" s="1003"/>
      <c r="M489" s="1003"/>
      <c r="N489" s="1003"/>
      <c r="O489" s="1003"/>
      <c r="P489" s="1003"/>
      <c r="Q489" s="1003"/>
    </row>
    <row r="490" spans="3:17" ht="15.75" customHeight="1">
      <c r="C490" s="1003"/>
      <c r="D490" s="1003"/>
      <c r="E490" s="1003"/>
      <c r="F490" s="1003"/>
      <c r="G490" s="1003"/>
      <c r="H490" s="1003"/>
      <c r="I490" s="1003"/>
      <c r="J490" s="1003"/>
      <c r="K490" s="1003"/>
      <c r="L490" s="1003"/>
      <c r="M490" s="1003"/>
      <c r="N490" s="1003"/>
      <c r="O490" s="1003"/>
      <c r="P490" s="1003"/>
      <c r="Q490" s="1003"/>
    </row>
    <row r="491" spans="3:17" ht="15.75" customHeight="1">
      <c r="C491" s="1003"/>
      <c r="D491" s="1003"/>
      <c r="E491" s="1003"/>
      <c r="F491" s="1003"/>
      <c r="G491" s="1003"/>
      <c r="H491" s="1003"/>
      <c r="I491" s="1003"/>
      <c r="J491" s="1003"/>
      <c r="K491" s="1003"/>
      <c r="L491" s="1003"/>
      <c r="M491" s="1003"/>
      <c r="N491" s="1003"/>
      <c r="O491" s="1003"/>
      <c r="P491" s="1003"/>
      <c r="Q491" s="1003"/>
    </row>
    <row r="492" spans="3:17" ht="15.75" customHeight="1">
      <c r="C492" s="1003"/>
      <c r="D492" s="1003"/>
      <c r="E492" s="1003"/>
      <c r="F492" s="1003"/>
      <c r="G492" s="1003"/>
      <c r="H492" s="1003"/>
      <c r="I492" s="1003"/>
      <c r="J492" s="1003"/>
      <c r="K492" s="1003"/>
      <c r="L492" s="1003"/>
      <c r="M492" s="1003"/>
      <c r="N492" s="1003"/>
      <c r="O492" s="1003"/>
      <c r="P492" s="1003"/>
      <c r="Q492" s="1003"/>
    </row>
    <row r="493" spans="3:17" ht="15.75" customHeight="1">
      <c r="C493" s="1003"/>
      <c r="D493" s="1003"/>
      <c r="E493" s="1003"/>
      <c r="F493" s="1003"/>
      <c r="G493" s="1003"/>
      <c r="H493" s="1003"/>
      <c r="I493" s="1003"/>
      <c r="J493" s="1003"/>
      <c r="K493" s="1003"/>
      <c r="L493" s="1003"/>
      <c r="M493" s="1003"/>
      <c r="N493" s="1003"/>
      <c r="O493" s="1003"/>
      <c r="P493" s="1003"/>
      <c r="Q493" s="1003"/>
    </row>
    <row r="494" spans="3:17" ht="15.75" customHeight="1">
      <c r="C494" s="1003"/>
      <c r="D494" s="1003"/>
      <c r="E494" s="1003"/>
      <c r="F494" s="1003"/>
      <c r="G494" s="1003"/>
      <c r="H494" s="1003"/>
      <c r="I494" s="1003"/>
      <c r="J494" s="1003"/>
      <c r="K494" s="1003"/>
      <c r="L494" s="1003"/>
      <c r="M494" s="1003"/>
      <c r="N494" s="1003"/>
      <c r="O494" s="1003"/>
      <c r="P494" s="1003"/>
      <c r="Q494" s="1003"/>
    </row>
    <row r="495" spans="3:17" ht="15.75" customHeight="1">
      <c r="C495" s="1003"/>
      <c r="D495" s="1003"/>
      <c r="E495" s="1003"/>
      <c r="F495" s="1003"/>
      <c r="G495" s="1003"/>
      <c r="H495" s="1003"/>
      <c r="I495" s="1003"/>
      <c r="J495" s="1003"/>
      <c r="K495" s="1003"/>
      <c r="L495" s="1003"/>
      <c r="M495" s="1003"/>
      <c r="N495" s="1003"/>
      <c r="O495" s="1003"/>
      <c r="P495" s="1003"/>
      <c r="Q495" s="1003"/>
    </row>
    <row r="496" spans="3:17" ht="15.75" customHeight="1">
      <c r="C496" s="1003"/>
      <c r="D496" s="1003"/>
      <c r="E496" s="1003"/>
      <c r="F496" s="1003"/>
      <c r="G496" s="1003"/>
      <c r="H496" s="1003"/>
      <c r="I496" s="1003"/>
      <c r="J496" s="1003"/>
      <c r="K496" s="1003"/>
      <c r="L496" s="1003"/>
      <c r="M496" s="1003"/>
      <c r="N496" s="1003"/>
      <c r="O496" s="1003"/>
      <c r="P496" s="1003"/>
      <c r="Q496" s="1003"/>
    </row>
    <row r="497" spans="3:17" ht="15.75" customHeight="1">
      <c r="C497" s="1003"/>
      <c r="D497" s="1003"/>
      <c r="E497" s="1003"/>
      <c r="F497" s="1003"/>
      <c r="G497" s="1003"/>
      <c r="H497" s="1003"/>
      <c r="I497" s="1003"/>
      <c r="J497" s="1003"/>
      <c r="K497" s="1003"/>
      <c r="L497" s="1003"/>
      <c r="M497" s="1003"/>
      <c r="N497" s="1003"/>
      <c r="O497" s="1003"/>
      <c r="P497" s="1003"/>
      <c r="Q497" s="1003"/>
    </row>
    <row r="498" spans="3:17" ht="15.75" customHeight="1">
      <c r="C498" s="1003"/>
      <c r="D498" s="1003"/>
      <c r="E498" s="1003"/>
      <c r="F498" s="1003"/>
      <c r="G498" s="1003"/>
      <c r="H498" s="1003"/>
      <c r="I498" s="1003"/>
      <c r="J498" s="1003"/>
      <c r="K498" s="1003"/>
      <c r="L498" s="1003"/>
      <c r="M498" s="1003"/>
      <c r="N498" s="1003"/>
      <c r="O498" s="1003"/>
      <c r="P498" s="1003"/>
      <c r="Q498" s="1003"/>
    </row>
    <row r="499" spans="3:17" ht="15.75" customHeight="1">
      <c r="C499" s="1003"/>
      <c r="D499" s="1003"/>
      <c r="E499" s="1003"/>
      <c r="F499" s="1003"/>
      <c r="G499" s="1003"/>
      <c r="H499" s="1003"/>
      <c r="I499" s="1003"/>
      <c r="J499" s="1003"/>
      <c r="K499" s="1003"/>
      <c r="L499" s="1003"/>
      <c r="M499" s="1003"/>
      <c r="N499" s="1003"/>
      <c r="O499" s="1003"/>
      <c r="P499" s="1003"/>
      <c r="Q499" s="1003"/>
    </row>
    <row r="500" spans="3:17" ht="15.75" customHeight="1">
      <c r="C500" s="1003"/>
      <c r="D500" s="1003"/>
      <c r="E500" s="1003"/>
      <c r="F500" s="1003"/>
      <c r="G500" s="1003"/>
      <c r="H500" s="1003"/>
      <c r="I500" s="1003"/>
      <c r="J500" s="1003"/>
      <c r="K500" s="1003"/>
      <c r="L500" s="1003"/>
      <c r="M500" s="1003"/>
      <c r="N500" s="1003"/>
      <c r="O500" s="1003"/>
      <c r="P500" s="1003"/>
      <c r="Q500" s="1003"/>
    </row>
    <row r="501" spans="3:17" ht="15.75" customHeight="1">
      <c r="C501" s="1003"/>
      <c r="D501" s="1003"/>
      <c r="E501" s="1003"/>
      <c r="F501" s="1003"/>
      <c r="G501" s="1003"/>
      <c r="H501" s="1003"/>
      <c r="I501" s="1003"/>
      <c r="J501" s="1003"/>
      <c r="K501" s="1003"/>
      <c r="L501" s="1003"/>
      <c r="M501" s="1003"/>
      <c r="N501" s="1003"/>
      <c r="O501" s="1003"/>
      <c r="P501" s="1003"/>
      <c r="Q501" s="1003"/>
    </row>
    <row r="502" spans="3:17" ht="15.75" customHeight="1">
      <c r="C502" s="1003"/>
      <c r="D502" s="1003"/>
      <c r="E502" s="1003"/>
      <c r="F502" s="1003"/>
      <c r="G502" s="1003"/>
      <c r="H502" s="1003"/>
      <c r="I502" s="1003"/>
      <c r="J502" s="1003"/>
      <c r="K502" s="1003"/>
      <c r="L502" s="1003"/>
      <c r="M502" s="1003"/>
      <c r="N502" s="1003"/>
      <c r="O502" s="1003"/>
      <c r="P502" s="1003"/>
      <c r="Q502" s="1003"/>
    </row>
    <row r="503" spans="3:17" ht="15.75" customHeight="1">
      <c r="C503" s="1003"/>
      <c r="D503" s="1003"/>
      <c r="E503" s="1003"/>
      <c r="F503" s="1003"/>
      <c r="G503" s="1003"/>
      <c r="H503" s="1003"/>
      <c r="I503" s="1003"/>
      <c r="J503" s="1003"/>
      <c r="K503" s="1003"/>
      <c r="L503" s="1003"/>
      <c r="M503" s="1003"/>
      <c r="N503" s="1003"/>
      <c r="O503" s="1003"/>
      <c r="P503" s="1003"/>
      <c r="Q503" s="1003"/>
    </row>
    <row r="504" spans="3:17" ht="15.75" customHeight="1">
      <c r="C504" s="1003"/>
      <c r="D504" s="1003"/>
      <c r="E504" s="1003"/>
      <c r="F504" s="1003"/>
      <c r="G504" s="1003"/>
      <c r="H504" s="1003"/>
      <c r="I504" s="1003"/>
      <c r="J504" s="1003"/>
      <c r="K504" s="1003"/>
      <c r="L504" s="1003"/>
      <c r="M504" s="1003"/>
      <c r="N504" s="1003"/>
      <c r="O504" s="1003"/>
      <c r="P504" s="1003"/>
      <c r="Q504" s="1003"/>
    </row>
    <row r="505" spans="3:17" ht="15.75" customHeight="1">
      <c r="C505" s="1003"/>
      <c r="D505" s="1003"/>
      <c r="E505" s="1003"/>
      <c r="F505" s="1003"/>
      <c r="G505" s="1003"/>
      <c r="H505" s="1003"/>
      <c r="I505" s="1003"/>
      <c r="J505" s="1003"/>
      <c r="K505" s="1003"/>
      <c r="L505" s="1003"/>
      <c r="M505" s="1003"/>
      <c r="N505" s="1003"/>
      <c r="O505" s="1003"/>
      <c r="P505" s="1003"/>
      <c r="Q505" s="1003"/>
    </row>
    <row r="506" spans="3:17" ht="15.75" customHeight="1">
      <c r="C506" s="1003"/>
      <c r="D506" s="1003"/>
      <c r="E506" s="1003"/>
      <c r="F506" s="1003"/>
      <c r="G506" s="1003"/>
      <c r="H506" s="1003"/>
      <c r="I506" s="1003"/>
      <c r="J506" s="1003"/>
      <c r="K506" s="1003"/>
      <c r="L506" s="1003"/>
      <c r="M506" s="1003"/>
      <c r="N506" s="1003"/>
      <c r="O506" s="1003"/>
      <c r="P506" s="1003"/>
      <c r="Q506" s="1003"/>
    </row>
    <row r="507" spans="3:17" ht="15.75" customHeight="1">
      <c r="C507" s="1003"/>
      <c r="D507" s="1003"/>
      <c r="E507" s="1003"/>
      <c r="F507" s="1003"/>
      <c r="G507" s="1003"/>
      <c r="H507" s="1003"/>
      <c r="I507" s="1003"/>
      <c r="J507" s="1003"/>
      <c r="K507" s="1003"/>
      <c r="L507" s="1003"/>
      <c r="M507" s="1003"/>
      <c r="N507" s="1003"/>
      <c r="O507" s="1003"/>
      <c r="P507" s="1003"/>
      <c r="Q507" s="1003"/>
    </row>
    <row r="508" spans="3:17" ht="15.75" customHeight="1">
      <c r="C508" s="1003"/>
      <c r="D508" s="1003"/>
      <c r="E508" s="1003"/>
      <c r="F508" s="1003"/>
      <c r="G508" s="1003"/>
      <c r="H508" s="1003"/>
      <c r="I508" s="1003"/>
      <c r="J508" s="1003"/>
      <c r="K508" s="1003"/>
      <c r="L508" s="1003"/>
      <c r="M508" s="1003"/>
      <c r="N508" s="1003"/>
      <c r="O508" s="1003"/>
      <c r="P508" s="1003"/>
      <c r="Q508" s="1003"/>
    </row>
    <row r="509" spans="3:17" ht="15.75" customHeight="1">
      <c r="C509" s="1003"/>
      <c r="D509" s="1003"/>
      <c r="E509" s="1003"/>
      <c r="F509" s="1003"/>
      <c r="G509" s="1003"/>
      <c r="H509" s="1003"/>
      <c r="I509" s="1003"/>
      <c r="J509" s="1003"/>
      <c r="K509" s="1003"/>
      <c r="L509" s="1003"/>
      <c r="M509" s="1003"/>
      <c r="N509" s="1003"/>
      <c r="O509" s="1003"/>
      <c r="P509" s="1003"/>
      <c r="Q509" s="1003"/>
    </row>
    <row r="510" spans="3:17" ht="15.75" customHeight="1">
      <c r="C510" s="1003"/>
      <c r="D510" s="1003"/>
      <c r="E510" s="1003"/>
      <c r="F510" s="1003"/>
      <c r="G510" s="1003"/>
      <c r="H510" s="1003"/>
      <c r="I510" s="1003"/>
      <c r="J510" s="1003"/>
      <c r="K510" s="1003"/>
      <c r="L510" s="1003"/>
      <c r="M510" s="1003"/>
      <c r="N510" s="1003"/>
      <c r="O510" s="1003"/>
      <c r="P510" s="1003"/>
      <c r="Q510" s="1003"/>
    </row>
    <row r="511" spans="3:17" ht="15.75" customHeight="1">
      <c r="C511" s="1003"/>
      <c r="D511" s="1003"/>
      <c r="E511" s="1003"/>
      <c r="F511" s="1003"/>
      <c r="G511" s="1003"/>
      <c r="H511" s="1003"/>
      <c r="I511" s="1003"/>
      <c r="J511" s="1003"/>
      <c r="K511" s="1003"/>
      <c r="L511" s="1003"/>
      <c r="M511" s="1003"/>
      <c r="N511" s="1003"/>
      <c r="O511" s="1003"/>
      <c r="P511" s="1003"/>
      <c r="Q511" s="1003"/>
    </row>
    <row r="512" spans="3:17" ht="15.75" customHeight="1">
      <c r="C512" s="1003"/>
      <c r="D512" s="1003"/>
      <c r="E512" s="1003"/>
      <c r="F512" s="1003"/>
      <c r="G512" s="1003"/>
      <c r="H512" s="1003"/>
      <c r="I512" s="1003"/>
      <c r="J512" s="1003"/>
      <c r="K512" s="1003"/>
      <c r="L512" s="1003"/>
      <c r="M512" s="1003"/>
      <c r="N512" s="1003"/>
      <c r="O512" s="1003"/>
      <c r="P512" s="1003"/>
      <c r="Q512" s="1003"/>
    </row>
    <row r="513" spans="3:17" ht="15.75" customHeight="1">
      <c r="C513" s="1003"/>
      <c r="D513" s="1003"/>
      <c r="E513" s="1003"/>
      <c r="F513" s="1003"/>
      <c r="G513" s="1003"/>
      <c r="H513" s="1003"/>
      <c r="I513" s="1003"/>
      <c r="J513" s="1003"/>
      <c r="K513" s="1003"/>
      <c r="L513" s="1003"/>
      <c r="M513" s="1003"/>
      <c r="N513" s="1003"/>
      <c r="O513" s="1003"/>
      <c r="P513" s="1003"/>
      <c r="Q513" s="1003"/>
    </row>
    <row r="514" spans="3:17" ht="15.75" customHeight="1">
      <c r="C514" s="1003"/>
      <c r="D514" s="1003"/>
      <c r="E514" s="1003"/>
      <c r="F514" s="1003"/>
      <c r="G514" s="1003"/>
      <c r="H514" s="1003"/>
      <c r="I514" s="1003"/>
      <c r="J514" s="1003"/>
      <c r="K514" s="1003"/>
      <c r="L514" s="1003"/>
      <c r="M514" s="1003"/>
      <c r="N514" s="1003"/>
      <c r="O514" s="1003"/>
      <c r="P514" s="1003"/>
      <c r="Q514" s="1003"/>
    </row>
    <row r="515" spans="3:17" ht="15.75" customHeight="1">
      <c r="C515" s="1003"/>
      <c r="D515" s="1003"/>
      <c r="E515" s="1003"/>
      <c r="F515" s="1003"/>
      <c r="G515" s="1003"/>
      <c r="H515" s="1003"/>
      <c r="I515" s="1003"/>
      <c r="J515" s="1003"/>
      <c r="K515" s="1003"/>
      <c r="L515" s="1003"/>
      <c r="M515" s="1003"/>
      <c r="N515" s="1003"/>
      <c r="O515" s="1003"/>
      <c r="P515" s="1003"/>
      <c r="Q515" s="1003"/>
    </row>
    <row r="516" spans="3:17" ht="15.75" customHeight="1">
      <c r="C516" s="1003"/>
      <c r="D516" s="1003"/>
      <c r="E516" s="1003"/>
      <c r="F516" s="1003"/>
      <c r="G516" s="1003"/>
      <c r="H516" s="1003"/>
      <c r="I516" s="1003"/>
      <c r="J516" s="1003"/>
      <c r="K516" s="1003"/>
      <c r="L516" s="1003"/>
      <c r="M516" s="1003"/>
      <c r="N516" s="1003"/>
      <c r="O516" s="1003"/>
      <c r="P516" s="1003"/>
      <c r="Q516" s="1003"/>
    </row>
    <row r="517" spans="3:17" ht="15.75" customHeight="1">
      <c r="C517" s="1003"/>
      <c r="D517" s="1003"/>
      <c r="E517" s="1003"/>
      <c r="F517" s="1003"/>
      <c r="G517" s="1003"/>
      <c r="H517" s="1003"/>
      <c r="I517" s="1003"/>
      <c r="J517" s="1003"/>
      <c r="K517" s="1003"/>
      <c r="L517" s="1003"/>
      <c r="M517" s="1003"/>
      <c r="N517" s="1003"/>
      <c r="O517" s="1003"/>
      <c r="P517" s="1003"/>
      <c r="Q517" s="1003"/>
    </row>
    <row r="518" spans="3:17" ht="15.75" customHeight="1">
      <c r="C518" s="1003"/>
      <c r="D518" s="1003"/>
      <c r="E518" s="1003"/>
      <c r="F518" s="1003"/>
      <c r="G518" s="1003"/>
      <c r="H518" s="1003"/>
      <c r="I518" s="1003"/>
      <c r="J518" s="1003"/>
      <c r="K518" s="1003"/>
      <c r="L518" s="1003"/>
      <c r="M518" s="1003"/>
      <c r="N518" s="1003"/>
      <c r="O518" s="1003"/>
      <c r="P518" s="1003"/>
      <c r="Q518" s="1003"/>
    </row>
    <row r="519" spans="3:17" ht="15.75" customHeight="1">
      <c r="C519" s="1003"/>
      <c r="D519" s="1003"/>
      <c r="E519" s="1003"/>
      <c r="F519" s="1003"/>
      <c r="G519" s="1003"/>
      <c r="H519" s="1003"/>
      <c r="I519" s="1003"/>
      <c r="J519" s="1003"/>
      <c r="K519" s="1003"/>
      <c r="L519" s="1003"/>
      <c r="M519" s="1003"/>
      <c r="N519" s="1003"/>
      <c r="O519" s="1003"/>
      <c r="P519" s="1003"/>
      <c r="Q519" s="1003"/>
    </row>
    <row r="520" spans="3:17" ht="15.75" customHeight="1">
      <c r="C520" s="1003"/>
      <c r="D520" s="1003"/>
      <c r="E520" s="1003"/>
      <c r="F520" s="1003"/>
      <c r="G520" s="1003"/>
      <c r="H520" s="1003"/>
      <c r="I520" s="1003"/>
      <c r="J520" s="1003"/>
      <c r="K520" s="1003"/>
      <c r="L520" s="1003"/>
      <c r="M520" s="1003"/>
      <c r="N520" s="1003"/>
      <c r="O520" s="1003"/>
      <c r="P520" s="1003"/>
      <c r="Q520" s="1003"/>
    </row>
    <row r="521" spans="3:17" ht="15.75" customHeight="1">
      <c r="C521" s="1003"/>
      <c r="D521" s="1003"/>
      <c r="E521" s="1003"/>
      <c r="F521" s="1003"/>
      <c r="G521" s="1003"/>
      <c r="H521" s="1003"/>
      <c r="I521" s="1003"/>
      <c r="J521" s="1003"/>
      <c r="K521" s="1003"/>
      <c r="L521" s="1003"/>
      <c r="M521" s="1003"/>
      <c r="N521" s="1003"/>
      <c r="O521" s="1003"/>
      <c r="P521" s="1003"/>
      <c r="Q521" s="1003"/>
    </row>
    <row r="522" spans="3:17" ht="15.75" customHeight="1">
      <c r="C522" s="1003"/>
      <c r="D522" s="1003"/>
      <c r="E522" s="1003"/>
      <c r="F522" s="1003"/>
      <c r="G522" s="1003"/>
      <c r="H522" s="1003"/>
      <c r="I522" s="1003"/>
      <c r="J522" s="1003"/>
      <c r="K522" s="1003"/>
      <c r="L522" s="1003"/>
      <c r="M522" s="1003"/>
      <c r="N522" s="1003"/>
      <c r="O522" s="1003"/>
      <c r="P522" s="1003"/>
      <c r="Q522" s="1003"/>
    </row>
    <row r="523" spans="3:17" ht="15.75" customHeight="1">
      <c r="C523" s="1003"/>
      <c r="D523" s="1003"/>
      <c r="E523" s="1003"/>
      <c r="F523" s="1003"/>
      <c r="G523" s="1003"/>
      <c r="H523" s="1003"/>
      <c r="I523" s="1003"/>
      <c r="J523" s="1003"/>
      <c r="K523" s="1003"/>
      <c r="L523" s="1003"/>
      <c r="M523" s="1003"/>
      <c r="N523" s="1003"/>
      <c r="O523" s="1003"/>
      <c r="P523" s="1003"/>
      <c r="Q523" s="1003"/>
    </row>
    <row r="524" spans="3:17" ht="15.75" customHeight="1">
      <c r="C524" s="1003"/>
      <c r="D524" s="1003"/>
      <c r="E524" s="1003"/>
      <c r="F524" s="1003"/>
      <c r="G524" s="1003"/>
      <c r="H524" s="1003"/>
      <c r="I524" s="1003"/>
      <c r="J524" s="1003"/>
      <c r="K524" s="1003"/>
      <c r="L524" s="1003"/>
      <c r="M524" s="1003"/>
      <c r="N524" s="1003"/>
      <c r="O524" s="1003"/>
      <c r="P524" s="1003"/>
      <c r="Q524" s="1003"/>
    </row>
    <row r="525" spans="3:17" ht="15.75" customHeight="1">
      <c r="C525" s="1003"/>
      <c r="D525" s="1003"/>
      <c r="E525" s="1003"/>
      <c r="F525" s="1003"/>
      <c r="G525" s="1003"/>
      <c r="H525" s="1003"/>
      <c r="I525" s="1003"/>
      <c r="J525" s="1003"/>
      <c r="K525" s="1003"/>
      <c r="L525" s="1003"/>
      <c r="M525" s="1003"/>
      <c r="N525" s="1003"/>
      <c r="O525" s="1003"/>
      <c r="P525" s="1003"/>
      <c r="Q525" s="1003"/>
    </row>
    <row r="526" spans="3:17" ht="15.75" customHeight="1">
      <c r="C526" s="1003"/>
      <c r="D526" s="1003"/>
      <c r="E526" s="1003"/>
      <c r="F526" s="1003"/>
      <c r="G526" s="1003"/>
      <c r="H526" s="1003"/>
      <c r="I526" s="1003"/>
      <c r="J526" s="1003"/>
      <c r="K526" s="1003"/>
      <c r="L526" s="1003"/>
      <c r="M526" s="1003"/>
      <c r="N526" s="1003"/>
      <c r="O526" s="1003"/>
      <c r="P526" s="1003"/>
      <c r="Q526" s="1003"/>
    </row>
    <row r="527" spans="3:17" ht="15.75" customHeight="1">
      <c r="C527" s="1003"/>
      <c r="D527" s="1003"/>
      <c r="E527" s="1003"/>
      <c r="F527" s="1003"/>
      <c r="G527" s="1003"/>
      <c r="H527" s="1003"/>
      <c r="I527" s="1003"/>
      <c r="J527" s="1003"/>
      <c r="K527" s="1003"/>
      <c r="L527" s="1003"/>
      <c r="M527" s="1003"/>
      <c r="N527" s="1003"/>
      <c r="O527" s="1003"/>
      <c r="P527" s="1003"/>
      <c r="Q527" s="1003"/>
    </row>
    <row r="528" spans="3:17" ht="15.75" customHeight="1">
      <c r="C528" s="1003"/>
      <c r="D528" s="1003"/>
      <c r="E528" s="1003"/>
      <c r="F528" s="1003"/>
      <c r="G528" s="1003"/>
      <c r="H528" s="1003"/>
      <c r="I528" s="1003"/>
      <c r="J528" s="1003"/>
      <c r="K528" s="1003"/>
      <c r="L528" s="1003"/>
      <c r="M528" s="1003"/>
      <c r="N528" s="1003"/>
      <c r="O528" s="1003"/>
      <c r="P528" s="1003"/>
      <c r="Q528" s="1003"/>
    </row>
    <row r="529" spans="3:17" ht="15.75" customHeight="1">
      <c r="C529" s="1003"/>
      <c r="D529" s="1003"/>
      <c r="E529" s="1003"/>
      <c r="F529" s="1003"/>
      <c r="G529" s="1003"/>
      <c r="H529" s="1003"/>
      <c r="I529" s="1003"/>
      <c r="J529" s="1003"/>
      <c r="K529" s="1003"/>
      <c r="L529" s="1003"/>
      <c r="M529" s="1003"/>
      <c r="N529" s="1003"/>
      <c r="O529" s="1003"/>
      <c r="P529" s="1003"/>
      <c r="Q529" s="1003"/>
    </row>
    <row r="530" spans="3:17" ht="15.75" customHeight="1">
      <c r="C530" s="1003"/>
      <c r="D530" s="1003"/>
      <c r="E530" s="1003"/>
      <c r="F530" s="1003"/>
      <c r="G530" s="1003"/>
      <c r="H530" s="1003"/>
      <c r="I530" s="1003"/>
      <c r="J530" s="1003"/>
      <c r="K530" s="1003"/>
      <c r="L530" s="1003"/>
      <c r="M530" s="1003"/>
      <c r="N530" s="1003"/>
      <c r="O530" s="1003"/>
      <c r="P530" s="1003"/>
      <c r="Q530" s="1003"/>
    </row>
    <row r="531" spans="3:17" ht="15.75" customHeight="1">
      <c r="C531" s="1003"/>
      <c r="D531" s="1003"/>
      <c r="E531" s="1003"/>
      <c r="F531" s="1003"/>
      <c r="G531" s="1003"/>
      <c r="H531" s="1003"/>
      <c r="I531" s="1003"/>
      <c r="J531" s="1003"/>
      <c r="K531" s="1003"/>
      <c r="L531" s="1003"/>
      <c r="M531" s="1003"/>
      <c r="N531" s="1003"/>
      <c r="O531" s="1003"/>
      <c r="P531" s="1003"/>
      <c r="Q531" s="1003"/>
    </row>
    <row r="532" spans="3:17" ht="15.75" customHeight="1">
      <c r="C532" s="1003"/>
      <c r="D532" s="1003"/>
      <c r="E532" s="1003"/>
      <c r="F532" s="1003"/>
      <c r="G532" s="1003"/>
      <c r="H532" s="1003"/>
      <c r="I532" s="1003"/>
      <c r="J532" s="1003"/>
      <c r="K532" s="1003"/>
      <c r="L532" s="1003"/>
      <c r="M532" s="1003"/>
      <c r="N532" s="1003"/>
      <c r="O532" s="1003"/>
      <c r="P532" s="1003"/>
      <c r="Q532" s="1003"/>
    </row>
    <row r="533" spans="3:17" ht="15.75" customHeight="1">
      <c r="C533" s="1003"/>
      <c r="D533" s="1003"/>
      <c r="E533" s="1003"/>
      <c r="F533" s="1003"/>
      <c r="G533" s="1003"/>
      <c r="H533" s="1003"/>
      <c r="I533" s="1003"/>
      <c r="J533" s="1003"/>
      <c r="K533" s="1003"/>
      <c r="L533" s="1003"/>
      <c r="M533" s="1003"/>
      <c r="N533" s="1003"/>
      <c r="O533" s="1003"/>
      <c r="P533" s="1003"/>
      <c r="Q533" s="1003"/>
    </row>
    <row r="534" spans="3:17" ht="15.75" customHeight="1">
      <c r="C534" s="1003"/>
      <c r="D534" s="1003"/>
      <c r="E534" s="1003"/>
      <c r="F534" s="1003"/>
      <c r="G534" s="1003"/>
      <c r="H534" s="1003"/>
      <c r="I534" s="1003"/>
      <c r="J534" s="1003"/>
      <c r="K534" s="1003"/>
      <c r="L534" s="1003"/>
      <c r="M534" s="1003"/>
      <c r="N534" s="1003"/>
      <c r="O534" s="1003"/>
      <c r="P534" s="1003"/>
      <c r="Q534" s="1003"/>
    </row>
    <row r="535" spans="3:17" ht="15.75" customHeight="1">
      <c r="C535" s="1003"/>
      <c r="D535" s="1003"/>
      <c r="E535" s="1003"/>
      <c r="F535" s="1003"/>
      <c r="G535" s="1003"/>
      <c r="H535" s="1003"/>
      <c r="I535" s="1003"/>
      <c r="J535" s="1003"/>
      <c r="K535" s="1003"/>
      <c r="L535" s="1003"/>
      <c r="M535" s="1003"/>
      <c r="N535" s="1003"/>
      <c r="O535" s="1003"/>
      <c r="P535" s="1003"/>
      <c r="Q535" s="1003"/>
    </row>
    <row r="536" spans="3:17" ht="15.75" customHeight="1">
      <c r="C536" s="1003"/>
      <c r="D536" s="1003"/>
      <c r="E536" s="1003"/>
      <c r="F536" s="1003"/>
      <c r="G536" s="1003"/>
      <c r="H536" s="1003"/>
      <c r="I536" s="1003"/>
      <c r="J536" s="1003"/>
      <c r="K536" s="1003"/>
      <c r="L536" s="1003"/>
      <c r="M536" s="1003"/>
      <c r="N536" s="1003"/>
      <c r="O536" s="1003"/>
      <c r="P536" s="1003"/>
      <c r="Q536" s="1003"/>
    </row>
    <row r="537" spans="3:17" ht="15.75" customHeight="1">
      <c r="C537" s="1003"/>
      <c r="D537" s="1003"/>
      <c r="E537" s="1003"/>
      <c r="F537" s="1003"/>
      <c r="G537" s="1003"/>
      <c r="H537" s="1003"/>
      <c r="I537" s="1003"/>
      <c r="J537" s="1003"/>
      <c r="K537" s="1003"/>
      <c r="L537" s="1003"/>
      <c r="M537" s="1003"/>
      <c r="N537" s="1003"/>
      <c r="O537" s="1003"/>
      <c r="P537" s="1003"/>
      <c r="Q537" s="1003"/>
    </row>
    <row r="538" spans="3:17" ht="15.75" customHeight="1">
      <c r="C538" s="1003"/>
      <c r="D538" s="1003"/>
      <c r="E538" s="1003"/>
      <c r="F538" s="1003"/>
      <c r="G538" s="1003"/>
      <c r="H538" s="1003"/>
      <c r="I538" s="1003"/>
      <c r="J538" s="1003"/>
      <c r="K538" s="1003"/>
      <c r="L538" s="1003"/>
      <c r="M538" s="1003"/>
      <c r="N538" s="1003"/>
      <c r="O538" s="1003"/>
      <c r="P538" s="1003"/>
      <c r="Q538" s="1003"/>
    </row>
    <row r="539" spans="3:17" ht="15.75" customHeight="1">
      <c r="C539" s="1003"/>
      <c r="D539" s="1003"/>
      <c r="E539" s="1003"/>
      <c r="F539" s="1003"/>
      <c r="G539" s="1003"/>
      <c r="H539" s="1003"/>
      <c r="I539" s="1003"/>
      <c r="J539" s="1003"/>
      <c r="K539" s="1003"/>
      <c r="L539" s="1003"/>
      <c r="M539" s="1003"/>
      <c r="N539" s="1003"/>
      <c r="O539" s="1003"/>
      <c r="P539" s="1003"/>
      <c r="Q539" s="1003"/>
    </row>
    <row r="540" spans="3:17" ht="15.75" customHeight="1">
      <c r="C540" s="1003"/>
      <c r="D540" s="1003"/>
      <c r="E540" s="1003"/>
      <c r="F540" s="1003"/>
      <c r="G540" s="1003"/>
      <c r="H540" s="1003"/>
      <c r="I540" s="1003"/>
      <c r="J540" s="1003"/>
      <c r="K540" s="1003"/>
      <c r="L540" s="1003"/>
      <c r="M540" s="1003"/>
      <c r="N540" s="1003"/>
      <c r="O540" s="1003"/>
      <c r="P540" s="1003"/>
      <c r="Q540" s="1003"/>
    </row>
    <row r="541" spans="3:17" ht="15.75" customHeight="1">
      <c r="C541" s="1003"/>
      <c r="D541" s="1003"/>
      <c r="E541" s="1003"/>
      <c r="F541" s="1003"/>
      <c r="G541" s="1003"/>
      <c r="H541" s="1003"/>
      <c r="I541" s="1003"/>
      <c r="J541" s="1003"/>
      <c r="K541" s="1003"/>
      <c r="L541" s="1003"/>
      <c r="M541" s="1003"/>
      <c r="N541" s="1003"/>
      <c r="O541" s="1003"/>
      <c r="P541" s="1003"/>
      <c r="Q541" s="1003"/>
    </row>
    <row r="542" spans="3:17" ht="15.75" customHeight="1">
      <c r="C542" s="1003"/>
      <c r="D542" s="1003"/>
      <c r="E542" s="1003"/>
      <c r="F542" s="1003"/>
      <c r="G542" s="1003"/>
      <c r="H542" s="1003"/>
      <c r="I542" s="1003"/>
      <c r="J542" s="1003"/>
      <c r="K542" s="1003"/>
      <c r="L542" s="1003"/>
      <c r="M542" s="1003"/>
      <c r="N542" s="1003"/>
      <c r="O542" s="1003"/>
      <c r="P542" s="1003"/>
      <c r="Q542" s="1003"/>
    </row>
    <row r="543" spans="3:17" ht="15.75" customHeight="1">
      <c r="C543" s="1003"/>
      <c r="D543" s="1003"/>
      <c r="E543" s="1003"/>
      <c r="F543" s="1003"/>
      <c r="G543" s="1003"/>
      <c r="H543" s="1003"/>
      <c r="I543" s="1003"/>
      <c r="J543" s="1003"/>
      <c r="K543" s="1003"/>
      <c r="L543" s="1003"/>
      <c r="M543" s="1003"/>
      <c r="N543" s="1003"/>
      <c r="O543" s="1003"/>
      <c r="P543" s="1003"/>
      <c r="Q543" s="1003"/>
    </row>
    <row r="544" spans="3:17" ht="15.75" customHeight="1">
      <c r="C544" s="1003"/>
      <c r="D544" s="1003"/>
      <c r="E544" s="1003"/>
      <c r="F544" s="1003"/>
      <c r="G544" s="1003"/>
      <c r="H544" s="1003"/>
      <c r="I544" s="1003"/>
      <c r="J544" s="1003"/>
      <c r="K544" s="1003"/>
      <c r="L544" s="1003"/>
      <c r="M544" s="1003"/>
      <c r="N544" s="1003"/>
      <c r="O544" s="1003"/>
      <c r="P544" s="1003"/>
      <c r="Q544" s="1003"/>
    </row>
    <row r="545" spans="3:17" ht="15.75" customHeight="1">
      <c r="C545" s="1003"/>
      <c r="D545" s="1003"/>
      <c r="E545" s="1003"/>
      <c r="F545" s="1003"/>
      <c r="G545" s="1003"/>
      <c r="H545" s="1003"/>
      <c r="I545" s="1003"/>
      <c r="J545" s="1003"/>
      <c r="K545" s="1003"/>
      <c r="L545" s="1003"/>
      <c r="M545" s="1003"/>
      <c r="N545" s="1003"/>
      <c r="O545" s="1003"/>
      <c r="P545" s="1003"/>
      <c r="Q545" s="1003"/>
    </row>
    <row r="546" spans="3:17" ht="15.75" customHeight="1">
      <c r="C546" s="1003"/>
      <c r="D546" s="1003"/>
      <c r="E546" s="1003"/>
      <c r="F546" s="1003"/>
      <c r="G546" s="1003"/>
      <c r="H546" s="1003"/>
      <c r="I546" s="1003"/>
      <c r="J546" s="1003"/>
      <c r="K546" s="1003"/>
      <c r="L546" s="1003"/>
      <c r="M546" s="1003"/>
      <c r="N546" s="1003"/>
      <c r="O546" s="1003"/>
      <c r="P546" s="1003"/>
      <c r="Q546" s="1003"/>
    </row>
    <row r="547" spans="3:17" ht="15.75" customHeight="1">
      <c r="C547" s="1003"/>
      <c r="D547" s="1003"/>
      <c r="E547" s="1003"/>
      <c r="F547" s="1003"/>
      <c r="G547" s="1003"/>
      <c r="H547" s="1003"/>
      <c r="I547" s="1003"/>
      <c r="J547" s="1003"/>
      <c r="K547" s="1003"/>
      <c r="L547" s="1003"/>
      <c r="M547" s="1003"/>
      <c r="N547" s="1003"/>
      <c r="O547" s="1003"/>
      <c r="P547" s="1003"/>
      <c r="Q547" s="1003"/>
    </row>
    <row r="548" spans="3:17" ht="15.75" customHeight="1">
      <c r="C548" s="1003"/>
      <c r="D548" s="1003"/>
      <c r="E548" s="1003"/>
      <c r="F548" s="1003"/>
      <c r="G548" s="1003"/>
      <c r="H548" s="1003"/>
      <c r="I548" s="1003"/>
      <c r="J548" s="1003"/>
      <c r="K548" s="1003"/>
      <c r="L548" s="1003"/>
      <c r="M548" s="1003"/>
      <c r="N548" s="1003"/>
      <c r="O548" s="1003"/>
      <c r="P548" s="1003"/>
      <c r="Q548" s="1003"/>
    </row>
    <row r="549" spans="3:17" ht="15.75" customHeight="1">
      <c r="C549" s="1003"/>
      <c r="D549" s="1003"/>
      <c r="E549" s="1003"/>
      <c r="F549" s="1003"/>
      <c r="G549" s="1003"/>
      <c r="H549" s="1003"/>
      <c r="I549" s="1003"/>
      <c r="J549" s="1003"/>
      <c r="K549" s="1003"/>
      <c r="L549" s="1003"/>
      <c r="M549" s="1003"/>
      <c r="N549" s="1003"/>
      <c r="O549" s="1003"/>
      <c r="P549" s="1003"/>
      <c r="Q549" s="1003"/>
    </row>
    <row r="550" spans="3:17" ht="15.75" customHeight="1">
      <c r="C550" s="1003"/>
      <c r="D550" s="1003"/>
      <c r="E550" s="1003"/>
      <c r="F550" s="1003"/>
      <c r="G550" s="1003"/>
      <c r="H550" s="1003"/>
      <c r="I550" s="1003"/>
      <c r="J550" s="1003"/>
      <c r="K550" s="1003"/>
      <c r="L550" s="1003"/>
      <c r="M550" s="1003"/>
      <c r="N550" s="1003"/>
      <c r="O550" s="1003"/>
      <c r="P550" s="1003"/>
      <c r="Q550" s="1003"/>
    </row>
    <row r="551" spans="3:17" ht="15.75" customHeight="1">
      <c r="C551" s="1003"/>
      <c r="D551" s="1003"/>
      <c r="E551" s="1003"/>
      <c r="F551" s="1003"/>
      <c r="G551" s="1003"/>
      <c r="H551" s="1003"/>
      <c r="I551" s="1003"/>
      <c r="J551" s="1003"/>
      <c r="K551" s="1003"/>
      <c r="L551" s="1003"/>
      <c r="M551" s="1003"/>
      <c r="N551" s="1003"/>
      <c r="O551" s="1003"/>
      <c r="P551" s="1003"/>
      <c r="Q551" s="1003"/>
    </row>
    <row r="552" spans="3:17" ht="15.75" customHeight="1">
      <c r="C552" s="1003"/>
      <c r="D552" s="1003"/>
      <c r="E552" s="1003"/>
      <c r="F552" s="1003"/>
      <c r="G552" s="1003"/>
      <c r="H552" s="1003"/>
      <c r="I552" s="1003"/>
      <c r="J552" s="1003"/>
      <c r="K552" s="1003"/>
      <c r="L552" s="1003"/>
      <c r="M552" s="1003"/>
      <c r="N552" s="1003"/>
      <c r="O552" s="1003"/>
      <c r="P552" s="1003"/>
      <c r="Q552" s="1003"/>
    </row>
    <row r="553" spans="3:17" ht="15.75" customHeight="1">
      <c r="C553" s="1003"/>
      <c r="D553" s="1003"/>
      <c r="E553" s="1003"/>
      <c r="F553" s="1003"/>
      <c r="G553" s="1003"/>
      <c r="H553" s="1003"/>
      <c r="I553" s="1003"/>
      <c r="J553" s="1003"/>
      <c r="K553" s="1003"/>
      <c r="L553" s="1003"/>
      <c r="M553" s="1003"/>
      <c r="N553" s="1003"/>
      <c r="O553" s="1003"/>
      <c r="P553" s="1003"/>
      <c r="Q553" s="1003"/>
    </row>
    <row r="554" spans="3:17" ht="15.75" customHeight="1">
      <c r="C554" s="1003"/>
      <c r="D554" s="1003"/>
      <c r="E554" s="1003"/>
      <c r="F554" s="1003"/>
      <c r="G554" s="1003"/>
      <c r="H554" s="1003"/>
      <c r="I554" s="1003"/>
      <c r="J554" s="1003"/>
      <c r="K554" s="1003"/>
      <c r="L554" s="1003"/>
      <c r="M554" s="1003"/>
      <c r="N554" s="1003"/>
      <c r="O554" s="1003"/>
      <c r="P554" s="1003"/>
      <c r="Q554" s="1003"/>
    </row>
    <row r="555" spans="3:17" ht="15.75" customHeight="1">
      <c r="C555" s="1003"/>
      <c r="D555" s="1003"/>
      <c r="E555" s="1003"/>
      <c r="F555" s="1003"/>
      <c r="G555" s="1003"/>
      <c r="H555" s="1003"/>
      <c r="I555" s="1003"/>
      <c r="J555" s="1003"/>
      <c r="K555" s="1003"/>
      <c r="L555" s="1003"/>
      <c r="M555" s="1003"/>
      <c r="N555" s="1003"/>
      <c r="O555" s="1003"/>
      <c r="P555" s="1003"/>
      <c r="Q555" s="1003"/>
    </row>
    <row r="556" spans="3:17" ht="15.75" customHeight="1">
      <c r="C556" s="1003"/>
      <c r="D556" s="1003"/>
      <c r="E556" s="1003"/>
      <c r="F556" s="1003"/>
      <c r="G556" s="1003"/>
      <c r="H556" s="1003"/>
      <c r="I556" s="1003"/>
      <c r="J556" s="1003"/>
      <c r="K556" s="1003"/>
      <c r="L556" s="1003"/>
      <c r="M556" s="1003"/>
      <c r="N556" s="1003"/>
      <c r="O556" s="1003"/>
      <c r="P556" s="1003"/>
      <c r="Q556" s="1003"/>
    </row>
    <row r="557" spans="3:17" ht="15.75" customHeight="1">
      <c r="C557" s="1003"/>
      <c r="D557" s="1003"/>
      <c r="E557" s="1003"/>
      <c r="F557" s="1003"/>
      <c r="G557" s="1003"/>
      <c r="H557" s="1003"/>
      <c r="I557" s="1003"/>
      <c r="J557" s="1003"/>
      <c r="K557" s="1003"/>
      <c r="L557" s="1003"/>
      <c r="M557" s="1003"/>
      <c r="N557" s="1003"/>
      <c r="O557" s="1003"/>
      <c r="P557" s="1003"/>
      <c r="Q557" s="1003"/>
    </row>
    <row r="558" spans="3:17" ht="15.75" customHeight="1">
      <c r="C558" s="1003"/>
      <c r="D558" s="1003"/>
      <c r="E558" s="1003"/>
      <c r="F558" s="1003"/>
      <c r="G558" s="1003"/>
      <c r="H558" s="1003"/>
      <c r="I558" s="1003"/>
      <c r="J558" s="1003"/>
      <c r="K558" s="1003"/>
      <c r="L558" s="1003"/>
      <c r="M558" s="1003"/>
      <c r="N558" s="1003"/>
      <c r="O558" s="1003"/>
      <c r="P558" s="1003"/>
      <c r="Q558" s="1003"/>
    </row>
    <row r="559" spans="3:17" ht="15.75" customHeight="1">
      <c r="C559" s="1003"/>
      <c r="D559" s="1003"/>
      <c r="E559" s="1003"/>
      <c r="F559" s="1003"/>
      <c r="G559" s="1003"/>
      <c r="H559" s="1003"/>
      <c r="I559" s="1003"/>
      <c r="J559" s="1003"/>
      <c r="K559" s="1003"/>
      <c r="L559" s="1003"/>
      <c r="M559" s="1003"/>
      <c r="N559" s="1003"/>
      <c r="O559" s="1003"/>
      <c r="P559" s="1003"/>
      <c r="Q559" s="1003"/>
    </row>
    <row r="560" spans="3:17" ht="15.75" customHeight="1">
      <c r="C560" s="1003"/>
      <c r="D560" s="1003"/>
      <c r="E560" s="1003"/>
      <c r="F560" s="1003"/>
      <c r="G560" s="1003"/>
      <c r="H560" s="1003"/>
      <c r="I560" s="1003"/>
      <c r="J560" s="1003"/>
      <c r="K560" s="1003"/>
      <c r="L560" s="1003"/>
      <c r="M560" s="1003"/>
      <c r="N560" s="1003"/>
      <c r="O560" s="1003"/>
      <c r="P560" s="1003"/>
      <c r="Q560" s="1003"/>
    </row>
    <row r="561" spans="3:17" ht="15.75" customHeight="1">
      <c r="C561" s="1003"/>
      <c r="D561" s="1003"/>
      <c r="E561" s="1003"/>
      <c r="F561" s="1003"/>
      <c r="G561" s="1003"/>
      <c r="H561" s="1003"/>
      <c r="I561" s="1003"/>
      <c r="J561" s="1003"/>
      <c r="K561" s="1003"/>
      <c r="L561" s="1003"/>
      <c r="M561" s="1003"/>
      <c r="N561" s="1003"/>
      <c r="O561" s="1003"/>
      <c r="P561" s="1003"/>
      <c r="Q561" s="1003"/>
    </row>
    <row r="562" spans="3:17" ht="15.75" customHeight="1">
      <c r="C562" s="1003"/>
      <c r="D562" s="1003"/>
      <c r="E562" s="1003"/>
      <c r="F562" s="1003"/>
      <c r="G562" s="1003"/>
      <c r="H562" s="1003"/>
      <c r="I562" s="1003"/>
      <c r="J562" s="1003"/>
      <c r="K562" s="1003"/>
      <c r="L562" s="1003"/>
      <c r="M562" s="1003"/>
      <c r="N562" s="1003"/>
      <c r="O562" s="1003"/>
      <c r="P562" s="1003"/>
      <c r="Q562" s="1003"/>
    </row>
    <row r="563" spans="3:17" ht="15.75" customHeight="1">
      <c r="C563" s="1003"/>
      <c r="D563" s="1003"/>
      <c r="E563" s="1003"/>
      <c r="F563" s="1003"/>
      <c r="G563" s="1003"/>
      <c r="H563" s="1003"/>
      <c r="I563" s="1003"/>
      <c r="J563" s="1003"/>
      <c r="K563" s="1003"/>
      <c r="L563" s="1003"/>
      <c r="M563" s="1003"/>
      <c r="N563" s="1003"/>
      <c r="O563" s="1003"/>
      <c r="P563" s="1003"/>
      <c r="Q563" s="1003"/>
    </row>
    <row r="564" spans="3:17" ht="15.75" customHeight="1">
      <c r="C564" s="1003"/>
      <c r="D564" s="1003"/>
      <c r="E564" s="1003"/>
      <c r="F564" s="1003"/>
      <c r="G564" s="1003"/>
      <c r="H564" s="1003"/>
      <c r="I564" s="1003"/>
      <c r="J564" s="1003"/>
      <c r="K564" s="1003"/>
      <c r="L564" s="1003"/>
      <c r="M564" s="1003"/>
      <c r="N564" s="1003"/>
      <c r="O564" s="1003"/>
      <c r="P564" s="1003"/>
      <c r="Q564" s="1003"/>
    </row>
    <row r="565" spans="3:17" ht="15.75" customHeight="1">
      <c r="C565" s="1003"/>
      <c r="D565" s="1003"/>
      <c r="E565" s="1003"/>
      <c r="F565" s="1003"/>
      <c r="G565" s="1003"/>
      <c r="H565" s="1003"/>
      <c r="I565" s="1003"/>
      <c r="J565" s="1003"/>
      <c r="K565" s="1003"/>
      <c r="L565" s="1003"/>
      <c r="M565" s="1003"/>
      <c r="N565" s="1003"/>
      <c r="O565" s="1003"/>
      <c r="P565" s="1003"/>
      <c r="Q565" s="1003"/>
    </row>
    <row r="566" spans="3:17" ht="15.75" customHeight="1">
      <c r="C566" s="1003"/>
      <c r="D566" s="1003"/>
      <c r="E566" s="1003"/>
      <c r="F566" s="1003"/>
      <c r="G566" s="1003"/>
      <c r="H566" s="1003"/>
      <c r="I566" s="1003"/>
      <c r="J566" s="1003"/>
      <c r="K566" s="1003"/>
      <c r="L566" s="1003"/>
      <c r="M566" s="1003"/>
      <c r="N566" s="1003"/>
      <c r="O566" s="1003"/>
      <c r="P566" s="1003"/>
      <c r="Q566" s="1003"/>
    </row>
    <row r="567" spans="3:17" ht="15.75" customHeight="1">
      <c r="C567" s="1003"/>
      <c r="D567" s="1003"/>
      <c r="E567" s="1003"/>
      <c r="F567" s="1003"/>
      <c r="G567" s="1003"/>
      <c r="H567" s="1003"/>
      <c r="I567" s="1003"/>
      <c r="J567" s="1003"/>
      <c r="K567" s="1003"/>
      <c r="L567" s="1003"/>
      <c r="M567" s="1003"/>
      <c r="N567" s="1003"/>
      <c r="O567" s="1003"/>
      <c r="P567" s="1003"/>
      <c r="Q567" s="1003"/>
    </row>
    <row r="568" spans="3:17" ht="15.75" customHeight="1">
      <c r="C568" s="1003"/>
      <c r="D568" s="1003"/>
      <c r="E568" s="1003"/>
      <c r="F568" s="1003"/>
      <c r="G568" s="1003"/>
      <c r="H568" s="1003"/>
      <c r="I568" s="1003"/>
      <c r="J568" s="1003"/>
      <c r="K568" s="1003"/>
      <c r="L568" s="1003"/>
      <c r="M568" s="1003"/>
      <c r="N568" s="1003"/>
      <c r="O568" s="1003"/>
      <c r="P568" s="1003"/>
      <c r="Q568" s="1003"/>
    </row>
    <row r="569" spans="3:17" ht="15.75" customHeight="1">
      <c r="C569" s="1003"/>
      <c r="D569" s="1003"/>
      <c r="E569" s="1003"/>
      <c r="F569" s="1003"/>
      <c r="G569" s="1003"/>
      <c r="H569" s="1003"/>
      <c r="I569" s="1003"/>
      <c r="J569" s="1003"/>
      <c r="K569" s="1003"/>
      <c r="L569" s="1003"/>
      <c r="M569" s="1003"/>
      <c r="N569" s="1003"/>
      <c r="O569" s="1003"/>
      <c r="P569" s="1003"/>
      <c r="Q569" s="1003"/>
    </row>
    <row r="570" spans="3:17" ht="15.75" customHeight="1">
      <c r="C570" s="1003"/>
      <c r="D570" s="1003"/>
      <c r="E570" s="1003"/>
      <c r="F570" s="1003"/>
      <c r="G570" s="1003"/>
      <c r="H570" s="1003"/>
      <c r="I570" s="1003"/>
      <c r="J570" s="1003"/>
      <c r="K570" s="1003"/>
      <c r="L570" s="1003"/>
      <c r="M570" s="1003"/>
      <c r="N570" s="1003"/>
      <c r="O570" s="1003"/>
      <c r="P570" s="1003"/>
      <c r="Q570" s="1003"/>
    </row>
    <row r="571" spans="3:17" ht="15.75" customHeight="1">
      <c r="C571" s="1003"/>
      <c r="D571" s="1003"/>
      <c r="E571" s="1003"/>
      <c r="F571" s="1003"/>
      <c r="G571" s="1003"/>
      <c r="H571" s="1003"/>
      <c r="I571" s="1003"/>
      <c r="J571" s="1003"/>
      <c r="K571" s="1003"/>
      <c r="L571" s="1003"/>
      <c r="M571" s="1003"/>
      <c r="N571" s="1003"/>
      <c r="O571" s="1003"/>
      <c r="P571" s="1003"/>
      <c r="Q571" s="1003"/>
    </row>
    <row r="572" spans="3:17" ht="15.75" customHeight="1">
      <c r="C572" s="1003"/>
      <c r="D572" s="1003"/>
      <c r="E572" s="1003"/>
      <c r="F572" s="1003"/>
      <c r="G572" s="1003"/>
      <c r="H572" s="1003"/>
      <c r="I572" s="1003"/>
      <c r="J572" s="1003"/>
      <c r="K572" s="1003"/>
      <c r="L572" s="1003"/>
      <c r="M572" s="1003"/>
      <c r="N572" s="1003"/>
      <c r="O572" s="1003"/>
      <c r="P572" s="1003"/>
      <c r="Q572" s="1003"/>
    </row>
    <row r="573" spans="3:17" ht="15.75" customHeight="1">
      <c r="C573" s="1003"/>
      <c r="D573" s="1003"/>
      <c r="E573" s="1003"/>
      <c r="F573" s="1003"/>
      <c r="G573" s="1003"/>
      <c r="H573" s="1003"/>
      <c r="I573" s="1003"/>
      <c r="J573" s="1003"/>
      <c r="K573" s="1003"/>
      <c r="L573" s="1003"/>
      <c r="M573" s="1003"/>
      <c r="N573" s="1003"/>
      <c r="O573" s="1003"/>
      <c r="P573" s="1003"/>
      <c r="Q573" s="1003"/>
    </row>
    <row r="574" spans="3:17" ht="15.75" customHeight="1">
      <c r="C574" s="1003"/>
      <c r="D574" s="1003"/>
      <c r="E574" s="1003"/>
      <c r="F574" s="1003"/>
      <c r="G574" s="1003"/>
      <c r="H574" s="1003"/>
      <c r="I574" s="1003"/>
      <c r="J574" s="1003"/>
      <c r="K574" s="1003"/>
      <c r="L574" s="1003"/>
      <c r="M574" s="1003"/>
      <c r="N574" s="1003"/>
      <c r="O574" s="1003"/>
      <c r="P574" s="1003"/>
      <c r="Q574" s="1003"/>
    </row>
    <row r="575" spans="3:17" ht="15.75" customHeight="1">
      <c r="C575" s="1003"/>
      <c r="D575" s="1003"/>
      <c r="E575" s="1003"/>
      <c r="F575" s="1003"/>
      <c r="G575" s="1003"/>
      <c r="H575" s="1003"/>
      <c r="I575" s="1003"/>
      <c r="J575" s="1003"/>
      <c r="K575" s="1003"/>
      <c r="L575" s="1003"/>
      <c r="M575" s="1003"/>
      <c r="N575" s="1003"/>
      <c r="O575" s="1003"/>
      <c r="P575" s="1003"/>
      <c r="Q575" s="1003"/>
    </row>
    <row r="576" spans="3:17" ht="15.75" customHeight="1">
      <c r="C576" s="1003"/>
      <c r="D576" s="1003"/>
      <c r="E576" s="1003"/>
      <c r="F576" s="1003"/>
      <c r="G576" s="1003"/>
      <c r="H576" s="1003"/>
      <c r="I576" s="1003"/>
      <c r="J576" s="1003"/>
      <c r="K576" s="1003"/>
      <c r="L576" s="1003"/>
      <c r="M576" s="1003"/>
      <c r="N576" s="1003"/>
      <c r="O576" s="1003"/>
      <c r="P576" s="1003"/>
      <c r="Q576" s="1003"/>
    </row>
    <row r="577" spans="3:17" ht="15.75" customHeight="1">
      <c r="C577" s="1003"/>
      <c r="D577" s="1003"/>
      <c r="E577" s="1003"/>
      <c r="F577" s="1003"/>
      <c r="G577" s="1003"/>
      <c r="H577" s="1003"/>
      <c r="I577" s="1003"/>
      <c r="J577" s="1003"/>
      <c r="K577" s="1003"/>
      <c r="L577" s="1003"/>
      <c r="M577" s="1003"/>
      <c r="N577" s="1003"/>
      <c r="O577" s="1003"/>
      <c r="P577" s="1003"/>
      <c r="Q577" s="1003"/>
    </row>
    <row r="578" spans="3:17" ht="15.75" customHeight="1">
      <c r="C578" s="1003"/>
      <c r="D578" s="1003"/>
      <c r="E578" s="1003"/>
      <c r="F578" s="1003"/>
      <c r="G578" s="1003"/>
      <c r="H578" s="1003"/>
      <c r="I578" s="1003"/>
      <c r="J578" s="1003"/>
      <c r="K578" s="1003"/>
      <c r="L578" s="1003"/>
      <c r="M578" s="1003"/>
      <c r="N578" s="1003"/>
      <c r="O578" s="1003"/>
      <c r="P578" s="1003"/>
      <c r="Q578" s="1003"/>
    </row>
    <row r="579" spans="3:17" ht="15.75" customHeight="1">
      <c r="C579" s="1003"/>
      <c r="D579" s="1003"/>
      <c r="E579" s="1003"/>
      <c r="F579" s="1003"/>
      <c r="G579" s="1003"/>
      <c r="H579" s="1003"/>
      <c r="I579" s="1003"/>
      <c r="J579" s="1003"/>
      <c r="K579" s="1003"/>
      <c r="L579" s="1003"/>
      <c r="M579" s="1003"/>
      <c r="N579" s="1003"/>
      <c r="O579" s="1003"/>
      <c r="P579" s="1003"/>
      <c r="Q579" s="1003"/>
    </row>
    <row r="580" spans="3:17" ht="15.75" customHeight="1">
      <c r="C580" s="1003"/>
      <c r="D580" s="1003"/>
      <c r="E580" s="1003"/>
      <c r="F580" s="1003"/>
      <c r="G580" s="1003"/>
      <c r="H580" s="1003"/>
      <c r="I580" s="1003"/>
      <c r="J580" s="1003"/>
      <c r="K580" s="1003"/>
      <c r="L580" s="1003"/>
      <c r="M580" s="1003"/>
      <c r="N580" s="1003"/>
      <c r="O580" s="1003"/>
      <c r="P580" s="1003"/>
      <c r="Q580" s="1003"/>
    </row>
    <row r="581" spans="3:17" ht="15.75" customHeight="1">
      <c r="C581" s="1003"/>
      <c r="D581" s="1003"/>
      <c r="E581" s="1003"/>
      <c r="F581" s="1003"/>
      <c r="G581" s="1003"/>
      <c r="H581" s="1003"/>
      <c r="I581" s="1003"/>
      <c r="J581" s="1003"/>
      <c r="K581" s="1003"/>
      <c r="L581" s="1003"/>
      <c r="M581" s="1003"/>
      <c r="N581" s="1003"/>
      <c r="O581" s="1003"/>
      <c r="P581" s="1003"/>
      <c r="Q581" s="1003"/>
    </row>
    <row r="582" spans="3:17" ht="15.75" customHeight="1">
      <c r="C582" s="1003"/>
      <c r="D582" s="1003"/>
      <c r="E582" s="1003"/>
      <c r="F582" s="1003"/>
      <c r="G582" s="1003"/>
      <c r="H582" s="1003"/>
      <c r="I582" s="1003"/>
      <c r="J582" s="1003"/>
      <c r="K582" s="1003"/>
      <c r="L582" s="1003"/>
      <c r="M582" s="1003"/>
      <c r="N582" s="1003"/>
      <c r="O582" s="1003"/>
      <c r="P582" s="1003"/>
      <c r="Q582" s="1003"/>
    </row>
    <row r="583" spans="3:17" ht="15.75" customHeight="1">
      <c r="C583" s="1003"/>
      <c r="D583" s="1003"/>
      <c r="E583" s="1003"/>
      <c r="F583" s="1003"/>
      <c r="G583" s="1003"/>
      <c r="H583" s="1003"/>
      <c r="I583" s="1003"/>
      <c r="J583" s="1003"/>
      <c r="K583" s="1003"/>
      <c r="L583" s="1003"/>
      <c r="M583" s="1003"/>
      <c r="N583" s="1003"/>
      <c r="O583" s="1003"/>
      <c r="P583" s="1003"/>
      <c r="Q583" s="1003"/>
    </row>
    <row r="584" spans="3:17" ht="15.75" customHeight="1">
      <c r="C584" s="1003"/>
      <c r="D584" s="1003"/>
      <c r="E584" s="1003"/>
      <c r="F584" s="1003"/>
      <c r="G584" s="1003"/>
      <c r="H584" s="1003"/>
      <c r="I584" s="1003"/>
      <c r="J584" s="1003"/>
      <c r="K584" s="1003"/>
      <c r="L584" s="1003"/>
      <c r="M584" s="1003"/>
      <c r="N584" s="1003"/>
      <c r="O584" s="1003"/>
      <c r="P584" s="1003"/>
      <c r="Q584" s="1003"/>
    </row>
    <row r="585" spans="3:17" ht="15.75" customHeight="1">
      <c r="C585" s="1003"/>
      <c r="D585" s="1003"/>
      <c r="E585" s="1003"/>
      <c r="F585" s="1003"/>
      <c r="G585" s="1003"/>
      <c r="H585" s="1003"/>
      <c r="I585" s="1003"/>
      <c r="J585" s="1003"/>
      <c r="K585" s="1003"/>
      <c r="L585" s="1003"/>
      <c r="M585" s="1003"/>
      <c r="N585" s="1003"/>
      <c r="O585" s="1003"/>
      <c r="P585" s="1003"/>
      <c r="Q585" s="1003"/>
    </row>
    <row r="586" spans="3:17" ht="15.75" customHeight="1">
      <c r="C586" s="1003"/>
      <c r="D586" s="1003"/>
      <c r="E586" s="1003"/>
      <c r="F586" s="1003"/>
      <c r="G586" s="1003"/>
      <c r="H586" s="1003"/>
      <c r="I586" s="1003"/>
      <c r="J586" s="1003"/>
      <c r="K586" s="1003"/>
      <c r="L586" s="1003"/>
      <c r="M586" s="1003"/>
      <c r="N586" s="1003"/>
      <c r="O586" s="1003"/>
      <c r="P586" s="1003"/>
      <c r="Q586" s="1003"/>
    </row>
    <row r="587" spans="3:17" ht="15.75" customHeight="1">
      <c r="C587" s="1003"/>
      <c r="D587" s="1003"/>
      <c r="E587" s="1003"/>
      <c r="F587" s="1003"/>
      <c r="G587" s="1003"/>
      <c r="H587" s="1003"/>
      <c r="I587" s="1003"/>
      <c r="J587" s="1003"/>
      <c r="K587" s="1003"/>
      <c r="L587" s="1003"/>
      <c r="M587" s="1003"/>
      <c r="N587" s="1003"/>
      <c r="O587" s="1003"/>
      <c r="P587" s="1003"/>
      <c r="Q587" s="1003"/>
    </row>
    <row r="588" spans="3:17" ht="15.75" customHeight="1">
      <c r="C588" s="1003"/>
      <c r="D588" s="1003"/>
      <c r="E588" s="1003"/>
      <c r="F588" s="1003"/>
      <c r="G588" s="1003"/>
      <c r="H588" s="1003"/>
      <c r="I588" s="1003"/>
      <c r="J588" s="1003"/>
      <c r="K588" s="1003"/>
      <c r="L588" s="1003"/>
      <c r="M588" s="1003"/>
      <c r="N588" s="1003"/>
      <c r="O588" s="1003"/>
      <c r="P588" s="1003"/>
      <c r="Q588" s="1003"/>
    </row>
    <row r="589" spans="3:17" ht="15.75" customHeight="1">
      <c r="C589" s="1003"/>
      <c r="D589" s="1003"/>
      <c r="E589" s="1003"/>
      <c r="F589" s="1003"/>
      <c r="G589" s="1003"/>
      <c r="H589" s="1003"/>
      <c r="I589" s="1003"/>
      <c r="J589" s="1003"/>
      <c r="K589" s="1003"/>
      <c r="L589" s="1003"/>
      <c r="M589" s="1003"/>
      <c r="N589" s="1003"/>
      <c r="O589" s="1003"/>
      <c r="P589" s="1003"/>
      <c r="Q589" s="1003"/>
    </row>
    <row r="590" spans="3:17" ht="15.75" customHeight="1">
      <c r="C590" s="1003"/>
      <c r="D590" s="1003"/>
      <c r="E590" s="1003"/>
      <c r="F590" s="1003"/>
      <c r="G590" s="1003"/>
      <c r="H590" s="1003"/>
      <c r="I590" s="1003"/>
      <c r="J590" s="1003"/>
      <c r="K590" s="1003"/>
      <c r="L590" s="1003"/>
      <c r="M590" s="1003"/>
      <c r="N590" s="1003"/>
      <c r="O590" s="1003"/>
      <c r="P590" s="1003"/>
      <c r="Q590" s="1003"/>
    </row>
    <row r="591" spans="3:17" ht="15.75" customHeight="1">
      <c r="C591" s="1003"/>
      <c r="D591" s="1003"/>
      <c r="E591" s="1003"/>
      <c r="F591" s="1003"/>
      <c r="G591" s="1003"/>
      <c r="H591" s="1003"/>
      <c r="I591" s="1003"/>
      <c r="J591" s="1003"/>
      <c r="K591" s="1003"/>
      <c r="L591" s="1003"/>
      <c r="M591" s="1003"/>
      <c r="N591" s="1003"/>
      <c r="O591" s="1003"/>
      <c r="P591" s="1003"/>
      <c r="Q591" s="1003"/>
    </row>
    <row r="592" spans="3:17" ht="15.75" customHeight="1">
      <c r="C592" s="1003"/>
      <c r="D592" s="1003"/>
      <c r="E592" s="1003"/>
      <c r="F592" s="1003"/>
      <c r="G592" s="1003"/>
      <c r="H592" s="1003"/>
      <c r="I592" s="1003"/>
      <c r="J592" s="1003"/>
      <c r="K592" s="1003"/>
      <c r="L592" s="1003"/>
      <c r="M592" s="1003"/>
      <c r="N592" s="1003"/>
      <c r="O592" s="1003"/>
      <c r="P592" s="1003"/>
      <c r="Q592" s="1003"/>
    </row>
    <row r="593" spans="3:17" ht="15.75" customHeight="1">
      <c r="C593" s="1003"/>
      <c r="D593" s="1003"/>
      <c r="E593" s="1003"/>
      <c r="F593" s="1003"/>
      <c r="G593" s="1003"/>
      <c r="H593" s="1003"/>
      <c r="I593" s="1003"/>
      <c r="J593" s="1003"/>
      <c r="K593" s="1003"/>
      <c r="L593" s="1003"/>
      <c r="M593" s="1003"/>
      <c r="N593" s="1003"/>
      <c r="O593" s="1003"/>
      <c r="P593" s="1003"/>
      <c r="Q593" s="1003"/>
    </row>
    <row r="594" spans="3:17" ht="15.75" customHeight="1">
      <c r="C594" s="1003"/>
      <c r="D594" s="1003"/>
      <c r="E594" s="1003"/>
      <c r="F594" s="1003"/>
      <c r="G594" s="1003"/>
      <c r="H594" s="1003"/>
      <c r="I594" s="1003"/>
      <c r="J594" s="1003"/>
      <c r="K594" s="1003"/>
      <c r="L594" s="1003"/>
      <c r="M594" s="1003"/>
      <c r="N594" s="1003"/>
      <c r="O594" s="1003"/>
      <c r="P594" s="1003"/>
      <c r="Q594" s="1003"/>
    </row>
    <row r="595" spans="3:17" ht="15.75" customHeight="1">
      <c r="C595" s="1003"/>
      <c r="D595" s="1003"/>
      <c r="E595" s="1003"/>
      <c r="F595" s="1003"/>
      <c r="G595" s="1003"/>
      <c r="H595" s="1003"/>
      <c r="I595" s="1003"/>
      <c r="J595" s="1003"/>
      <c r="K595" s="1003"/>
      <c r="L595" s="1003"/>
      <c r="M595" s="1003"/>
      <c r="N595" s="1003"/>
      <c r="O595" s="1003"/>
      <c r="P595" s="1003"/>
      <c r="Q595" s="1003"/>
    </row>
    <row r="596" spans="3:17" ht="15.75" customHeight="1">
      <c r="C596" s="1003"/>
      <c r="D596" s="1003"/>
      <c r="E596" s="1003"/>
      <c r="F596" s="1003"/>
      <c r="G596" s="1003"/>
      <c r="H596" s="1003"/>
      <c r="I596" s="1003"/>
      <c r="J596" s="1003"/>
      <c r="K596" s="1003"/>
      <c r="L596" s="1003"/>
      <c r="M596" s="1003"/>
      <c r="N596" s="1003"/>
      <c r="O596" s="1003"/>
      <c r="P596" s="1003"/>
      <c r="Q596" s="1003"/>
    </row>
    <row r="597" spans="3:17" ht="15.75" customHeight="1">
      <c r="C597" s="1003"/>
      <c r="D597" s="1003"/>
      <c r="E597" s="1003"/>
      <c r="F597" s="1003"/>
      <c r="G597" s="1003"/>
      <c r="H597" s="1003"/>
      <c r="I597" s="1003"/>
      <c r="J597" s="1003"/>
      <c r="K597" s="1003"/>
      <c r="L597" s="1003"/>
      <c r="M597" s="1003"/>
      <c r="N597" s="1003"/>
      <c r="O597" s="1003"/>
      <c r="P597" s="1003"/>
      <c r="Q597" s="1003"/>
    </row>
    <row r="598" spans="3:17" ht="15.75" customHeight="1">
      <c r="C598" s="1003"/>
      <c r="D598" s="1003"/>
      <c r="E598" s="1003"/>
      <c r="F598" s="1003"/>
      <c r="G598" s="1003"/>
      <c r="H598" s="1003"/>
      <c r="I598" s="1003"/>
      <c r="J598" s="1003"/>
      <c r="K598" s="1003"/>
      <c r="L598" s="1003"/>
      <c r="M598" s="1003"/>
      <c r="N598" s="1003"/>
      <c r="O598" s="1003"/>
      <c r="P598" s="1003"/>
      <c r="Q598" s="1003"/>
    </row>
    <row r="599" spans="3:17" ht="15.75" customHeight="1">
      <c r="C599" s="1003"/>
      <c r="D599" s="1003"/>
      <c r="E599" s="1003"/>
      <c r="F599" s="1003"/>
      <c r="G599" s="1003"/>
      <c r="H599" s="1003"/>
      <c r="I599" s="1003"/>
      <c r="J599" s="1003"/>
      <c r="K599" s="1003"/>
      <c r="L599" s="1003"/>
      <c r="M599" s="1003"/>
      <c r="N599" s="1003"/>
      <c r="O599" s="1003"/>
      <c r="P599" s="1003"/>
      <c r="Q599" s="1003"/>
    </row>
    <row r="600" spans="3:17" ht="15.75" customHeight="1">
      <c r="C600" s="1003"/>
      <c r="D600" s="1003"/>
      <c r="E600" s="1003"/>
      <c r="F600" s="1003"/>
      <c r="G600" s="1003"/>
      <c r="H600" s="1003"/>
      <c r="I600" s="1003"/>
      <c r="J600" s="1003"/>
      <c r="K600" s="1003"/>
      <c r="L600" s="1003"/>
      <c r="M600" s="1003"/>
      <c r="N600" s="1003"/>
      <c r="O600" s="1003"/>
      <c r="P600" s="1003"/>
      <c r="Q600" s="1003"/>
    </row>
    <row r="601" spans="3:17" ht="15.75" customHeight="1">
      <c r="C601" s="1003"/>
      <c r="D601" s="1003"/>
      <c r="E601" s="1003"/>
      <c r="F601" s="1003"/>
      <c r="G601" s="1003"/>
      <c r="H601" s="1003"/>
      <c r="I601" s="1003"/>
      <c r="J601" s="1003"/>
      <c r="K601" s="1003"/>
      <c r="L601" s="1003"/>
      <c r="M601" s="1003"/>
      <c r="N601" s="1003"/>
      <c r="O601" s="1003"/>
      <c r="P601" s="1003"/>
      <c r="Q601" s="1003"/>
    </row>
    <row r="602" spans="3:17" ht="15.75" customHeight="1">
      <c r="C602" s="1003"/>
      <c r="D602" s="1003"/>
      <c r="E602" s="1003"/>
      <c r="F602" s="1003"/>
      <c r="G602" s="1003"/>
      <c r="H602" s="1003"/>
      <c r="I602" s="1003"/>
      <c r="J602" s="1003"/>
      <c r="K602" s="1003"/>
      <c r="L602" s="1003"/>
      <c r="M602" s="1003"/>
      <c r="N602" s="1003"/>
      <c r="O602" s="1003"/>
      <c r="P602" s="1003"/>
      <c r="Q602" s="1003"/>
    </row>
    <row r="603" spans="3:17" ht="15.75" customHeight="1">
      <c r="C603" s="1003"/>
      <c r="D603" s="1003"/>
      <c r="E603" s="1003"/>
      <c r="F603" s="1003"/>
      <c r="G603" s="1003"/>
      <c r="H603" s="1003"/>
      <c r="I603" s="1003"/>
      <c r="J603" s="1003"/>
      <c r="K603" s="1003"/>
      <c r="L603" s="1003"/>
      <c r="M603" s="1003"/>
      <c r="N603" s="1003"/>
      <c r="O603" s="1003"/>
      <c r="P603" s="1003"/>
      <c r="Q603" s="1003"/>
    </row>
    <row r="604" spans="3:17" ht="15.75" customHeight="1">
      <c r="C604" s="1003"/>
      <c r="D604" s="1003"/>
      <c r="E604" s="1003"/>
      <c r="F604" s="1003"/>
      <c r="G604" s="1003"/>
      <c r="H604" s="1003"/>
      <c r="I604" s="1003"/>
      <c r="J604" s="1003"/>
      <c r="K604" s="1003"/>
      <c r="L604" s="1003"/>
      <c r="M604" s="1003"/>
      <c r="N604" s="1003"/>
      <c r="O604" s="1003"/>
      <c r="P604" s="1003"/>
      <c r="Q604" s="1003"/>
    </row>
    <row r="605" spans="3:17" ht="15.75" customHeight="1">
      <c r="C605" s="1003"/>
      <c r="D605" s="1003"/>
      <c r="E605" s="1003"/>
      <c r="F605" s="1003"/>
      <c r="G605" s="1003"/>
      <c r="H605" s="1003"/>
      <c r="I605" s="1003"/>
      <c r="J605" s="1003"/>
      <c r="K605" s="1003"/>
      <c r="L605" s="1003"/>
      <c r="M605" s="1003"/>
      <c r="N605" s="1003"/>
      <c r="O605" s="1003"/>
      <c r="P605" s="1003"/>
      <c r="Q605" s="1003"/>
    </row>
    <row r="606" spans="3:17" ht="15.75" customHeight="1">
      <c r="C606" s="1003"/>
      <c r="D606" s="1003"/>
      <c r="E606" s="1003"/>
      <c r="F606" s="1003"/>
      <c r="G606" s="1003"/>
      <c r="H606" s="1003"/>
      <c r="I606" s="1003"/>
      <c r="J606" s="1003"/>
      <c r="K606" s="1003"/>
      <c r="L606" s="1003"/>
      <c r="M606" s="1003"/>
      <c r="N606" s="1003"/>
      <c r="O606" s="1003"/>
      <c r="P606" s="1003"/>
      <c r="Q606" s="1003"/>
    </row>
    <row r="607" spans="3:17" ht="15.75" customHeight="1">
      <c r="C607" s="1003"/>
      <c r="D607" s="1003"/>
      <c r="E607" s="1003"/>
      <c r="F607" s="1003"/>
      <c r="G607" s="1003"/>
      <c r="H607" s="1003"/>
      <c r="I607" s="1003"/>
      <c r="J607" s="1003"/>
      <c r="K607" s="1003"/>
      <c r="L607" s="1003"/>
      <c r="M607" s="1003"/>
      <c r="N607" s="1003"/>
      <c r="O607" s="1003"/>
      <c r="P607" s="1003"/>
      <c r="Q607" s="1003"/>
    </row>
    <row r="608" spans="3:17" ht="15.75" customHeight="1">
      <c r="C608" s="1003"/>
      <c r="D608" s="1003"/>
      <c r="E608" s="1003"/>
      <c r="F608" s="1003"/>
      <c r="G608" s="1003"/>
      <c r="H608" s="1003"/>
      <c r="I608" s="1003"/>
      <c r="J608" s="1003"/>
      <c r="K608" s="1003"/>
      <c r="L608" s="1003"/>
      <c r="M608" s="1003"/>
      <c r="N608" s="1003"/>
      <c r="O608" s="1003"/>
      <c r="P608" s="1003"/>
      <c r="Q608" s="1003"/>
    </row>
    <row r="609" spans="3:17" ht="15.75" customHeight="1">
      <c r="C609" s="1003"/>
      <c r="D609" s="1003"/>
      <c r="E609" s="1003"/>
      <c r="F609" s="1003"/>
      <c r="G609" s="1003"/>
      <c r="H609" s="1003"/>
      <c r="I609" s="1003"/>
      <c r="J609" s="1003"/>
      <c r="K609" s="1003"/>
      <c r="L609" s="1003"/>
      <c r="M609" s="1003"/>
      <c r="N609" s="1003"/>
      <c r="O609" s="1003"/>
      <c r="P609" s="1003"/>
      <c r="Q609" s="1003"/>
    </row>
    <row r="610" spans="3:17" ht="15.75" customHeight="1">
      <c r="C610" s="1003"/>
      <c r="D610" s="1003"/>
      <c r="E610" s="1003"/>
      <c r="F610" s="1003"/>
      <c r="G610" s="1003"/>
      <c r="H610" s="1003"/>
      <c r="I610" s="1003"/>
      <c r="J610" s="1003"/>
      <c r="K610" s="1003"/>
      <c r="L610" s="1003"/>
      <c r="M610" s="1003"/>
      <c r="N610" s="1003"/>
      <c r="O610" s="1003"/>
      <c r="P610" s="1003"/>
      <c r="Q610" s="1003"/>
    </row>
    <row r="611" spans="3:17" ht="15.75" customHeight="1">
      <c r="C611" s="1003"/>
      <c r="D611" s="1003"/>
      <c r="E611" s="1003"/>
      <c r="F611" s="1003"/>
      <c r="G611" s="1003"/>
      <c r="H611" s="1003"/>
      <c r="I611" s="1003"/>
      <c r="J611" s="1003"/>
      <c r="K611" s="1003"/>
      <c r="L611" s="1003"/>
      <c r="M611" s="1003"/>
      <c r="N611" s="1003"/>
      <c r="O611" s="1003"/>
      <c r="P611" s="1003"/>
      <c r="Q611" s="1003"/>
    </row>
    <row r="612" spans="3:17" ht="15.75" customHeight="1">
      <c r="C612" s="1003"/>
      <c r="D612" s="1003"/>
      <c r="E612" s="1003"/>
      <c r="F612" s="1003"/>
      <c r="G612" s="1003"/>
      <c r="H612" s="1003"/>
      <c r="I612" s="1003"/>
      <c r="J612" s="1003"/>
      <c r="K612" s="1003"/>
      <c r="L612" s="1003"/>
      <c r="M612" s="1003"/>
      <c r="N612" s="1003"/>
      <c r="O612" s="1003"/>
      <c r="P612" s="1003"/>
      <c r="Q612" s="1003"/>
    </row>
    <row r="613" spans="3:17" ht="15.75" customHeight="1">
      <c r="C613" s="1003"/>
      <c r="D613" s="1003"/>
      <c r="E613" s="1003"/>
      <c r="F613" s="1003"/>
      <c r="G613" s="1003"/>
      <c r="H613" s="1003"/>
      <c r="I613" s="1003"/>
      <c r="J613" s="1003"/>
      <c r="K613" s="1003"/>
      <c r="L613" s="1003"/>
      <c r="M613" s="1003"/>
      <c r="N613" s="1003"/>
      <c r="O613" s="1003"/>
      <c r="P613" s="1003"/>
      <c r="Q613" s="1003"/>
    </row>
    <row r="614" spans="3:17" ht="15.75" customHeight="1">
      <c r="C614" s="1003"/>
      <c r="D614" s="1003"/>
      <c r="E614" s="1003"/>
      <c r="F614" s="1003"/>
      <c r="G614" s="1003"/>
      <c r="H614" s="1003"/>
      <c r="I614" s="1003"/>
      <c r="J614" s="1003"/>
      <c r="K614" s="1003"/>
      <c r="L614" s="1003"/>
      <c r="M614" s="1003"/>
      <c r="N614" s="1003"/>
      <c r="O614" s="1003"/>
      <c r="P614" s="1003"/>
      <c r="Q614" s="1003"/>
    </row>
    <row r="615" spans="3:17" ht="15.75" customHeight="1">
      <c r="C615" s="1003"/>
      <c r="D615" s="1003"/>
      <c r="E615" s="1003"/>
      <c r="F615" s="1003"/>
      <c r="G615" s="1003"/>
      <c r="H615" s="1003"/>
      <c r="I615" s="1003"/>
      <c r="J615" s="1003"/>
      <c r="K615" s="1003"/>
      <c r="L615" s="1003"/>
      <c r="M615" s="1003"/>
      <c r="N615" s="1003"/>
      <c r="O615" s="1003"/>
      <c r="P615" s="1003"/>
      <c r="Q615" s="1003"/>
    </row>
    <row r="616" spans="3:17" ht="15.75" customHeight="1">
      <c r="C616" s="1003"/>
      <c r="D616" s="1003"/>
      <c r="E616" s="1003"/>
      <c r="F616" s="1003"/>
      <c r="G616" s="1003"/>
      <c r="H616" s="1003"/>
      <c r="I616" s="1003"/>
      <c r="J616" s="1003"/>
      <c r="K616" s="1003"/>
      <c r="L616" s="1003"/>
      <c r="M616" s="1003"/>
      <c r="N616" s="1003"/>
      <c r="O616" s="1003"/>
      <c r="P616" s="1003"/>
      <c r="Q616" s="1003"/>
    </row>
    <row r="617" spans="3:17" ht="15.75" customHeight="1">
      <c r="C617" s="1003"/>
      <c r="D617" s="1003"/>
      <c r="E617" s="1003"/>
      <c r="F617" s="1003"/>
      <c r="G617" s="1003"/>
      <c r="H617" s="1003"/>
      <c r="I617" s="1003"/>
      <c r="J617" s="1003"/>
      <c r="K617" s="1003"/>
      <c r="L617" s="1003"/>
      <c r="M617" s="1003"/>
      <c r="N617" s="1003"/>
      <c r="O617" s="1003"/>
      <c r="P617" s="1003"/>
      <c r="Q617" s="1003"/>
    </row>
    <row r="618" spans="3:17" ht="15.75" customHeight="1">
      <c r="C618" s="1003"/>
      <c r="D618" s="1003"/>
      <c r="E618" s="1003"/>
      <c r="F618" s="1003"/>
      <c r="G618" s="1003"/>
      <c r="H618" s="1003"/>
      <c r="I618" s="1003"/>
      <c r="J618" s="1003"/>
      <c r="K618" s="1003"/>
      <c r="L618" s="1003"/>
      <c r="M618" s="1003"/>
      <c r="N618" s="1003"/>
      <c r="O618" s="1003"/>
      <c r="P618" s="1003"/>
      <c r="Q618" s="1003"/>
    </row>
    <row r="619" spans="3:17" ht="15.75" customHeight="1">
      <c r="C619" s="1003"/>
      <c r="D619" s="1003"/>
      <c r="E619" s="1003"/>
      <c r="F619" s="1003"/>
      <c r="G619" s="1003"/>
      <c r="H619" s="1003"/>
      <c r="I619" s="1003"/>
      <c r="J619" s="1003"/>
      <c r="K619" s="1003"/>
      <c r="L619" s="1003"/>
      <c r="M619" s="1003"/>
      <c r="N619" s="1003"/>
      <c r="O619" s="1003"/>
      <c r="P619" s="1003"/>
      <c r="Q619" s="1003"/>
    </row>
    <row r="620" spans="3:17" ht="15.75" customHeight="1">
      <c r="C620" s="1003"/>
      <c r="D620" s="1003"/>
      <c r="E620" s="1003"/>
      <c r="F620" s="1003"/>
      <c r="G620" s="1003"/>
      <c r="H620" s="1003"/>
      <c r="I620" s="1003"/>
      <c r="J620" s="1003"/>
      <c r="K620" s="1003"/>
      <c r="L620" s="1003"/>
      <c r="M620" s="1003"/>
      <c r="N620" s="1003"/>
      <c r="O620" s="1003"/>
      <c r="P620" s="1003"/>
      <c r="Q620" s="1003"/>
    </row>
    <row r="621" spans="3:17" ht="15.75" customHeight="1">
      <c r="C621" s="1003"/>
      <c r="D621" s="1003"/>
      <c r="E621" s="1003"/>
      <c r="F621" s="1003"/>
      <c r="G621" s="1003"/>
      <c r="H621" s="1003"/>
      <c r="I621" s="1003"/>
      <c r="J621" s="1003"/>
      <c r="K621" s="1003"/>
      <c r="L621" s="1003"/>
      <c r="M621" s="1003"/>
      <c r="N621" s="1003"/>
      <c r="O621" s="1003"/>
      <c r="P621" s="1003"/>
      <c r="Q621" s="1003"/>
    </row>
    <row r="622" spans="3:17" ht="15.75" customHeight="1">
      <c r="C622" s="1003"/>
      <c r="D622" s="1003"/>
      <c r="E622" s="1003"/>
      <c r="F622" s="1003"/>
      <c r="G622" s="1003"/>
      <c r="H622" s="1003"/>
      <c r="I622" s="1003"/>
      <c r="J622" s="1003"/>
      <c r="K622" s="1003"/>
      <c r="L622" s="1003"/>
      <c r="M622" s="1003"/>
      <c r="N622" s="1003"/>
      <c r="O622" s="1003"/>
      <c r="P622" s="1003"/>
      <c r="Q622" s="1003"/>
    </row>
    <row r="623" spans="3:17" ht="15.75" customHeight="1">
      <c r="C623" s="1003"/>
      <c r="D623" s="1003"/>
      <c r="E623" s="1003"/>
      <c r="F623" s="1003"/>
      <c r="G623" s="1003"/>
      <c r="H623" s="1003"/>
      <c r="I623" s="1003"/>
      <c r="J623" s="1003"/>
      <c r="K623" s="1003"/>
      <c r="L623" s="1003"/>
      <c r="M623" s="1003"/>
      <c r="N623" s="1003"/>
      <c r="O623" s="1003"/>
      <c r="P623" s="1003"/>
      <c r="Q623" s="1003"/>
    </row>
    <row r="624" spans="3:17" ht="15.75" customHeight="1">
      <c r="C624" s="1003"/>
      <c r="D624" s="1003"/>
      <c r="E624" s="1003"/>
      <c r="F624" s="1003"/>
      <c r="G624" s="1003"/>
      <c r="H624" s="1003"/>
      <c r="I624" s="1003"/>
      <c r="J624" s="1003"/>
      <c r="K624" s="1003"/>
      <c r="L624" s="1003"/>
      <c r="M624" s="1003"/>
      <c r="N624" s="1003"/>
      <c r="O624" s="1003"/>
      <c r="P624" s="1003"/>
      <c r="Q624" s="1003"/>
    </row>
    <row r="625" spans="3:17" ht="15.75" customHeight="1">
      <c r="C625" s="1003"/>
      <c r="D625" s="1003"/>
      <c r="E625" s="1003"/>
      <c r="F625" s="1003"/>
      <c r="G625" s="1003"/>
      <c r="H625" s="1003"/>
      <c r="I625" s="1003"/>
      <c r="J625" s="1003"/>
      <c r="K625" s="1003"/>
      <c r="L625" s="1003"/>
      <c r="M625" s="1003"/>
      <c r="N625" s="1003"/>
      <c r="O625" s="1003"/>
      <c r="P625" s="1003"/>
      <c r="Q625" s="1003"/>
    </row>
    <row r="626" spans="3:17" ht="15.75" customHeight="1">
      <c r="C626" s="1003"/>
      <c r="D626" s="1003"/>
      <c r="E626" s="1003"/>
      <c r="F626" s="1003"/>
      <c r="G626" s="1003"/>
      <c r="H626" s="1003"/>
      <c r="I626" s="1003"/>
      <c r="J626" s="1003"/>
      <c r="K626" s="1003"/>
      <c r="L626" s="1003"/>
      <c r="M626" s="1003"/>
      <c r="N626" s="1003"/>
      <c r="O626" s="1003"/>
      <c r="P626" s="1003"/>
      <c r="Q626" s="1003"/>
    </row>
    <row r="627" spans="3:17" ht="15.75" customHeight="1">
      <c r="C627" s="1003"/>
      <c r="D627" s="1003"/>
      <c r="E627" s="1003"/>
      <c r="F627" s="1003"/>
      <c r="G627" s="1003"/>
      <c r="H627" s="1003"/>
      <c r="I627" s="1003"/>
      <c r="J627" s="1003"/>
      <c r="K627" s="1003"/>
      <c r="L627" s="1003"/>
      <c r="M627" s="1003"/>
      <c r="N627" s="1003"/>
      <c r="O627" s="1003"/>
      <c r="P627" s="1003"/>
      <c r="Q627" s="1003"/>
    </row>
    <row r="628" spans="3:17" ht="15.75" customHeight="1">
      <c r="C628" s="1003"/>
      <c r="D628" s="1003"/>
      <c r="E628" s="1003"/>
      <c r="F628" s="1003"/>
      <c r="G628" s="1003"/>
      <c r="H628" s="1003"/>
      <c r="I628" s="1003"/>
      <c r="J628" s="1003"/>
      <c r="K628" s="1003"/>
      <c r="L628" s="1003"/>
      <c r="M628" s="1003"/>
      <c r="N628" s="1003"/>
      <c r="O628" s="1003"/>
      <c r="P628" s="1003"/>
      <c r="Q628" s="1003"/>
    </row>
    <row r="629" spans="3:17" ht="15.75" customHeight="1">
      <c r="C629" s="1003"/>
      <c r="D629" s="1003"/>
      <c r="E629" s="1003"/>
      <c r="F629" s="1003"/>
      <c r="G629" s="1003"/>
      <c r="H629" s="1003"/>
      <c r="I629" s="1003"/>
      <c r="J629" s="1003"/>
      <c r="K629" s="1003"/>
      <c r="L629" s="1003"/>
      <c r="M629" s="1003"/>
      <c r="N629" s="1003"/>
      <c r="O629" s="1003"/>
      <c r="P629" s="1003"/>
      <c r="Q629" s="1003"/>
    </row>
    <row r="630" spans="3:17" ht="15.75" customHeight="1">
      <c r="C630" s="1003"/>
      <c r="D630" s="1003"/>
      <c r="E630" s="1003"/>
      <c r="F630" s="1003"/>
      <c r="G630" s="1003"/>
      <c r="H630" s="1003"/>
      <c r="I630" s="1003"/>
      <c r="J630" s="1003"/>
      <c r="K630" s="1003"/>
      <c r="L630" s="1003"/>
      <c r="M630" s="1003"/>
      <c r="N630" s="1003"/>
      <c r="O630" s="1003"/>
      <c r="P630" s="1003"/>
      <c r="Q630" s="1003"/>
    </row>
    <row r="631" spans="3:17" ht="15.75" customHeight="1">
      <c r="C631" s="1003"/>
      <c r="D631" s="1003"/>
      <c r="E631" s="1003"/>
      <c r="F631" s="1003"/>
      <c r="G631" s="1003"/>
      <c r="H631" s="1003"/>
      <c r="I631" s="1003"/>
      <c r="J631" s="1003"/>
      <c r="K631" s="1003"/>
      <c r="L631" s="1003"/>
      <c r="M631" s="1003"/>
      <c r="N631" s="1003"/>
      <c r="O631" s="1003"/>
      <c r="P631" s="1003"/>
      <c r="Q631" s="1003"/>
    </row>
    <row r="632" spans="3:17" ht="15.75" customHeight="1">
      <c r="C632" s="1003"/>
      <c r="D632" s="1003"/>
      <c r="E632" s="1003"/>
      <c r="F632" s="1003"/>
      <c r="G632" s="1003"/>
      <c r="H632" s="1003"/>
      <c r="I632" s="1003"/>
      <c r="J632" s="1003"/>
      <c r="K632" s="1003"/>
      <c r="L632" s="1003"/>
      <c r="M632" s="1003"/>
      <c r="N632" s="1003"/>
      <c r="O632" s="1003"/>
      <c r="P632" s="1003"/>
      <c r="Q632" s="1003"/>
    </row>
    <row r="633" spans="3:17" ht="15.75" customHeight="1">
      <c r="C633" s="1003"/>
      <c r="D633" s="1003"/>
      <c r="E633" s="1003"/>
      <c r="F633" s="1003"/>
      <c r="G633" s="1003"/>
      <c r="H633" s="1003"/>
      <c r="I633" s="1003"/>
      <c r="J633" s="1003"/>
      <c r="K633" s="1003"/>
      <c r="L633" s="1003"/>
      <c r="M633" s="1003"/>
      <c r="N633" s="1003"/>
      <c r="O633" s="1003"/>
      <c r="P633" s="1003"/>
      <c r="Q633" s="1003"/>
    </row>
    <row r="634" spans="3:17" ht="15.75" customHeight="1">
      <c r="C634" s="1003"/>
      <c r="D634" s="1003"/>
      <c r="E634" s="1003"/>
      <c r="F634" s="1003"/>
      <c r="G634" s="1003"/>
      <c r="H634" s="1003"/>
      <c r="I634" s="1003"/>
      <c r="J634" s="1003"/>
      <c r="K634" s="1003"/>
      <c r="L634" s="1003"/>
      <c r="M634" s="1003"/>
      <c r="N634" s="1003"/>
      <c r="O634" s="1003"/>
      <c r="P634" s="1003"/>
      <c r="Q634" s="1003"/>
    </row>
    <row r="635" spans="3:17" ht="15.75" customHeight="1">
      <c r="C635" s="1003"/>
      <c r="D635" s="1003"/>
      <c r="E635" s="1003"/>
      <c r="F635" s="1003"/>
      <c r="G635" s="1003"/>
      <c r="H635" s="1003"/>
      <c r="I635" s="1003"/>
      <c r="J635" s="1003"/>
      <c r="K635" s="1003"/>
      <c r="L635" s="1003"/>
      <c r="M635" s="1003"/>
      <c r="N635" s="1003"/>
      <c r="O635" s="1003"/>
      <c r="P635" s="1003"/>
      <c r="Q635" s="1003"/>
    </row>
    <row r="636" spans="3:17" ht="15.75" customHeight="1">
      <c r="C636" s="1003"/>
      <c r="D636" s="1003"/>
      <c r="E636" s="1003"/>
      <c r="F636" s="1003"/>
      <c r="G636" s="1003"/>
      <c r="H636" s="1003"/>
      <c r="I636" s="1003"/>
      <c r="J636" s="1003"/>
      <c r="K636" s="1003"/>
      <c r="L636" s="1003"/>
      <c r="M636" s="1003"/>
      <c r="N636" s="1003"/>
      <c r="O636" s="1003"/>
      <c r="P636" s="1003"/>
      <c r="Q636" s="1003"/>
    </row>
    <row r="637" spans="3:17" ht="15.75" customHeight="1">
      <c r="C637" s="1003"/>
      <c r="D637" s="1003"/>
      <c r="E637" s="1003"/>
      <c r="F637" s="1003"/>
      <c r="G637" s="1003"/>
      <c r="H637" s="1003"/>
      <c r="I637" s="1003"/>
      <c r="J637" s="1003"/>
      <c r="K637" s="1003"/>
      <c r="L637" s="1003"/>
      <c r="M637" s="1003"/>
      <c r="N637" s="1003"/>
      <c r="O637" s="1003"/>
      <c r="P637" s="1003"/>
      <c r="Q637" s="1003"/>
    </row>
    <row r="638" spans="3:17" ht="15.75" customHeight="1">
      <c r="C638" s="1003"/>
      <c r="D638" s="1003"/>
      <c r="E638" s="1003"/>
      <c r="F638" s="1003"/>
      <c r="G638" s="1003"/>
      <c r="H638" s="1003"/>
      <c r="I638" s="1003"/>
      <c r="J638" s="1003"/>
      <c r="K638" s="1003"/>
      <c r="L638" s="1003"/>
      <c r="M638" s="1003"/>
      <c r="N638" s="1003"/>
      <c r="O638" s="1003"/>
      <c r="P638" s="1003"/>
      <c r="Q638" s="1003"/>
    </row>
    <row r="639" spans="3:17" ht="15.75" customHeight="1">
      <c r="C639" s="1003"/>
      <c r="D639" s="1003"/>
      <c r="E639" s="1003"/>
      <c r="F639" s="1003"/>
      <c r="G639" s="1003"/>
      <c r="H639" s="1003"/>
      <c r="I639" s="1003"/>
      <c r="J639" s="1003"/>
      <c r="K639" s="1003"/>
      <c r="L639" s="1003"/>
      <c r="M639" s="1003"/>
      <c r="N639" s="1003"/>
      <c r="O639" s="1003"/>
      <c r="P639" s="1003"/>
      <c r="Q639" s="1003"/>
    </row>
    <row r="640" spans="3:17" ht="15.75" customHeight="1">
      <c r="C640" s="1003"/>
      <c r="D640" s="1003"/>
      <c r="E640" s="1003"/>
      <c r="F640" s="1003"/>
      <c r="G640" s="1003"/>
      <c r="H640" s="1003"/>
      <c r="I640" s="1003"/>
      <c r="J640" s="1003"/>
      <c r="K640" s="1003"/>
      <c r="L640" s="1003"/>
      <c r="M640" s="1003"/>
      <c r="N640" s="1003"/>
      <c r="O640" s="1003"/>
      <c r="P640" s="1003"/>
      <c r="Q640" s="1003"/>
    </row>
    <row r="641" spans="3:17" ht="15.75" customHeight="1">
      <c r="C641" s="1003"/>
      <c r="D641" s="1003"/>
      <c r="E641" s="1003"/>
      <c r="F641" s="1003"/>
      <c r="G641" s="1003"/>
      <c r="H641" s="1003"/>
      <c r="I641" s="1003"/>
      <c r="J641" s="1003"/>
      <c r="K641" s="1003"/>
      <c r="L641" s="1003"/>
      <c r="M641" s="1003"/>
      <c r="N641" s="1003"/>
      <c r="O641" s="1003"/>
      <c r="P641" s="1003"/>
      <c r="Q641" s="1003"/>
    </row>
    <row r="642" spans="3:17" ht="15.75" customHeight="1">
      <c r="C642" s="1003"/>
      <c r="D642" s="1003"/>
      <c r="E642" s="1003"/>
      <c r="F642" s="1003"/>
      <c r="G642" s="1003"/>
      <c r="H642" s="1003"/>
      <c r="I642" s="1003"/>
      <c r="J642" s="1003"/>
      <c r="K642" s="1003"/>
      <c r="L642" s="1003"/>
      <c r="M642" s="1003"/>
      <c r="N642" s="1003"/>
      <c r="O642" s="1003"/>
      <c r="P642" s="1003"/>
      <c r="Q642" s="1003"/>
    </row>
    <row r="643" spans="3:17" ht="15.75" customHeight="1">
      <c r="C643" s="1003"/>
      <c r="D643" s="1003"/>
      <c r="E643" s="1003"/>
      <c r="F643" s="1003"/>
      <c r="G643" s="1003"/>
      <c r="H643" s="1003"/>
      <c r="I643" s="1003"/>
      <c r="J643" s="1003"/>
      <c r="K643" s="1003"/>
      <c r="L643" s="1003"/>
      <c r="M643" s="1003"/>
      <c r="N643" s="1003"/>
      <c r="O643" s="1003"/>
      <c r="P643" s="1003"/>
      <c r="Q643" s="1003"/>
    </row>
    <row r="644" spans="3:17" ht="15.75" customHeight="1">
      <c r="C644" s="1003"/>
      <c r="D644" s="1003"/>
      <c r="E644" s="1003"/>
      <c r="F644" s="1003"/>
      <c r="G644" s="1003"/>
      <c r="H644" s="1003"/>
      <c r="I644" s="1003"/>
      <c r="J644" s="1003"/>
      <c r="K644" s="1003"/>
      <c r="L644" s="1003"/>
      <c r="M644" s="1003"/>
      <c r="N644" s="1003"/>
      <c r="O644" s="1003"/>
      <c r="P644" s="1003"/>
      <c r="Q644" s="1003"/>
    </row>
    <row r="645" spans="3:17" ht="15.75" customHeight="1">
      <c r="C645" s="1003"/>
      <c r="D645" s="1003"/>
      <c r="E645" s="1003"/>
      <c r="F645" s="1003"/>
      <c r="G645" s="1003"/>
      <c r="H645" s="1003"/>
      <c r="I645" s="1003"/>
      <c r="J645" s="1003"/>
      <c r="K645" s="1003"/>
      <c r="L645" s="1003"/>
      <c r="M645" s="1003"/>
      <c r="N645" s="1003"/>
      <c r="O645" s="1003"/>
      <c r="P645" s="1003"/>
      <c r="Q645" s="1003"/>
    </row>
    <row r="646" spans="3:17" ht="15.75" customHeight="1">
      <c r="C646" s="1003"/>
      <c r="D646" s="1003"/>
      <c r="E646" s="1003"/>
      <c r="F646" s="1003"/>
      <c r="G646" s="1003"/>
      <c r="H646" s="1003"/>
      <c r="I646" s="1003"/>
      <c r="J646" s="1003"/>
      <c r="K646" s="1003"/>
      <c r="L646" s="1003"/>
      <c r="M646" s="1003"/>
      <c r="N646" s="1003"/>
      <c r="O646" s="1003"/>
      <c r="P646" s="1003"/>
      <c r="Q646" s="1003"/>
    </row>
    <row r="647" spans="3:17" ht="15.75" customHeight="1">
      <c r="C647" s="1003"/>
      <c r="D647" s="1003"/>
      <c r="E647" s="1003"/>
      <c r="F647" s="1003"/>
      <c r="G647" s="1003"/>
      <c r="H647" s="1003"/>
      <c r="I647" s="1003"/>
      <c r="J647" s="1003"/>
      <c r="K647" s="1003"/>
      <c r="L647" s="1003"/>
      <c r="M647" s="1003"/>
      <c r="N647" s="1003"/>
      <c r="O647" s="1003"/>
      <c r="P647" s="1003"/>
      <c r="Q647" s="1003"/>
    </row>
    <row r="648" spans="3:17" ht="15.75" customHeight="1">
      <c r="C648" s="1003"/>
      <c r="D648" s="1003"/>
      <c r="E648" s="1003"/>
      <c r="F648" s="1003"/>
      <c r="G648" s="1003"/>
      <c r="H648" s="1003"/>
      <c r="I648" s="1003"/>
      <c r="J648" s="1003"/>
      <c r="K648" s="1003"/>
      <c r="L648" s="1003"/>
      <c r="M648" s="1003"/>
      <c r="N648" s="1003"/>
      <c r="O648" s="1003"/>
      <c r="P648" s="1003"/>
      <c r="Q648" s="1003"/>
    </row>
    <row r="649" spans="3:17" ht="15.75" customHeight="1">
      <c r="C649" s="1003"/>
      <c r="D649" s="1003"/>
      <c r="E649" s="1003"/>
      <c r="F649" s="1003"/>
      <c r="G649" s="1003"/>
      <c r="H649" s="1003"/>
      <c r="I649" s="1003"/>
      <c r="J649" s="1003"/>
      <c r="K649" s="1003"/>
      <c r="L649" s="1003"/>
      <c r="M649" s="1003"/>
      <c r="N649" s="1003"/>
      <c r="O649" s="1003"/>
      <c r="P649" s="1003"/>
      <c r="Q649" s="1003"/>
    </row>
    <row r="650" spans="3:17" ht="15.75" customHeight="1">
      <c r="C650" s="1003"/>
      <c r="D650" s="1003"/>
      <c r="E650" s="1003"/>
      <c r="F650" s="1003"/>
      <c r="G650" s="1003"/>
      <c r="H650" s="1003"/>
      <c r="I650" s="1003"/>
      <c r="J650" s="1003"/>
      <c r="K650" s="1003"/>
      <c r="L650" s="1003"/>
      <c r="M650" s="1003"/>
      <c r="N650" s="1003"/>
      <c r="O650" s="1003"/>
      <c r="P650" s="1003"/>
      <c r="Q650" s="1003"/>
    </row>
    <row r="651" spans="3:17" ht="15.75" customHeight="1">
      <c r="C651" s="1003"/>
      <c r="D651" s="1003"/>
      <c r="E651" s="1003"/>
      <c r="F651" s="1003"/>
      <c r="G651" s="1003"/>
      <c r="H651" s="1003"/>
      <c r="I651" s="1003"/>
      <c r="J651" s="1003"/>
      <c r="K651" s="1003"/>
      <c r="L651" s="1003"/>
      <c r="M651" s="1003"/>
      <c r="N651" s="1003"/>
      <c r="O651" s="1003"/>
      <c r="P651" s="1003"/>
      <c r="Q651" s="1003"/>
    </row>
    <row r="652" spans="3:17" ht="15.75" customHeight="1">
      <c r="C652" s="1003"/>
      <c r="D652" s="1003"/>
      <c r="E652" s="1003"/>
      <c r="F652" s="1003"/>
      <c r="G652" s="1003"/>
      <c r="H652" s="1003"/>
      <c r="I652" s="1003"/>
      <c r="J652" s="1003"/>
      <c r="K652" s="1003"/>
      <c r="L652" s="1003"/>
      <c r="M652" s="1003"/>
      <c r="N652" s="1003"/>
      <c r="O652" s="1003"/>
      <c r="P652" s="1003"/>
      <c r="Q652" s="1003"/>
    </row>
    <row r="653" spans="3:17" ht="15.75" customHeight="1">
      <c r="C653" s="1003"/>
      <c r="D653" s="1003"/>
      <c r="E653" s="1003"/>
      <c r="F653" s="1003"/>
      <c r="G653" s="1003"/>
      <c r="H653" s="1003"/>
      <c r="I653" s="1003"/>
      <c r="J653" s="1003"/>
      <c r="K653" s="1003"/>
      <c r="L653" s="1003"/>
      <c r="M653" s="1003"/>
      <c r="N653" s="1003"/>
      <c r="O653" s="1003"/>
      <c r="P653" s="1003"/>
      <c r="Q653" s="1003"/>
    </row>
    <row r="654" spans="3:17" ht="15.75" customHeight="1">
      <c r="C654" s="1003"/>
      <c r="D654" s="1003"/>
      <c r="E654" s="1003"/>
      <c r="F654" s="1003"/>
      <c r="G654" s="1003"/>
      <c r="H654" s="1003"/>
      <c r="I654" s="1003"/>
      <c r="J654" s="1003"/>
      <c r="K654" s="1003"/>
      <c r="L654" s="1003"/>
      <c r="M654" s="1003"/>
      <c r="N654" s="1003"/>
      <c r="O654" s="1003"/>
      <c r="P654" s="1003"/>
      <c r="Q654" s="1003"/>
    </row>
    <row r="655" spans="3:17" ht="15.75" customHeight="1">
      <c r="C655" s="1003"/>
      <c r="D655" s="1003"/>
      <c r="E655" s="1003"/>
      <c r="F655" s="1003"/>
      <c r="G655" s="1003"/>
      <c r="H655" s="1003"/>
      <c r="I655" s="1003"/>
      <c r="J655" s="1003"/>
      <c r="K655" s="1003"/>
      <c r="L655" s="1003"/>
      <c r="M655" s="1003"/>
      <c r="N655" s="1003"/>
      <c r="O655" s="1003"/>
      <c r="P655" s="1003"/>
      <c r="Q655" s="1003"/>
    </row>
    <row r="656" spans="3:17" ht="15.75" customHeight="1">
      <c r="C656" s="1003"/>
      <c r="D656" s="1003"/>
      <c r="E656" s="1003"/>
      <c r="F656" s="1003"/>
      <c r="G656" s="1003"/>
      <c r="H656" s="1003"/>
      <c r="I656" s="1003"/>
      <c r="J656" s="1003"/>
      <c r="K656" s="1003"/>
      <c r="L656" s="1003"/>
      <c r="M656" s="1003"/>
      <c r="N656" s="1003"/>
      <c r="O656" s="1003"/>
      <c r="P656" s="1003"/>
      <c r="Q656" s="1003"/>
    </row>
    <row r="657" spans="3:17" ht="15.75" customHeight="1">
      <c r="C657" s="1003"/>
      <c r="D657" s="1003"/>
      <c r="E657" s="1003"/>
      <c r="F657" s="1003"/>
      <c r="G657" s="1003"/>
      <c r="H657" s="1003"/>
      <c r="I657" s="1003"/>
      <c r="J657" s="1003"/>
      <c r="K657" s="1003"/>
      <c r="L657" s="1003"/>
      <c r="M657" s="1003"/>
      <c r="N657" s="1003"/>
      <c r="O657" s="1003"/>
      <c r="P657" s="1003"/>
      <c r="Q657" s="1003"/>
    </row>
    <row r="658" spans="3:17" ht="15.75" customHeight="1">
      <c r="C658" s="1003"/>
      <c r="D658" s="1003"/>
      <c r="E658" s="1003"/>
      <c r="F658" s="1003"/>
      <c r="G658" s="1003"/>
      <c r="H658" s="1003"/>
      <c r="I658" s="1003"/>
      <c r="J658" s="1003"/>
      <c r="K658" s="1003"/>
      <c r="L658" s="1003"/>
      <c r="M658" s="1003"/>
      <c r="N658" s="1003"/>
      <c r="O658" s="1003"/>
      <c r="P658" s="1003"/>
      <c r="Q658" s="1003"/>
    </row>
    <row r="659" spans="3:17" ht="15.75" customHeight="1">
      <c r="C659" s="1003"/>
      <c r="D659" s="1003"/>
      <c r="E659" s="1003"/>
      <c r="F659" s="1003"/>
      <c r="G659" s="1003"/>
      <c r="H659" s="1003"/>
      <c r="I659" s="1003"/>
      <c r="J659" s="1003"/>
      <c r="K659" s="1003"/>
      <c r="L659" s="1003"/>
      <c r="M659" s="1003"/>
      <c r="N659" s="1003"/>
      <c r="O659" s="1003"/>
      <c r="P659" s="1003"/>
      <c r="Q659" s="1003"/>
    </row>
    <row r="660" spans="3:17" ht="15.75" customHeight="1">
      <c r="C660" s="1003"/>
      <c r="D660" s="1003"/>
      <c r="E660" s="1003"/>
      <c r="F660" s="1003"/>
      <c r="G660" s="1003"/>
      <c r="H660" s="1003"/>
      <c r="I660" s="1003"/>
      <c r="J660" s="1003"/>
      <c r="K660" s="1003"/>
      <c r="L660" s="1003"/>
      <c r="M660" s="1003"/>
      <c r="N660" s="1003"/>
      <c r="O660" s="1003"/>
      <c r="P660" s="1003"/>
      <c r="Q660" s="1003"/>
    </row>
    <row r="661" spans="3:17" ht="15.75" customHeight="1">
      <c r="C661" s="1003"/>
      <c r="D661" s="1003"/>
      <c r="E661" s="1003"/>
      <c r="F661" s="1003"/>
      <c r="G661" s="1003"/>
      <c r="H661" s="1003"/>
      <c r="I661" s="1003"/>
      <c r="J661" s="1003"/>
      <c r="K661" s="1003"/>
      <c r="L661" s="1003"/>
      <c r="M661" s="1003"/>
      <c r="N661" s="1003"/>
      <c r="O661" s="1003"/>
      <c r="P661" s="1003"/>
      <c r="Q661" s="1003"/>
    </row>
    <row r="662" spans="3:17" ht="15.75" customHeight="1">
      <c r="C662" s="1003"/>
      <c r="D662" s="1003"/>
      <c r="E662" s="1003"/>
      <c r="F662" s="1003"/>
      <c r="G662" s="1003"/>
      <c r="H662" s="1003"/>
      <c r="I662" s="1003"/>
      <c r="J662" s="1003"/>
      <c r="K662" s="1003"/>
      <c r="L662" s="1003"/>
      <c r="M662" s="1003"/>
      <c r="N662" s="1003"/>
      <c r="O662" s="1003"/>
      <c r="P662" s="1003"/>
      <c r="Q662" s="1003"/>
    </row>
    <row r="663" spans="3:17" ht="15.75" customHeight="1">
      <c r="C663" s="1003"/>
      <c r="D663" s="1003"/>
      <c r="E663" s="1003"/>
      <c r="F663" s="1003"/>
      <c r="G663" s="1003"/>
      <c r="H663" s="1003"/>
      <c r="I663" s="1003"/>
      <c r="J663" s="1003"/>
      <c r="K663" s="1003"/>
      <c r="L663" s="1003"/>
      <c r="M663" s="1003"/>
      <c r="N663" s="1003"/>
      <c r="O663" s="1003"/>
      <c r="P663" s="1003"/>
      <c r="Q663" s="1003"/>
    </row>
    <row r="664" spans="3:17" ht="15.75" customHeight="1">
      <c r="C664" s="1003"/>
      <c r="D664" s="1003"/>
      <c r="E664" s="1003"/>
      <c r="F664" s="1003"/>
      <c r="G664" s="1003"/>
      <c r="H664" s="1003"/>
      <c r="I664" s="1003"/>
      <c r="J664" s="1003"/>
      <c r="K664" s="1003"/>
      <c r="L664" s="1003"/>
      <c r="M664" s="1003"/>
      <c r="N664" s="1003"/>
      <c r="O664" s="1003"/>
      <c r="P664" s="1003"/>
      <c r="Q664" s="1003"/>
    </row>
    <row r="665" spans="3:17" ht="15.75" customHeight="1">
      <c r="C665" s="1003"/>
      <c r="D665" s="1003"/>
      <c r="E665" s="1003"/>
      <c r="F665" s="1003"/>
      <c r="G665" s="1003"/>
      <c r="H665" s="1003"/>
      <c r="I665" s="1003"/>
      <c r="J665" s="1003"/>
      <c r="K665" s="1003"/>
      <c r="L665" s="1003"/>
      <c r="M665" s="1003"/>
      <c r="N665" s="1003"/>
      <c r="O665" s="1003"/>
      <c r="P665" s="1003"/>
      <c r="Q665" s="1003"/>
    </row>
    <row r="666" spans="3:17" ht="15.75" customHeight="1">
      <c r="C666" s="1003"/>
      <c r="D666" s="1003"/>
      <c r="E666" s="1003"/>
      <c r="F666" s="1003"/>
      <c r="G666" s="1003"/>
      <c r="H666" s="1003"/>
      <c r="I666" s="1003"/>
      <c r="J666" s="1003"/>
      <c r="K666" s="1003"/>
      <c r="L666" s="1003"/>
      <c r="M666" s="1003"/>
      <c r="N666" s="1003"/>
      <c r="O666" s="1003"/>
      <c r="P666" s="1003"/>
      <c r="Q666" s="1003"/>
    </row>
    <row r="667" spans="3:17" ht="15.75" customHeight="1">
      <c r="C667" s="1003"/>
      <c r="D667" s="1003"/>
      <c r="E667" s="1003"/>
      <c r="F667" s="1003"/>
      <c r="G667" s="1003"/>
      <c r="H667" s="1003"/>
      <c r="I667" s="1003"/>
      <c r="J667" s="1003"/>
      <c r="K667" s="1003"/>
      <c r="L667" s="1003"/>
      <c r="M667" s="1003"/>
      <c r="N667" s="1003"/>
      <c r="O667" s="1003"/>
      <c r="P667" s="1003"/>
      <c r="Q667" s="1003"/>
    </row>
    <row r="668" spans="3:17" ht="15.75" customHeight="1">
      <c r="C668" s="1003"/>
      <c r="D668" s="1003"/>
      <c r="E668" s="1003"/>
      <c r="F668" s="1003"/>
      <c r="G668" s="1003"/>
      <c r="H668" s="1003"/>
      <c r="I668" s="1003"/>
      <c r="J668" s="1003"/>
      <c r="K668" s="1003"/>
      <c r="L668" s="1003"/>
      <c r="M668" s="1003"/>
      <c r="N668" s="1003"/>
      <c r="O668" s="1003"/>
      <c r="P668" s="1003"/>
      <c r="Q668" s="1003"/>
    </row>
    <row r="669" spans="3:17" ht="15.75" customHeight="1">
      <c r="C669" s="1003"/>
      <c r="D669" s="1003"/>
      <c r="E669" s="1003"/>
      <c r="F669" s="1003"/>
      <c r="G669" s="1003"/>
      <c r="H669" s="1003"/>
      <c r="I669" s="1003"/>
      <c r="J669" s="1003"/>
      <c r="K669" s="1003"/>
      <c r="L669" s="1003"/>
      <c r="M669" s="1003"/>
      <c r="N669" s="1003"/>
      <c r="O669" s="1003"/>
      <c r="P669" s="1003"/>
      <c r="Q669" s="1003"/>
    </row>
    <row r="670" spans="3:17" ht="15.75" customHeight="1">
      <c r="C670" s="1003"/>
      <c r="D670" s="1003"/>
      <c r="E670" s="1003"/>
      <c r="F670" s="1003"/>
      <c r="G670" s="1003"/>
      <c r="H670" s="1003"/>
      <c r="I670" s="1003"/>
      <c r="J670" s="1003"/>
      <c r="K670" s="1003"/>
      <c r="L670" s="1003"/>
      <c r="M670" s="1003"/>
      <c r="N670" s="1003"/>
      <c r="O670" s="1003"/>
      <c r="P670" s="1003"/>
      <c r="Q670" s="1003"/>
    </row>
    <row r="671" spans="3:17" ht="15.75" customHeight="1">
      <c r="C671" s="1003"/>
      <c r="D671" s="1003"/>
      <c r="E671" s="1003"/>
      <c r="F671" s="1003"/>
      <c r="G671" s="1003"/>
      <c r="H671" s="1003"/>
      <c r="I671" s="1003"/>
      <c r="J671" s="1003"/>
      <c r="K671" s="1003"/>
      <c r="L671" s="1003"/>
      <c r="M671" s="1003"/>
      <c r="N671" s="1003"/>
      <c r="O671" s="1003"/>
      <c r="P671" s="1003"/>
      <c r="Q671" s="1003"/>
    </row>
    <row r="672" spans="3:17" ht="15.75" customHeight="1">
      <c r="C672" s="1003"/>
      <c r="D672" s="1003"/>
      <c r="E672" s="1003"/>
      <c r="F672" s="1003"/>
      <c r="G672" s="1003"/>
      <c r="H672" s="1003"/>
      <c r="I672" s="1003"/>
      <c r="J672" s="1003"/>
      <c r="K672" s="1003"/>
      <c r="L672" s="1003"/>
      <c r="M672" s="1003"/>
      <c r="N672" s="1003"/>
      <c r="O672" s="1003"/>
      <c r="P672" s="1003"/>
      <c r="Q672" s="1003"/>
    </row>
    <row r="673" spans="3:17" ht="15.75" customHeight="1">
      <c r="C673" s="1003"/>
      <c r="D673" s="1003"/>
      <c r="E673" s="1003"/>
      <c r="F673" s="1003"/>
      <c r="G673" s="1003"/>
      <c r="H673" s="1003"/>
      <c r="I673" s="1003"/>
      <c r="J673" s="1003"/>
      <c r="K673" s="1003"/>
      <c r="L673" s="1003"/>
      <c r="M673" s="1003"/>
      <c r="N673" s="1003"/>
      <c r="O673" s="1003"/>
      <c r="P673" s="1003"/>
      <c r="Q673" s="1003"/>
    </row>
    <row r="674" spans="3:17" ht="15.75" customHeight="1">
      <c r="C674" s="1003"/>
      <c r="D674" s="1003"/>
      <c r="E674" s="1003"/>
      <c r="F674" s="1003"/>
      <c r="G674" s="1003"/>
      <c r="H674" s="1003"/>
      <c r="I674" s="1003"/>
      <c r="J674" s="1003"/>
      <c r="K674" s="1003"/>
      <c r="L674" s="1003"/>
      <c r="M674" s="1003"/>
      <c r="N674" s="1003"/>
      <c r="O674" s="1003"/>
      <c r="P674" s="1003"/>
      <c r="Q674" s="1003"/>
    </row>
    <row r="675" spans="3:17" ht="15.75" customHeight="1">
      <c r="C675" s="1003"/>
      <c r="D675" s="1003"/>
      <c r="E675" s="1003"/>
      <c r="F675" s="1003"/>
      <c r="G675" s="1003"/>
      <c r="H675" s="1003"/>
      <c r="I675" s="1003"/>
      <c r="J675" s="1003"/>
      <c r="K675" s="1003"/>
      <c r="L675" s="1003"/>
      <c r="M675" s="1003"/>
      <c r="N675" s="1003"/>
      <c r="O675" s="1003"/>
      <c r="P675" s="1003"/>
      <c r="Q675" s="1003"/>
    </row>
    <row r="676" spans="3:17" ht="15.75" customHeight="1">
      <c r="C676" s="1003"/>
      <c r="D676" s="1003"/>
      <c r="E676" s="1003"/>
      <c r="F676" s="1003"/>
      <c r="G676" s="1003"/>
      <c r="H676" s="1003"/>
      <c r="I676" s="1003"/>
      <c r="J676" s="1003"/>
      <c r="K676" s="1003"/>
      <c r="L676" s="1003"/>
      <c r="M676" s="1003"/>
      <c r="N676" s="1003"/>
      <c r="O676" s="1003"/>
      <c r="P676" s="1003"/>
      <c r="Q676" s="1003"/>
    </row>
    <row r="677" spans="3:17" ht="15.75" customHeight="1">
      <c r="C677" s="1003"/>
      <c r="D677" s="1003"/>
      <c r="E677" s="1003"/>
      <c r="F677" s="1003"/>
      <c r="G677" s="1003"/>
      <c r="H677" s="1003"/>
      <c r="I677" s="1003"/>
      <c r="J677" s="1003"/>
      <c r="K677" s="1003"/>
      <c r="L677" s="1003"/>
      <c r="M677" s="1003"/>
      <c r="N677" s="1003"/>
      <c r="O677" s="1003"/>
      <c r="P677" s="1003"/>
      <c r="Q677" s="1003"/>
    </row>
    <row r="678" spans="3:17" ht="15.75" customHeight="1">
      <c r="C678" s="1003"/>
      <c r="D678" s="1003"/>
      <c r="E678" s="1003"/>
      <c r="F678" s="1003"/>
      <c r="G678" s="1003"/>
      <c r="H678" s="1003"/>
      <c r="I678" s="1003"/>
      <c r="J678" s="1003"/>
      <c r="K678" s="1003"/>
      <c r="L678" s="1003"/>
      <c r="M678" s="1003"/>
      <c r="N678" s="1003"/>
      <c r="O678" s="1003"/>
      <c r="P678" s="1003"/>
      <c r="Q678" s="1003"/>
    </row>
    <row r="679" spans="3:17" ht="15.75" customHeight="1">
      <c r="C679" s="1003"/>
      <c r="D679" s="1003"/>
      <c r="E679" s="1003"/>
      <c r="F679" s="1003"/>
      <c r="G679" s="1003"/>
      <c r="H679" s="1003"/>
      <c r="I679" s="1003"/>
      <c r="J679" s="1003"/>
      <c r="K679" s="1003"/>
      <c r="L679" s="1003"/>
      <c r="M679" s="1003"/>
      <c r="N679" s="1003"/>
      <c r="O679" s="1003"/>
      <c r="P679" s="1003"/>
      <c r="Q679" s="1003"/>
    </row>
    <row r="680" spans="3:17" ht="15.75" customHeight="1">
      <c r="C680" s="1003"/>
      <c r="D680" s="1003"/>
      <c r="E680" s="1003"/>
      <c r="F680" s="1003"/>
      <c r="G680" s="1003"/>
      <c r="H680" s="1003"/>
      <c r="I680" s="1003"/>
      <c r="J680" s="1003"/>
      <c r="K680" s="1003"/>
      <c r="L680" s="1003"/>
      <c r="M680" s="1003"/>
      <c r="N680" s="1003"/>
      <c r="O680" s="1003"/>
      <c r="P680" s="1003"/>
      <c r="Q680" s="1003"/>
    </row>
    <row r="681" spans="3:17" ht="15.75" customHeight="1">
      <c r="C681" s="1003"/>
      <c r="D681" s="1003"/>
      <c r="E681" s="1003"/>
      <c r="F681" s="1003"/>
      <c r="G681" s="1003"/>
      <c r="H681" s="1003"/>
      <c r="I681" s="1003"/>
      <c r="J681" s="1003"/>
      <c r="K681" s="1003"/>
      <c r="L681" s="1003"/>
      <c r="M681" s="1003"/>
      <c r="N681" s="1003"/>
      <c r="O681" s="1003"/>
      <c r="P681" s="1003"/>
      <c r="Q681" s="1003"/>
    </row>
    <row r="682" spans="3:17" ht="15.75" customHeight="1">
      <c r="C682" s="1003"/>
      <c r="D682" s="1003"/>
      <c r="E682" s="1003"/>
      <c r="F682" s="1003"/>
      <c r="G682" s="1003"/>
      <c r="H682" s="1003"/>
      <c r="I682" s="1003"/>
      <c r="J682" s="1003"/>
      <c r="K682" s="1003"/>
      <c r="L682" s="1003"/>
      <c r="M682" s="1003"/>
      <c r="N682" s="1003"/>
      <c r="O682" s="1003"/>
      <c r="P682" s="1003"/>
      <c r="Q682" s="1003"/>
    </row>
    <row r="683" spans="3:17" ht="15.75" customHeight="1">
      <c r="C683" s="1003"/>
      <c r="D683" s="1003"/>
      <c r="E683" s="1003"/>
      <c r="F683" s="1003"/>
      <c r="G683" s="1003"/>
      <c r="H683" s="1003"/>
      <c r="I683" s="1003"/>
      <c r="J683" s="1003"/>
      <c r="K683" s="1003"/>
      <c r="L683" s="1003"/>
      <c r="M683" s="1003"/>
      <c r="N683" s="1003"/>
      <c r="O683" s="1003"/>
      <c r="P683" s="1003"/>
      <c r="Q683" s="1003"/>
    </row>
    <row r="684" spans="3:17" ht="15.75" customHeight="1">
      <c r="C684" s="1003"/>
      <c r="D684" s="1003"/>
      <c r="E684" s="1003"/>
      <c r="F684" s="1003"/>
      <c r="G684" s="1003"/>
      <c r="H684" s="1003"/>
      <c r="I684" s="1003"/>
      <c r="J684" s="1003"/>
      <c r="K684" s="1003"/>
      <c r="L684" s="1003"/>
      <c r="M684" s="1003"/>
      <c r="N684" s="1003"/>
      <c r="O684" s="1003"/>
      <c r="P684" s="1003"/>
      <c r="Q684" s="1003"/>
    </row>
    <row r="685" spans="3:17" ht="15.75" customHeight="1">
      <c r="C685" s="1003"/>
      <c r="D685" s="1003"/>
      <c r="E685" s="1003"/>
      <c r="F685" s="1003"/>
      <c r="G685" s="1003"/>
      <c r="H685" s="1003"/>
      <c r="I685" s="1003"/>
      <c r="J685" s="1003"/>
      <c r="K685" s="1003"/>
      <c r="L685" s="1003"/>
      <c r="M685" s="1003"/>
      <c r="N685" s="1003"/>
      <c r="O685" s="1003"/>
      <c r="P685" s="1003"/>
      <c r="Q685" s="1003"/>
    </row>
    <row r="686" spans="3:17" ht="15.75" customHeight="1">
      <c r="C686" s="1003"/>
      <c r="D686" s="1003"/>
      <c r="E686" s="1003"/>
      <c r="F686" s="1003"/>
      <c r="G686" s="1003"/>
      <c r="H686" s="1003"/>
      <c r="I686" s="1003"/>
      <c r="J686" s="1003"/>
      <c r="K686" s="1003"/>
      <c r="L686" s="1003"/>
      <c r="M686" s="1003"/>
      <c r="N686" s="1003"/>
      <c r="O686" s="1003"/>
      <c r="P686" s="1003"/>
      <c r="Q686" s="1003"/>
    </row>
    <row r="687" spans="3:17" ht="15.75" customHeight="1">
      <c r="C687" s="1003"/>
      <c r="D687" s="1003"/>
      <c r="E687" s="1003"/>
      <c r="F687" s="1003"/>
      <c r="G687" s="1003"/>
      <c r="H687" s="1003"/>
      <c r="I687" s="1003"/>
      <c r="J687" s="1003"/>
      <c r="K687" s="1003"/>
      <c r="L687" s="1003"/>
      <c r="M687" s="1003"/>
      <c r="N687" s="1003"/>
      <c r="O687" s="1003"/>
      <c r="P687" s="1003"/>
      <c r="Q687" s="1003"/>
    </row>
    <row r="688" spans="3:17" ht="15.75" customHeight="1">
      <c r="C688" s="1003"/>
      <c r="D688" s="1003"/>
      <c r="E688" s="1003"/>
      <c r="F688" s="1003"/>
      <c r="G688" s="1003"/>
      <c r="H688" s="1003"/>
      <c r="I688" s="1003"/>
      <c r="J688" s="1003"/>
      <c r="K688" s="1003"/>
      <c r="L688" s="1003"/>
      <c r="M688" s="1003"/>
      <c r="N688" s="1003"/>
      <c r="O688" s="1003"/>
      <c r="P688" s="1003"/>
      <c r="Q688" s="1003"/>
    </row>
    <row r="689" spans="3:17" ht="15.75" customHeight="1">
      <c r="C689" s="1003"/>
      <c r="D689" s="1003"/>
      <c r="E689" s="1003"/>
      <c r="F689" s="1003"/>
      <c r="G689" s="1003"/>
      <c r="H689" s="1003"/>
      <c r="I689" s="1003"/>
      <c r="J689" s="1003"/>
      <c r="K689" s="1003"/>
      <c r="L689" s="1003"/>
      <c r="M689" s="1003"/>
      <c r="N689" s="1003"/>
      <c r="O689" s="1003"/>
      <c r="P689" s="1003"/>
      <c r="Q689" s="1003"/>
    </row>
    <row r="690" spans="3:17" ht="15.75" customHeight="1">
      <c r="C690" s="1003"/>
      <c r="D690" s="1003"/>
      <c r="E690" s="1003"/>
      <c r="F690" s="1003"/>
      <c r="G690" s="1003"/>
      <c r="H690" s="1003"/>
      <c r="I690" s="1003"/>
      <c r="J690" s="1003"/>
      <c r="K690" s="1003"/>
      <c r="L690" s="1003"/>
      <c r="M690" s="1003"/>
      <c r="N690" s="1003"/>
      <c r="O690" s="1003"/>
      <c r="P690" s="1003"/>
      <c r="Q690" s="1003"/>
    </row>
    <row r="691" spans="3:17" ht="15.75" customHeight="1">
      <c r="C691" s="1003"/>
      <c r="D691" s="1003"/>
      <c r="E691" s="1003"/>
      <c r="F691" s="1003"/>
      <c r="G691" s="1003"/>
      <c r="H691" s="1003"/>
      <c r="I691" s="1003"/>
      <c r="J691" s="1003"/>
      <c r="K691" s="1003"/>
      <c r="L691" s="1003"/>
      <c r="M691" s="1003"/>
      <c r="N691" s="1003"/>
      <c r="O691" s="1003"/>
      <c r="P691" s="1003"/>
      <c r="Q691" s="1003"/>
    </row>
    <row r="692" spans="3:17" ht="15.75" customHeight="1">
      <c r="C692" s="1003"/>
      <c r="D692" s="1003"/>
      <c r="E692" s="1003"/>
      <c r="F692" s="1003"/>
      <c r="G692" s="1003"/>
      <c r="H692" s="1003"/>
      <c r="I692" s="1003"/>
      <c r="J692" s="1003"/>
      <c r="K692" s="1003"/>
      <c r="L692" s="1003"/>
      <c r="M692" s="1003"/>
      <c r="N692" s="1003"/>
      <c r="O692" s="1003"/>
      <c r="P692" s="1003"/>
      <c r="Q692" s="1003"/>
    </row>
    <row r="693" spans="3:17" ht="15.75" customHeight="1">
      <c r="C693" s="1003"/>
      <c r="D693" s="1003"/>
      <c r="E693" s="1003"/>
      <c r="F693" s="1003"/>
      <c r="G693" s="1003"/>
      <c r="H693" s="1003"/>
      <c r="I693" s="1003"/>
      <c r="J693" s="1003"/>
      <c r="K693" s="1003"/>
      <c r="L693" s="1003"/>
      <c r="M693" s="1003"/>
      <c r="N693" s="1003"/>
      <c r="O693" s="1003"/>
      <c r="P693" s="1003"/>
      <c r="Q693" s="1003"/>
    </row>
    <row r="694" spans="3:17" ht="15.75" customHeight="1">
      <c r="C694" s="1003"/>
      <c r="D694" s="1003"/>
      <c r="E694" s="1003"/>
      <c r="F694" s="1003"/>
      <c r="G694" s="1003"/>
      <c r="H694" s="1003"/>
      <c r="I694" s="1003"/>
      <c r="J694" s="1003"/>
      <c r="K694" s="1003"/>
      <c r="L694" s="1003"/>
      <c r="M694" s="1003"/>
      <c r="N694" s="1003"/>
      <c r="O694" s="1003"/>
      <c r="P694" s="1003"/>
      <c r="Q694" s="1003"/>
    </row>
    <row r="695" spans="3:17" ht="15.75" customHeight="1">
      <c r="C695" s="1003"/>
      <c r="D695" s="1003"/>
      <c r="E695" s="1003"/>
      <c r="F695" s="1003"/>
      <c r="G695" s="1003"/>
      <c r="H695" s="1003"/>
      <c r="I695" s="1003"/>
      <c r="J695" s="1003"/>
      <c r="K695" s="1003"/>
      <c r="L695" s="1003"/>
      <c r="M695" s="1003"/>
      <c r="N695" s="1003"/>
      <c r="O695" s="1003"/>
      <c r="P695" s="1003"/>
      <c r="Q695" s="1003"/>
    </row>
    <row r="696" spans="3:17" ht="15.75" customHeight="1">
      <c r="C696" s="1003"/>
      <c r="D696" s="1003"/>
      <c r="E696" s="1003"/>
      <c r="F696" s="1003"/>
      <c r="G696" s="1003"/>
      <c r="H696" s="1003"/>
      <c r="I696" s="1003"/>
      <c r="J696" s="1003"/>
      <c r="K696" s="1003"/>
      <c r="L696" s="1003"/>
      <c r="M696" s="1003"/>
      <c r="N696" s="1003"/>
      <c r="O696" s="1003"/>
      <c r="P696" s="1003"/>
      <c r="Q696" s="1003"/>
    </row>
    <row r="697" spans="3:17" ht="15.75" customHeight="1">
      <c r="C697" s="1003"/>
      <c r="D697" s="1003"/>
      <c r="E697" s="1003"/>
      <c r="F697" s="1003"/>
      <c r="G697" s="1003"/>
      <c r="H697" s="1003"/>
      <c r="I697" s="1003"/>
      <c r="J697" s="1003"/>
      <c r="K697" s="1003"/>
      <c r="L697" s="1003"/>
      <c r="M697" s="1003"/>
      <c r="N697" s="1003"/>
      <c r="O697" s="1003"/>
      <c r="P697" s="1003"/>
      <c r="Q697" s="1003"/>
    </row>
    <row r="698" spans="3:17" ht="15.75" customHeight="1">
      <c r="C698" s="1003"/>
      <c r="D698" s="1003"/>
      <c r="E698" s="1003"/>
      <c r="F698" s="1003"/>
      <c r="G698" s="1003"/>
      <c r="H698" s="1003"/>
      <c r="I698" s="1003"/>
      <c r="J698" s="1003"/>
      <c r="K698" s="1003"/>
      <c r="L698" s="1003"/>
      <c r="M698" s="1003"/>
      <c r="N698" s="1003"/>
      <c r="O698" s="1003"/>
      <c r="P698" s="1003"/>
      <c r="Q698" s="1003"/>
    </row>
    <row r="699" spans="3:17" ht="15.75" customHeight="1">
      <c r="C699" s="1003"/>
      <c r="D699" s="1003"/>
      <c r="E699" s="1003"/>
      <c r="F699" s="1003"/>
      <c r="G699" s="1003"/>
      <c r="H699" s="1003"/>
      <c r="I699" s="1003"/>
      <c r="J699" s="1003"/>
      <c r="K699" s="1003"/>
      <c r="L699" s="1003"/>
      <c r="M699" s="1003"/>
      <c r="N699" s="1003"/>
      <c r="O699" s="1003"/>
      <c r="P699" s="1003"/>
      <c r="Q699" s="1003"/>
    </row>
    <row r="700" spans="3:17" ht="15.75" customHeight="1">
      <c r="C700" s="1003"/>
      <c r="D700" s="1003"/>
      <c r="E700" s="1003"/>
      <c r="F700" s="1003"/>
      <c r="G700" s="1003"/>
      <c r="H700" s="1003"/>
      <c r="I700" s="1003"/>
      <c r="J700" s="1003"/>
      <c r="K700" s="1003"/>
      <c r="L700" s="1003"/>
      <c r="M700" s="1003"/>
      <c r="N700" s="1003"/>
      <c r="O700" s="1003"/>
      <c r="P700" s="1003"/>
      <c r="Q700" s="1003"/>
    </row>
    <row r="701" spans="3:17" ht="15.75" customHeight="1">
      <c r="C701" s="1003"/>
      <c r="D701" s="1003"/>
      <c r="E701" s="1003"/>
      <c r="F701" s="1003"/>
      <c r="G701" s="1003"/>
      <c r="H701" s="1003"/>
      <c r="I701" s="1003"/>
      <c r="J701" s="1003"/>
      <c r="K701" s="1003"/>
      <c r="L701" s="1003"/>
      <c r="M701" s="1003"/>
      <c r="N701" s="1003"/>
      <c r="O701" s="1003"/>
      <c r="P701" s="1003"/>
      <c r="Q701" s="1003"/>
    </row>
    <row r="702" spans="3:17" ht="15.75" customHeight="1">
      <c r="C702" s="1003"/>
      <c r="D702" s="1003"/>
      <c r="E702" s="1003"/>
      <c r="F702" s="1003"/>
      <c r="G702" s="1003"/>
      <c r="H702" s="1003"/>
      <c r="I702" s="1003"/>
      <c r="J702" s="1003"/>
      <c r="K702" s="1003"/>
      <c r="L702" s="1003"/>
      <c r="M702" s="1003"/>
      <c r="N702" s="1003"/>
      <c r="O702" s="1003"/>
      <c r="P702" s="1003"/>
      <c r="Q702" s="1003"/>
    </row>
    <row r="703" spans="3:17" ht="15.75" customHeight="1">
      <c r="C703" s="1003"/>
      <c r="D703" s="1003"/>
      <c r="E703" s="1003"/>
      <c r="F703" s="1003"/>
      <c r="G703" s="1003"/>
      <c r="H703" s="1003"/>
      <c r="I703" s="1003"/>
      <c r="J703" s="1003"/>
      <c r="K703" s="1003"/>
      <c r="L703" s="1003"/>
      <c r="M703" s="1003"/>
      <c r="N703" s="1003"/>
      <c r="O703" s="1003"/>
      <c r="P703" s="1003"/>
      <c r="Q703" s="1003"/>
    </row>
    <row r="704" spans="3:17" ht="15.75" customHeight="1">
      <c r="C704" s="1003"/>
      <c r="D704" s="1003"/>
      <c r="E704" s="1003"/>
      <c r="F704" s="1003"/>
      <c r="G704" s="1003"/>
      <c r="H704" s="1003"/>
      <c r="I704" s="1003"/>
      <c r="J704" s="1003"/>
      <c r="K704" s="1003"/>
      <c r="L704" s="1003"/>
      <c r="M704" s="1003"/>
      <c r="N704" s="1003"/>
      <c r="O704" s="1003"/>
      <c r="P704" s="1003"/>
      <c r="Q704" s="1003"/>
    </row>
    <row r="705" spans="3:17" ht="15.75" customHeight="1">
      <c r="C705" s="1003"/>
      <c r="D705" s="1003"/>
      <c r="E705" s="1003"/>
      <c r="F705" s="1003"/>
      <c r="G705" s="1003"/>
      <c r="H705" s="1003"/>
      <c r="I705" s="1003"/>
      <c r="J705" s="1003"/>
      <c r="K705" s="1003"/>
      <c r="L705" s="1003"/>
      <c r="M705" s="1003"/>
      <c r="N705" s="1003"/>
      <c r="O705" s="1003"/>
      <c r="P705" s="1003"/>
      <c r="Q705" s="1003"/>
    </row>
    <row r="706" spans="3:17" ht="15.75" customHeight="1">
      <c r="C706" s="1003"/>
      <c r="D706" s="1003"/>
      <c r="E706" s="1003"/>
      <c r="F706" s="1003"/>
      <c r="G706" s="1003"/>
      <c r="H706" s="1003"/>
      <c r="I706" s="1003"/>
      <c r="J706" s="1003"/>
      <c r="K706" s="1003"/>
      <c r="L706" s="1003"/>
      <c r="M706" s="1003"/>
      <c r="N706" s="1003"/>
      <c r="O706" s="1003"/>
      <c r="P706" s="1003"/>
      <c r="Q706" s="1003"/>
    </row>
    <row r="707" spans="3:17" ht="15.75" customHeight="1">
      <c r="C707" s="1003"/>
      <c r="D707" s="1003"/>
      <c r="E707" s="1003"/>
      <c r="F707" s="1003"/>
      <c r="G707" s="1003"/>
      <c r="H707" s="1003"/>
      <c r="I707" s="1003"/>
      <c r="J707" s="1003"/>
      <c r="K707" s="1003"/>
      <c r="L707" s="1003"/>
      <c r="M707" s="1003"/>
      <c r="N707" s="1003"/>
      <c r="O707" s="1003"/>
      <c r="P707" s="1003"/>
      <c r="Q707" s="1003"/>
    </row>
    <row r="708" spans="3:17" ht="15.75" customHeight="1">
      <c r="C708" s="1003"/>
      <c r="D708" s="1003"/>
      <c r="E708" s="1003"/>
      <c r="F708" s="1003"/>
      <c r="G708" s="1003"/>
      <c r="H708" s="1003"/>
      <c r="I708" s="1003"/>
      <c r="J708" s="1003"/>
      <c r="K708" s="1003"/>
      <c r="L708" s="1003"/>
      <c r="M708" s="1003"/>
      <c r="N708" s="1003"/>
      <c r="O708" s="1003"/>
      <c r="P708" s="1003"/>
      <c r="Q708" s="1003"/>
    </row>
    <row r="709" spans="3:17" ht="15.75" customHeight="1">
      <c r="C709" s="1003"/>
      <c r="D709" s="1003"/>
      <c r="E709" s="1003"/>
      <c r="F709" s="1003"/>
      <c r="G709" s="1003"/>
      <c r="H709" s="1003"/>
      <c r="I709" s="1003"/>
      <c r="J709" s="1003"/>
      <c r="K709" s="1003"/>
      <c r="L709" s="1003"/>
      <c r="M709" s="1003"/>
      <c r="N709" s="1003"/>
      <c r="O709" s="1003"/>
      <c r="P709" s="1003"/>
      <c r="Q709" s="1003"/>
    </row>
    <row r="710" spans="3:17" ht="15.75" customHeight="1">
      <c r="C710" s="1003"/>
      <c r="D710" s="1003"/>
      <c r="E710" s="1003"/>
      <c r="F710" s="1003"/>
      <c r="G710" s="1003"/>
      <c r="H710" s="1003"/>
      <c r="I710" s="1003"/>
      <c r="J710" s="1003"/>
      <c r="K710" s="1003"/>
      <c r="L710" s="1003"/>
      <c r="M710" s="1003"/>
      <c r="N710" s="1003"/>
      <c r="O710" s="1003"/>
      <c r="P710" s="1003"/>
      <c r="Q710" s="1003"/>
    </row>
    <row r="711" spans="3:17" ht="15.75" customHeight="1">
      <c r="C711" s="1003"/>
      <c r="D711" s="1003"/>
      <c r="E711" s="1003"/>
      <c r="F711" s="1003"/>
      <c r="G711" s="1003"/>
      <c r="H711" s="1003"/>
      <c r="I711" s="1003"/>
      <c r="J711" s="1003"/>
      <c r="K711" s="1003"/>
      <c r="L711" s="1003"/>
      <c r="M711" s="1003"/>
      <c r="N711" s="1003"/>
      <c r="O711" s="1003"/>
      <c r="P711" s="1003"/>
      <c r="Q711" s="1003"/>
    </row>
    <row r="712" spans="3:17" ht="15.75" customHeight="1">
      <c r="C712" s="1003"/>
      <c r="D712" s="1003"/>
      <c r="E712" s="1003"/>
      <c r="F712" s="1003"/>
      <c r="G712" s="1003"/>
      <c r="H712" s="1003"/>
      <c r="I712" s="1003"/>
      <c r="J712" s="1003"/>
      <c r="K712" s="1003"/>
      <c r="L712" s="1003"/>
      <c r="M712" s="1003"/>
      <c r="N712" s="1003"/>
      <c r="O712" s="1003"/>
      <c r="P712" s="1003"/>
      <c r="Q712" s="1003"/>
    </row>
    <row r="713" spans="3:17" ht="15.75" customHeight="1">
      <c r="C713" s="1003"/>
      <c r="D713" s="1003"/>
      <c r="E713" s="1003"/>
      <c r="F713" s="1003"/>
      <c r="G713" s="1003"/>
      <c r="H713" s="1003"/>
      <c r="I713" s="1003"/>
      <c r="J713" s="1003"/>
      <c r="K713" s="1003"/>
      <c r="L713" s="1003"/>
      <c r="M713" s="1003"/>
      <c r="N713" s="1003"/>
      <c r="O713" s="1003"/>
      <c r="P713" s="1003"/>
      <c r="Q713" s="1003"/>
    </row>
    <row r="714" spans="3:17" ht="15.75" customHeight="1">
      <c r="C714" s="1003"/>
      <c r="D714" s="1003"/>
      <c r="E714" s="1003"/>
      <c r="F714" s="1003"/>
      <c r="G714" s="1003"/>
      <c r="H714" s="1003"/>
      <c r="I714" s="1003"/>
      <c r="J714" s="1003"/>
      <c r="K714" s="1003"/>
      <c r="L714" s="1003"/>
      <c r="M714" s="1003"/>
      <c r="N714" s="1003"/>
      <c r="O714" s="1003"/>
      <c r="P714" s="1003"/>
      <c r="Q714" s="1003"/>
    </row>
    <row r="715" spans="3:17" ht="15.75" customHeight="1">
      <c r="C715" s="1003"/>
      <c r="D715" s="1003"/>
      <c r="E715" s="1003"/>
      <c r="F715" s="1003"/>
      <c r="G715" s="1003"/>
      <c r="H715" s="1003"/>
      <c r="I715" s="1003"/>
      <c r="J715" s="1003"/>
      <c r="K715" s="1003"/>
      <c r="L715" s="1003"/>
      <c r="M715" s="1003"/>
      <c r="N715" s="1003"/>
      <c r="O715" s="1003"/>
      <c r="P715" s="1003"/>
      <c r="Q715" s="1003"/>
    </row>
    <row r="716" spans="3:17" ht="15.75" customHeight="1">
      <c r="C716" s="1003"/>
      <c r="D716" s="1003"/>
      <c r="E716" s="1003"/>
      <c r="F716" s="1003"/>
      <c r="G716" s="1003"/>
      <c r="H716" s="1003"/>
      <c r="I716" s="1003"/>
      <c r="J716" s="1003"/>
      <c r="K716" s="1003"/>
      <c r="L716" s="1003"/>
      <c r="M716" s="1003"/>
      <c r="N716" s="1003"/>
      <c r="O716" s="1003"/>
      <c r="P716" s="1003"/>
      <c r="Q716" s="1003"/>
    </row>
    <row r="717" spans="3:17" ht="15.75" customHeight="1">
      <c r="C717" s="1003"/>
      <c r="D717" s="1003"/>
      <c r="E717" s="1003"/>
      <c r="F717" s="1003"/>
      <c r="G717" s="1003"/>
      <c r="H717" s="1003"/>
      <c r="I717" s="1003"/>
      <c r="J717" s="1003"/>
      <c r="K717" s="1003"/>
      <c r="L717" s="1003"/>
      <c r="M717" s="1003"/>
      <c r="N717" s="1003"/>
      <c r="O717" s="1003"/>
      <c r="P717" s="1003"/>
      <c r="Q717" s="1003"/>
    </row>
    <row r="718" spans="3:17" ht="15.75" customHeight="1">
      <c r="C718" s="1003"/>
      <c r="D718" s="1003"/>
      <c r="E718" s="1003"/>
      <c r="F718" s="1003"/>
      <c r="G718" s="1003"/>
      <c r="H718" s="1003"/>
      <c r="I718" s="1003"/>
      <c r="J718" s="1003"/>
      <c r="K718" s="1003"/>
      <c r="L718" s="1003"/>
      <c r="M718" s="1003"/>
      <c r="N718" s="1003"/>
      <c r="O718" s="1003"/>
      <c r="P718" s="1003"/>
      <c r="Q718" s="1003"/>
    </row>
    <row r="719" spans="3:17" ht="15.75" customHeight="1">
      <c r="C719" s="1003"/>
      <c r="D719" s="1003"/>
      <c r="E719" s="1003"/>
      <c r="F719" s="1003"/>
      <c r="G719" s="1003"/>
      <c r="H719" s="1003"/>
      <c r="I719" s="1003"/>
      <c r="J719" s="1003"/>
      <c r="K719" s="1003"/>
      <c r="L719" s="1003"/>
      <c r="M719" s="1003"/>
      <c r="N719" s="1003"/>
      <c r="O719" s="1003"/>
      <c r="P719" s="1003"/>
      <c r="Q719" s="1003"/>
    </row>
    <row r="720" spans="3:17" ht="15.75" customHeight="1">
      <c r="C720" s="1003"/>
      <c r="D720" s="1003"/>
      <c r="E720" s="1003"/>
      <c r="F720" s="1003"/>
      <c r="G720" s="1003"/>
      <c r="H720" s="1003"/>
      <c r="I720" s="1003"/>
      <c r="J720" s="1003"/>
      <c r="K720" s="1003"/>
      <c r="L720" s="1003"/>
      <c r="M720" s="1003"/>
      <c r="N720" s="1003"/>
      <c r="O720" s="1003"/>
      <c r="P720" s="1003"/>
      <c r="Q720" s="1003"/>
    </row>
    <row r="721" spans="3:17" ht="15.75" customHeight="1">
      <c r="C721" s="1003"/>
      <c r="D721" s="1003"/>
      <c r="E721" s="1003"/>
      <c r="F721" s="1003"/>
      <c r="G721" s="1003"/>
      <c r="H721" s="1003"/>
      <c r="I721" s="1003"/>
      <c r="J721" s="1003"/>
      <c r="K721" s="1003"/>
      <c r="L721" s="1003"/>
      <c r="M721" s="1003"/>
      <c r="N721" s="1003"/>
      <c r="O721" s="1003"/>
      <c r="P721" s="1003"/>
      <c r="Q721" s="1003"/>
    </row>
    <row r="722" spans="3:17" ht="15.75" customHeight="1">
      <c r="C722" s="1003"/>
      <c r="D722" s="1003"/>
      <c r="E722" s="1003"/>
      <c r="F722" s="1003"/>
      <c r="G722" s="1003"/>
      <c r="H722" s="1003"/>
      <c r="I722" s="1003"/>
      <c r="J722" s="1003"/>
      <c r="K722" s="1003"/>
      <c r="L722" s="1003"/>
      <c r="M722" s="1003"/>
      <c r="N722" s="1003"/>
      <c r="O722" s="1003"/>
      <c r="P722" s="1003"/>
      <c r="Q722" s="1003"/>
    </row>
    <row r="723" spans="3:17" ht="15.75" customHeight="1">
      <c r="C723" s="1003"/>
      <c r="D723" s="1003"/>
      <c r="E723" s="1003"/>
      <c r="F723" s="1003"/>
      <c r="G723" s="1003"/>
      <c r="H723" s="1003"/>
      <c r="I723" s="1003"/>
      <c r="J723" s="1003"/>
      <c r="K723" s="1003"/>
      <c r="L723" s="1003"/>
      <c r="M723" s="1003"/>
      <c r="N723" s="1003"/>
      <c r="O723" s="1003"/>
      <c r="P723" s="1003"/>
      <c r="Q723" s="1003"/>
    </row>
    <row r="724" spans="3:17" ht="15.75" customHeight="1">
      <c r="C724" s="1003"/>
      <c r="D724" s="1003"/>
      <c r="E724" s="1003"/>
      <c r="F724" s="1003"/>
      <c r="G724" s="1003"/>
      <c r="H724" s="1003"/>
      <c r="I724" s="1003"/>
      <c r="J724" s="1003"/>
      <c r="K724" s="1003"/>
      <c r="L724" s="1003"/>
      <c r="M724" s="1003"/>
      <c r="N724" s="1003"/>
      <c r="O724" s="1003"/>
      <c r="P724" s="1003"/>
      <c r="Q724" s="1003"/>
    </row>
    <row r="725" spans="3:17" ht="15.75" customHeight="1">
      <c r="C725" s="1003"/>
      <c r="D725" s="1003"/>
      <c r="E725" s="1003"/>
      <c r="F725" s="1003"/>
      <c r="G725" s="1003"/>
      <c r="H725" s="1003"/>
      <c r="I725" s="1003"/>
      <c r="J725" s="1003"/>
      <c r="K725" s="1003"/>
      <c r="L725" s="1003"/>
      <c r="M725" s="1003"/>
      <c r="N725" s="1003"/>
      <c r="O725" s="1003"/>
      <c r="P725" s="1003"/>
      <c r="Q725" s="1003"/>
    </row>
    <row r="726" spans="3:17" ht="15.75" customHeight="1">
      <c r="C726" s="1003"/>
      <c r="D726" s="1003"/>
      <c r="E726" s="1003"/>
      <c r="F726" s="1003"/>
      <c r="G726" s="1003"/>
      <c r="H726" s="1003"/>
      <c r="I726" s="1003"/>
      <c r="J726" s="1003"/>
      <c r="K726" s="1003"/>
      <c r="L726" s="1003"/>
      <c r="M726" s="1003"/>
      <c r="N726" s="1003"/>
      <c r="O726" s="1003"/>
      <c r="P726" s="1003"/>
      <c r="Q726" s="1003"/>
    </row>
    <row r="727" spans="3:17" ht="15.75" customHeight="1">
      <c r="C727" s="1003"/>
      <c r="D727" s="1003"/>
      <c r="E727" s="1003"/>
      <c r="F727" s="1003"/>
      <c r="G727" s="1003"/>
      <c r="H727" s="1003"/>
      <c r="I727" s="1003"/>
      <c r="J727" s="1003"/>
      <c r="K727" s="1003"/>
      <c r="L727" s="1003"/>
      <c r="M727" s="1003"/>
      <c r="N727" s="1003"/>
      <c r="O727" s="1003"/>
      <c r="P727" s="1003"/>
      <c r="Q727" s="1003"/>
    </row>
    <row r="728" spans="3:17" ht="15.75" customHeight="1">
      <c r="C728" s="1003"/>
      <c r="D728" s="1003"/>
      <c r="E728" s="1003"/>
      <c r="F728" s="1003"/>
      <c r="G728" s="1003"/>
      <c r="H728" s="1003"/>
      <c r="I728" s="1003"/>
      <c r="J728" s="1003"/>
      <c r="K728" s="1003"/>
      <c r="L728" s="1003"/>
      <c r="M728" s="1003"/>
      <c r="N728" s="1003"/>
      <c r="O728" s="1003"/>
      <c r="P728" s="1003"/>
      <c r="Q728" s="1003"/>
    </row>
    <row r="729" spans="3:17" ht="15.75" customHeight="1">
      <c r="C729" s="1003"/>
      <c r="D729" s="1003"/>
      <c r="E729" s="1003"/>
      <c r="F729" s="1003"/>
      <c r="G729" s="1003"/>
      <c r="H729" s="1003"/>
      <c r="I729" s="1003"/>
      <c r="J729" s="1003"/>
      <c r="K729" s="1003"/>
      <c r="L729" s="1003"/>
      <c r="M729" s="1003"/>
      <c r="N729" s="1003"/>
      <c r="O729" s="1003"/>
      <c r="P729" s="1003"/>
      <c r="Q729" s="1003"/>
    </row>
    <row r="730" spans="3:17" ht="15.75" customHeight="1">
      <c r="C730" s="1003"/>
      <c r="D730" s="1003"/>
      <c r="E730" s="1003"/>
      <c r="F730" s="1003"/>
      <c r="G730" s="1003"/>
      <c r="H730" s="1003"/>
      <c r="I730" s="1003"/>
      <c r="J730" s="1003"/>
      <c r="K730" s="1003"/>
      <c r="L730" s="1003"/>
      <c r="M730" s="1003"/>
      <c r="N730" s="1003"/>
      <c r="O730" s="1003"/>
      <c r="P730" s="1003"/>
      <c r="Q730" s="1003"/>
    </row>
    <row r="731" spans="3:17" ht="15.75" customHeight="1">
      <c r="C731" s="1003"/>
      <c r="D731" s="1003"/>
      <c r="E731" s="1003"/>
      <c r="F731" s="1003"/>
      <c r="G731" s="1003"/>
      <c r="H731" s="1003"/>
      <c r="I731" s="1003"/>
      <c r="J731" s="1003"/>
      <c r="K731" s="1003"/>
      <c r="L731" s="1003"/>
      <c r="M731" s="1003"/>
      <c r="N731" s="1003"/>
      <c r="O731" s="1003"/>
      <c r="P731" s="1003"/>
      <c r="Q731" s="1003"/>
    </row>
    <row r="732" spans="3:17" ht="15.75" customHeight="1">
      <c r="C732" s="1003"/>
      <c r="D732" s="1003"/>
      <c r="E732" s="1003"/>
      <c r="F732" s="1003"/>
      <c r="G732" s="1003"/>
      <c r="H732" s="1003"/>
      <c r="I732" s="1003"/>
      <c r="J732" s="1003"/>
      <c r="K732" s="1003"/>
      <c r="L732" s="1003"/>
      <c r="M732" s="1003"/>
      <c r="N732" s="1003"/>
      <c r="O732" s="1003"/>
      <c r="P732" s="1003"/>
      <c r="Q732" s="1003"/>
    </row>
    <row r="733" spans="3:17" ht="15.75" customHeight="1">
      <c r="C733" s="1003"/>
      <c r="D733" s="1003"/>
      <c r="E733" s="1003"/>
      <c r="F733" s="1003"/>
      <c r="G733" s="1003"/>
      <c r="H733" s="1003"/>
      <c r="I733" s="1003"/>
      <c r="J733" s="1003"/>
      <c r="K733" s="1003"/>
      <c r="L733" s="1003"/>
      <c r="M733" s="1003"/>
      <c r="N733" s="1003"/>
      <c r="O733" s="1003"/>
      <c r="P733" s="1003"/>
      <c r="Q733" s="1003"/>
    </row>
    <row r="734" spans="3:17" ht="15.75" customHeight="1">
      <c r="C734" s="1003"/>
      <c r="D734" s="1003"/>
      <c r="E734" s="1003"/>
      <c r="F734" s="1003"/>
      <c r="G734" s="1003"/>
      <c r="H734" s="1003"/>
      <c r="I734" s="1003"/>
      <c r="J734" s="1003"/>
      <c r="K734" s="1003"/>
      <c r="L734" s="1003"/>
      <c r="M734" s="1003"/>
      <c r="N734" s="1003"/>
      <c r="O734" s="1003"/>
      <c r="P734" s="1003"/>
      <c r="Q734" s="1003"/>
    </row>
    <row r="735" spans="3:17" ht="15.75" customHeight="1">
      <c r="C735" s="1003"/>
      <c r="D735" s="1003"/>
      <c r="E735" s="1003"/>
      <c r="F735" s="1003"/>
      <c r="G735" s="1003"/>
      <c r="H735" s="1003"/>
      <c r="I735" s="1003"/>
      <c r="J735" s="1003"/>
      <c r="K735" s="1003"/>
      <c r="L735" s="1003"/>
      <c r="M735" s="1003"/>
      <c r="N735" s="1003"/>
      <c r="O735" s="1003"/>
      <c r="P735" s="1003"/>
      <c r="Q735" s="1003"/>
    </row>
    <row r="736" spans="3:17" ht="15.75" customHeight="1">
      <c r="C736" s="1003"/>
      <c r="D736" s="1003"/>
      <c r="E736" s="1003"/>
      <c r="F736" s="1003"/>
      <c r="G736" s="1003"/>
      <c r="H736" s="1003"/>
      <c r="I736" s="1003"/>
      <c r="J736" s="1003"/>
      <c r="K736" s="1003"/>
      <c r="L736" s="1003"/>
      <c r="M736" s="1003"/>
      <c r="N736" s="1003"/>
      <c r="O736" s="1003"/>
      <c r="P736" s="1003"/>
      <c r="Q736" s="1003"/>
    </row>
    <row r="737" spans="3:17" ht="15.75" customHeight="1">
      <c r="C737" s="1003"/>
      <c r="D737" s="1003"/>
      <c r="E737" s="1003"/>
      <c r="F737" s="1003"/>
      <c r="G737" s="1003"/>
      <c r="H737" s="1003"/>
      <c r="I737" s="1003"/>
      <c r="J737" s="1003"/>
      <c r="K737" s="1003"/>
      <c r="L737" s="1003"/>
      <c r="M737" s="1003"/>
      <c r="N737" s="1003"/>
      <c r="O737" s="1003"/>
      <c r="P737" s="1003"/>
      <c r="Q737" s="1003"/>
    </row>
    <row r="738" spans="3:17" ht="15.75" customHeight="1">
      <c r="C738" s="1003"/>
      <c r="D738" s="1003"/>
      <c r="E738" s="1003"/>
      <c r="F738" s="1003"/>
      <c r="G738" s="1003"/>
      <c r="H738" s="1003"/>
      <c r="I738" s="1003"/>
      <c r="J738" s="1003"/>
      <c r="K738" s="1003"/>
      <c r="L738" s="1003"/>
      <c r="M738" s="1003"/>
      <c r="N738" s="1003"/>
      <c r="O738" s="1003"/>
      <c r="P738" s="1003"/>
      <c r="Q738" s="1003"/>
    </row>
    <row r="739" spans="3:17" ht="15.75" customHeight="1">
      <c r="C739" s="1003"/>
      <c r="D739" s="1003"/>
      <c r="E739" s="1003"/>
      <c r="F739" s="1003"/>
      <c r="G739" s="1003"/>
      <c r="H739" s="1003"/>
      <c r="I739" s="1003"/>
      <c r="J739" s="1003"/>
      <c r="K739" s="1003"/>
      <c r="L739" s="1003"/>
      <c r="M739" s="1003"/>
      <c r="N739" s="1003"/>
      <c r="O739" s="1003"/>
      <c r="P739" s="1003"/>
      <c r="Q739" s="1003"/>
    </row>
    <row r="740" spans="3:17" ht="15.75" customHeight="1">
      <c r="C740" s="1003"/>
      <c r="D740" s="1003"/>
      <c r="E740" s="1003"/>
      <c r="F740" s="1003"/>
      <c r="G740" s="1003"/>
      <c r="H740" s="1003"/>
      <c r="I740" s="1003"/>
      <c r="J740" s="1003"/>
      <c r="K740" s="1003"/>
      <c r="L740" s="1003"/>
      <c r="M740" s="1003"/>
      <c r="N740" s="1003"/>
      <c r="O740" s="1003"/>
      <c r="P740" s="1003"/>
      <c r="Q740" s="1003"/>
    </row>
    <row r="741" spans="3:17" ht="15.75" customHeight="1">
      <c r="C741" s="1003"/>
      <c r="D741" s="1003"/>
      <c r="E741" s="1003"/>
      <c r="F741" s="1003"/>
      <c r="G741" s="1003"/>
      <c r="H741" s="1003"/>
      <c r="I741" s="1003"/>
      <c r="J741" s="1003"/>
      <c r="K741" s="1003"/>
      <c r="L741" s="1003"/>
      <c r="M741" s="1003"/>
      <c r="N741" s="1003"/>
      <c r="O741" s="1003"/>
      <c r="P741" s="1003"/>
      <c r="Q741" s="1003"/>
    </row>
    <row r="742" spans="3:17" ht="15.75" customHeight="1">
      <c r="C742" s="1003"/>
      <c r="D742" s="1003"/>
      <c r="E742" s="1003"/>
      <c r="F742" s="1003"/>
      <c r="G742" s="1003"/>
      <c r="H742" s="1003"/>
      <c r="I742" s="1003"/>
      <c r="J742" s="1003"/>
      <c r="K742" s="1003"/>
      <c r="L742" s="1003"/>
      <c r="M742" s="1003"/>
      <c r="N742" s="1003"/>
      <c r="O742" s="1003"/>
      <c r="P742" s="1003"/>
      <c r="Q742" s="1003"/>
    </row>
    <row r="743" spans="3:17" ht="15.75" customHeight="1">
      <c r="C743" s="1003"/>
      <c r="D743" s="1003"/>
      <c r="E743" s="1003"/>
      <c r="F743" s="1003"/>
      <c r="G743" s="1003"/>
      <c r="H743" s="1003"/>
      <c r="I743" s="1003"/>
      <c r="J743" s="1003"/>
      <c r="K743" s="1003"/>
      <c r="L743" s="1003"/>
      <c r="M743" s="1003"/>
      <c r="N743" s="1003"/>
      <c r="O743" s="1003"/>
      <c r="P743" s="1003"/>
      <c r="Q743" s="1003"/>
    </row>
    <row r="744" spans="3:17" ht="15.75" customHeight="1">
      <c r="C744" s="1003"/>
      <c r="D744" s="1003"/>
      <c r="E744" s="1003"/>
      <c r="F744" s="1003"/>
      <c r="G744" s="1003"/>
      <c r="H744" s="1003"/>
      <c r="I744" s="1003"/>
      <c r="J744" s="1003"/>
      <c r="K744" s="1003"/>
      <c r="L744" s="1003"/>
      <c r="M744" s="1003"/>
      <c r="N744" s="1003"/>
      <c r="O744" s="1003"/>
      <c r="P744" s="1003"/>
      <c r="Q744" s="1003"/>
    </row>
    <row r="745" spans="3:17" ht="15.75" customHeight="1">
      <c r="C745" s="1003"/>
      <c r="D745" s="1003"/>
      <c r="E745" s="1003"/>
      <c r="F745" s="1003"/>
      <c r="G745" s="1003"/>
      <c r="H745" s="1003"/>
      <c r="I745" s="1003"/>
      <c r="J745" s="1003"/>
      <c r="K745" s="1003"/>
      <c r="L745" s="1003"/>
      <c r="M745" s="1003"/>
      <c r="N745" s="1003"/>
      <c r="O745" s="1003"/>
      <c r="P745" s="1003"/>
      <c r="Q745" s="1003"/>
    </row>
    <row r="746" spans="3:17" ht="15.75" customHeight="1">
      <c r="C746" s="1003"/>
      <c r="D746" s="1003"/>
      <c r="E746" s="1003"/>
      <c r="F746" s="1003"/>
      <c r="G746" s="1003"/>
      <c r="H746" s="1003"/>
      <c r="I746" s="1003"/>
      <c r="J746" s="1003"/>
      <c r="K746" s="1003"/>
      <c r="L746" s="1003"/>
      <c r="M746" s="1003"/>
      <c r="N746" s="1003"/>
      <c r="O746" s="1003"/>
      <c r="P746" s="1003"/>
      <c r="Q746" s="1003"/>
    </row>
    <row r="747" spans="3:17" ht="15.75" customHeight="1">
      <c r="C747" s="1003"/>
      <c r="D747" s="1003"/>
      <c r="E747" s="1003"/>
      <c r="F747" s="1003"/>
      <c r="G747" s="1003"/>
      <c r="H747" s="1003"/>
      <c r="I747" s="1003"/>
      <c r="J747" s="1003"/>
      <c r="K747" s="1003"/>
      <c r="L747" s="1003"/>
      <c r="M747" s="1003"/>
      <c r="N747" s="1003"/>
      <c r="O747" s="1003"/>
      <c r="P747" s="1003"/>
      <c r="Q747" s="1003"/>
    </row>
    <row r="748" spans="3:17" ht="15.75" customHeight="1">
      <c r="C748" s="1003"/>
      <c r="D748" s="1003"/>
      <c r="E748" s="1003"/>
      <c r="F748" s="1003"/>
      <c r="G748" s="1003"/>
      <c r="H748" s="1003"/>
      <c r="I748" s="1003"/>
      <c r="J748" s="1003"/>
      <c r="K748" s="1003"/>
      <c r="L748" s="1003"/>
      <c r="M748" s="1003"/>
      <c r="N748" s="1003"/>
      <c r="O748" s="1003"/>
      <c r="P748" s="1003"/>
      <c r="Q748" s="1003"/>
    </row>
    <row r="749" spans="3:17" ht="15.75" customHeight="1">
      <c r="C749" s="1003"/>
      <c r="D749" s="1003"/>
      <c r="E749" s="1003"/>
      <c r="F749" s="1003"/>
      <c r="G749" s="1003"/>
      <c r="H749" s="1003"/>
      <c r="I749" s="1003"/>
      <c r="J749" s="1003"/>
      <c r="K749" s="1003"/>
      <c r="L749" s="1003"/>
      <c r="M749" s="1003"/>
      <c r="N749" s="1003"/>
      <c r="O749" s="1003"/>
      <c r="P749" s="1003"/>
      <c r="Q749" s="1003"/>
    </row>
    <row r="750" spans="3:17" ht="15.75" customHeight="1">
      <c r="C750" s="1003"/>
      <c r="D750" s="1003"/>
      <c r="E750" s="1003"/>
      <c r="F750" s="1003"/>
      <c r="G750" s="1003"/>
      <c r="H750" s="1003"/>
      <c r="I750" s="1003"/>
      <c r="J750" s="1003"/>
      <c r="K750" s="1003"/>
      <c r="L750" s="1003"/>
      <c r="M750" s="1003"/>
      <c r="N750" s="1003"/>
      <c r="O750" s="1003"/>
      <c r="P750" s="1003"/>
      <c r="Q750" s="1003"/>
    </row>
    <row r="751" spans="3:17" ht="15.75" customHeight="1">
      <c r="C751" s="1003"/>
      <c r="D751" s="1003"/>
      <c r="E751" s="1003"/>
      <c r="F751" s="1003"/>
      <c r="G751" s="1003"/>
      <c r="H751" s="1003"/>
      <c r="I751" s="1003"/>
      <c r="J751" s="1003"/>
      <c r="K751" s="1003"/>
      <c r="L751" s="1003"/>
      <c r="M751" s="1003"/>
      <c r="N751" s="1003"/>
      <c r="O751" s="1003"/>
      <c r="P751" s="1003"/>
      <c r="Q751" s="1003"/>
    </row>
    <row r="752" spans="3:17" ht="15.75" customHeight="1">
      <c r="C752" s="1003"/>
      <c r="D752" s="1003"/>
      <c r="E752" s="1003"/>
      <c r="F752" s="1003"/>
      <c r="G752" s="1003"/>
      <c r="H752" s="1003"/>
      <c r="I752" s="1003"/>
      <c r="J752" s="1003"/>
      <c r="K752" s="1003"/>
      <c r="L752" s="1003"/>
      <c r="M752" s="1003"/>
      <c r="N752" s="1003"/>
      <c r="O752" s="1003"/>
      <c r="P752" s="1003"/>
      <c r="Q752" s="1003"/>
    </row>
    <row r="753" spans="3:17" ht="15.75" customHeight="1">
      <c r="C753" s="1003"/>
      <c r="D753" s="1003"/>
      <c r="E753" s="1003"/>
      <c r="F753" s="1003"/>
      <c r="G753" s="1003"/>
      <c r="H753" s="1003"/>
      <c r="I753" s="1003"/>
      <c r="J753" s="1003"/>
      <c r="K753" s="1003"/>
      <c r="L753" s="1003"/>
      <c r="M753" s="1003"/>
      <c r="N753" s="1003"/>
      <c r="O753" s="1003"/>
      <c r="P753" s="1003"/>
      <c r="Q753" s="1003"/>
    </row>
    <row r="754" spans="3:17" ht="15.75" customHeight="1">
      <c r="C754" s="1003"/>
      <c r="D754" s="1003"/>
      <c r="E754" s="1003"/>
      <c r="F754" s="1003"/>
      <c r="G754" s="1003"/>
      <c r="H754" s="1003"/>
      <c r="I754" s="1003"/>
      <c r="J754" s="1003"/>
      <c r="K754" s="1003"/>
      <c r="L754" s="1003"/>
      <c r="M754" s="1003"/>
      <c r="N754" s="1003"/>
      <c r="O754" s="1003"/>
      <c r="P754" s="1003"/>
      <c r="Q754" s="1003"/>
    </row>
    <row r="755" spans="3:17" ht="15.75" customHeight="1">
      <c r="C755" s="1003"/>
      <c r="D755" s="1003"/>
      <c r="E755" s="1003"/>
      <c r="F755" s="1003"/>
      <c r="G755" s="1003"/>
      <c r="H755" s="1003"/>
      <c r="I755" s="1003"/>
      <c r="J755" s="1003"/>
      <c r="K755" s="1003"/>
      <c r="L755" s="1003"/>
      <c r="M755" s="1003"/>
      <c r="N755" s="1003"/>
      <c r="O755" s="1003"/>
      <c r="P755" s="1003"/>
      <c r="Q755" s="1003"/>
    </row>
    <row r="756" spans="3:17" ht="15.75" customHeight="1">
      <c r="C756" s="1003"/>
      <c r="D756" s="1003"/>
      <c r="E756" s="1003"/>
      <c r="F756" s="1003"/>
      <c r="G756" s="1003"/>
      <c r="H756" s="1003"/>
      <c r="I756" s="1003"/>
      <c r="J756" s="1003"/>
      <c r="K756" s="1003"/>
      <c r="L756" s="1003"/>
      <c r="M756" s="1003"/>
      <c r="N756" s="1003"/>
      <c r="O756" s="1003"/>
      <c r="P756" s="1003"/>
      <c r="Q756" s="1003"/>
    </row>
    <row r="757" spans="3:17" ht="15.75" customHeight="1">
      <c r="C757" s="1003"/>
      <c r="D757" s="1003"/>
      <c r="E757" s="1003"/>
      <c r="F757" s="1003"/>
      <c r="G757" s="1003"/>
      <c r="H757" s="1003"/>
      <c r="I757" s="1003"/>
      <c r="J757" s="1003"/>
      <c r="K757" s="1003"/>
      <c r="L757" s="1003"/>
      <c r="M757" s="1003"/>
      <c r="N757" s="1003"/>
      <c r="O757" s="1003"/>
      <c r="P757" s="1003"/>
      <c r="Q757" s="1003"/>
    </row>
    <row r="758" spans="3:17" ht="15.75" customHeight="1">
      <c r="C758" s="1003"/>
      <c r="D758" s="1003"/>
      <c r="E758" s="1003"/>
      <c r="F758" s="1003"/>
      <c r="G758" s="1003"/>
      <c r="H758" s="1003"/>
      <c r="I758" s="1003"/>
      <c r="J758" s="1003"/>
      <c r="K758" s="1003"/>
      <c r="L758" s="1003"/>
      <c r="M758" s="1003"/>
      <c r="N758" s="1003"/>
      <c r="O758" s="1003"/>
      <c r="P758" s="1003"/>
      <c r="Q758" s="1003"/>
    </row>
    <row r="759" spans="3:17" ht="15.75" customHeight="1">
      <c r="C759" s="1003"/>
      <c r="D759" s="1003"/>
      <c r="E759" s="1003"/>
      <c r="F759" s="1003"/>
      <c r="G759" s="1003"/>
      <c r="H759" s="1003"/>
      <c r="I759" s="1003"/>
      <c r="J759" s="1003"/>
      <c r="K759" s="1003"/>
      <c r="L759" s="1003"/>
      <c r="M759" s="1003"/>
      <c r="N759" s="1003"/>
      <c r="O759" s="1003"/>
      <c r="P759" s="1003"/>
      <c r="Q759" s="1003"/>
    </row>
    <row r="760" spans="3:17" ht="15.75" customHeight="1">
      <c r="C760" s="1003"/>
      <c r="D760" s="1003"/>
      <c r="E760" s="1003"/>
      <c r="F760" s="1003"/>
      <c r="G760" s="1003"/>
      <c r="H760" s="1003"/>
      <c r="I760" s="1003"/>
      <c r="J760" s="1003"/>
      <c r="K760" s="1003"/>
      <c r="L760" s="1003"/>
      <c r="M760" s="1003"/>
      <c r="N760" s="1003"/>
      <c r="O760" s="1003"/>
      <c r="P760" s="1003"/>
      <c r="Q760" s="1003"/>
    </row>
    <row r="761" spans="3:17" ht="15.75" customHeight="1">
      <c r="C761" s="1003"/>
      <c r="D761" s="1003"/>
      <c r="E761" s="1003"/>
      <c r="F761" s="1003"/>
      <c r="G761" s="1003"/>
      <c r="H761" s="1003"/>
      <c r="I761" s="1003"/>
      <c r="J761" s="1003"/>
      <c r="K761" s="1003"/>
      <c r="L761" s="1003"/>
      <c r="M761" s="1003"/>
      <c r="N761" s="1003"/>
      <c r="O761" s="1003"/>
      <c r="P761" s="1003"/>
      <c r="Q761" s="1003"/>
    </row>
    <row r="762" spans="3:17" ht="15.75" customHeight="1">
      <c r="C762" s="1003"/>
      <c r="D762" s="1003"/>
      <c r="E762" s="1003"/>
      <c r="F762" s="1003"/>
      <c r="G762" s="1003"/>
      <c r="H762" s="1003"/>
      <c r="I762" s="1003"/>
      <c r="J762" s="1003"/>
      <c r="K762" s="1003"/>
      <c r="L762" s="1003"/>
      <c r="M762" s="1003"/>
      <c r="N762" s="1003"/>
      <c r="O762" s="1003"/>
      <c r="P762" s="1003"/>
      <c r="Q762" s="1003"/>
    </row>
    <row r="763" spans="3:17" ht="15.75" customHeight="1">
      <c r="C763" s="1003"/>
      <c r="D763" s="1003"/>
      <c r="E763" s="1003"/>
      <c r="F763" s="1003"/>
      <c r="G763" s="1003"/>
      <c r="H763" s="1003"/>
      <c r="I763" s="1003"/>
      <c r="J763" s="1003"/>
      <c r="K763" s="1003"/>
      <c r="L763" s="1003"/>
      <c r="M763" s="1003"/>
      <c r="N763" s="1003"/>
      <c r="O763" s="1003"/>
      <c r="P763" s="1003"/>
      <c r="Q763" s="1003"/>
    </row>
    <row r="764" spans="3:17" ht="15.75" customHeight="1">
      <c r="C764" s="1003"/>
      <c r="D764" s="1003"/>
      <c r="E764" s="1003"/>
      <c r="F764" s="1003"/>
      <c r="G764" s="1003"/>
      <c r="H764" s="1003"/>
      <c r="I764" s="1003"/>
      <c r="J764" s="1003"/>
      <c r="K764" s="1003"/>
      <c r="L764" s="1003"/>
      <c r="M764" s="1003"/>
      <c r="N764" s="1003"/>
      <c r="O764" s="1003"/>
      <c r="P764" s="1003"/>
      <c r="Q764" s="1003"/>
    </row>
    <row r="765" spans="3:17" ht="15.75" customHeight="1">
      <c r="C765" s="1003"/>
      <c r="D765" s="1003"/>
      <c r="E765" s="1003"/>
      <c r="F765" s="1003"/>
      <c r="G765" s="1003"/>
      <c r="H765" s="1003"/>
      <c r="I765" s="1003"/>
      <c r="J765" s="1003"/>
      <c r="K765" s="1003"/>
      <c r="L765" s="1003"/>
      <c r="M765" s="1003"/>
      <c r="N765" s="1003"/>
      <c r="O765" s="1003"/>
      <c r="P765" s="1003"/>
      <c r="Q765" s="1003"/>
    </row>
    <row r="766" spans="3:17" ht="15.75" customHeight="1">
      <c r="C766" s="1003"/>
      <c r="D766" s="1003"/>
      <c r="E766" s="1003"/>
      <c r="F766" s="1003"/>
      <c r="G766" s="1003"/>
      <c r="H766" s="1003"/>
      <c r="I766" s="1003"/>
      <c r="J766" s="1003"/>
      <c r="K766" s="1003"/>
      <c r="L766" s="1003"/>
      <c r="M766" s="1003"/>
      <c r="N766" s="1003"/>
      <c r="O766" s="1003"/>
      <c r="P766" s="1003"/>
      <c r="Q766" s="1003"/>
    </row>
    <row r="767" spans="3:17" ht="15.75" customHeight="1">
      <c r="C767" s="1003"/>
      <c r="D767" s="1003"/>
      <c r="E767" s="1003"/>
      <c r="F767" s="1003"/>
      <c r="G767" s="1003"/>
      <c r="H767" s="1003"/>
      <c r="I767" s="1003"/>
      <c r="J767" s="1003"/>
      <c r="K767" s="1003"/>
      <c r="L767" s="1003"/>
      <c r="M767" s="1003"/>
      <c r="N767" s="1003"/>
      <c r="O767" s="1003"/>
      <c r="P767" s="1003"/>
      <c r="Q767" s="1003"/>
    </row>
    <row r="768" spans="3:17" ht="15.75" customHeight="1">
      <c r="C768" s="1003"/>
      <c r="D768" s="1003"/>
      <c r="E768" s="1003"/>
      <c r="F768" s="1003"/>
      <c r="G768" s="1003"/>
      <c r="H768" s="1003"/>
      <c r="I768" s="1003"/>
      <c r="J768" s="1003"/>
      <c r="K768" s="1003"/>
      <c r="L768" s="1003"/>
      <c r="M768" s="1003"/>
      <c r="N768" s="1003"/>
      <c r="O768" s="1003"/>
      <c r="P768" s="1003"/>
      <c r="Q768" s="1003"/>
    </row>
    <row r="769" spans="3:17" ht="15.75" customHeight="1">
      <c r="C769" s="1003"/>
      <c r="D769" s="1003"/>
      <c r="E769" s="1003"/>
      <c r="F769" s="1003"/>
      <c r="G769" s="1003"/>
      <c r="H769" s="1003"/>
      <c r="I769" s="1003"/>
      <c r="J769" s="1003"/>
      <c r="K769" s="1003"/>
      <c r="L769" s="1003"/>
      <c r="M769" s="1003"/>
      <c r="N769" s="1003"/>
      <c r="O769" s="1003"/>
      <c r="P769" s="1003"/>
      <c r="Q769" s="1003"/>
    </row>
    <row r="770" spans="3:17" ht="15.75" customHeight="1">
      <c r="C770" s="1003"/>
      <c r="D770" s="1003"/>
      <c r="E770" s="1003"/>
      <c r="F770" s="1003"/>
      <c r="G770" s="1003"/>
      <c r="H770" s="1003"/>
      <c r="I770" s="1003"/>
      <c r="J770" s="1003"/>
      <c r="K770" s="1003"/>
      <c r="L770" s="1003"/>
      <c r="M770" s="1003"/>
      <c r="N770" s="1003"/>
      <c r="O770" s="1003"/>
      <c r="P770" s="1003"/>
      <c r="Q770" s="1003"/>
    </row>
    <row r="771" spans="3:17" ht="15.75" customHeight="1">
      <c r="C771" s="1003"/>
      <c r="D771" s="1003"/>
      <c r="E771" s="1003"/>
      <c r="F771" s="1003"/>
      <c r="G771" s="1003"/>
      <c r="H771" s="1003"/>
      <c r="I771" s="1003"/>
      <c r="J771" s="1003"/>
      <c r="K771" s="1003"/>
      <c r="L771" s="1003"/>
      <c r="M771" s="1003"/>
      <c r="N771" s="1003"/>
      <c r="O771" s="1003"/>
      <c r="P771" s="1003"/>
      <c r="Q771" s="1003"/>
    </row>
    <row r="772" spans="3:17" ht="15.75" customHeight="1">
      <c r="C772" s="1003"/>
      <c r="D772" s="1003"/>
      <c r="E772" s="1003"/>
      <c r="F772" s="1003"/>
      <c r="G772" s="1003"/>
      <c r="H772" s="1003"/>
      <c r="I772" s="1003"/>
      <c r="J772" s="1003"/>
      <c r="K772" s="1003"/>
      <c r="L772" s="1003"/>
      <c r="M772" s="1003"/>
      <c r="N772" s="1003"/>
      <c r="O772" s="1003"/>
      <c r="P772" s="1003"/>
      <c r="Q772" s="1003"/>
    </row>
    <row r="773" spans="3:17" ht="15.75" customHeight="1">
      <c r="C773" s="1003"/>
      <c r="D773" s="1003"/>
      <c r="E773" s="1003"/>
      <c r="F773" s="1003"/>
      <c r="G773" s="1003"/>
      <c r="H773" s="1003"/>
      <c r="I773" s="1003"/>
      <c r="J773" s="1003"/>
      <c r="K773" s="1003"/>
      <c r="L773" s="1003"/>
      <c r="M773" s="1003"/>
      <c r="N773" s="1003"/>
      <c r="O773" s="1003"/>
      <c r="P773" s="1003"/>
      <c r="Q773" s="1003"/>
    </row>
    <row r="774" spans="3:17" ht="15.75" customHeight="1">
      <c r="C774" s="1003"/>
      <c r="D774" s="1003"/>
      <c r="E774" s="1003"/>
      <c r="F774" s="1003"/>
      <c r="G774" s="1003"/>
      <c r="H774" s="1003"/>
      <c r="I774" s="1003"/>
      <c r="J774" s="1003"/>
      <c r="K774" s="1003"/>
      <c r="L774" s="1003"/>
      <c r="M774" s="1003"/>
      <c r="N774" s="1003"/>
      <c r="O774" s="1003"/>
      <c r="P774" s="1003"/>
      <c r="Q774" s="1003"/>
    </row>
    <row r="775" spans="3:17" ht="15.75" customHeight="1">
      <c r="C775" s="1003"/>
      <c r="D775" s="1003"/>
      <c r="E775" s="1003"/>
      <c r="F775" s="1003"/>
      <c r="G775" s="1003"/>
      <c r="H775" s="1003"/>
      <c r="I775" s="1003"/>
      <c r="J775" s="1003"/>
      <c r="K775" s="1003"/>
      <c r="L775" s="1003"/>
      <c r="M775" s="1003"/>
      <c r="N775" s="1003"/>
      <c r="O775" s="1003"/>
      <c r="P775" s="1003"/>
      <c r="Q775" s="1003"/>
    </row>
    <row r="776" spans="3:17" ht="15.75" customHeight="1">
      <c r="C776" s="1003"/>
      <c r="D776" s="1003"/>
      <c r="E776" s="1003"/>
      <c r="F776" s="1003"/>
      <c r="G776" s="1003"/>
      <c r="H776" s="1003"/>
      <c r="I776" s="1003"/>
      <c r="J776" s="1003"/>
      <c r="K776" s="1003"/>
      <c r="L776" s="1003"/>
      <c r="M776" s="1003"/>
      <c r="N776" s="1003"/>
      <c r="O776" s="1003"/>
      <c r="P776" s="1003"/>
      <c r="Q776" s="1003"/>
    </row>
    <row r="777" spans="3:17" ht="15.75" customHeight="1">
      <c r="C777" s="1003"/>
      <c r="D777" s="1003"/>
      <c r="E777" s="1003"/>
      <c r="F777" s="1003"/>
      <c r="G777" s="1003"/>
      <c r="H777" s="1003"/>
      <c r="I777" s="1003"/>
      <c r="J777" s="1003"/>
      <c r="K777" s="1003"/>
      <c r="L777" s="1003"/>
      <c r="M777" s="1003"/>
      <c r="N777" s="1003"/>
      <c r="O777" s="1003"/>
      <c r="P777" s="1003"/>
      <c r="Q777" s="1003"/>
    </row>
    <row r="778" spans="3:17" ht="15.75" customHeight="1">
      <c r="C778" s="1003"/>
      <c r="D778" s="1003"/>
      <c r="E778" s="1003"/>
      <c r="F778" s="1003"/>
      <c r="G778" s="1003"/>
      <c r="H778" s="1003"/>
      <c r="I778" s="1003"/>
      <c r="J778" s="1003"/>
      <c r="K778" s="1003"/>
      <c r="L778" s="1003"/>
      <c r="M778" s="1003"/>
      <c r="N778" s="1003"/>
      <c r="O778" s="1003"/>
      <c r="P778" s="1003"/>
      <c r="Q778" s="1003"/>
    </row>
    <row r="779" spans="3:17" ht="15.75" customHeight="1">
      <c r="C779" s="1003"/>
      <c r="D779" s="1003"/>
      <c r="E779" s="1003"/>
      <c r="F779" s="1003"/>
      <c r="G779" s="1003"/>
      <c r="H779" s="1003"/>
      <c r="I779" s="1003"/>
      <c r="J779" s="1003"/>
      <c r="K779" s="1003"/>
      <c r="L779" s="1003"/>
      <c r="M779" s="1003"/>
      <c r="N779" s="1003"/>
      <c r="O779" s="1003"/>
      <c r="P779" s="1003"/>
      <c r="Q779" s="1003"/>
    </row>
    <row r="780" spans="3:17" ht="15.75" customHeight="1">
      <c r="C780" s="1003"/>
      <c r="D780" s="1003"/>
      <c r="E780" s="1003"/>
      <c r="F780" s="1003"/>
      <c r="G780" s="1003"/>
      <c r="H780" s="1003"/>
      <c r="I780" s="1003"/>
      <c r="J780" s="1003"/>
      <c r="K780" s="1003"/>
      <c r="L780" s="1003"/>
      <c r="M780" s="1003"/>
      <c r="N780" s="1003"/>
      <c r="O780" s="1003"/>
      <c r="P780" s="1003"/>
      <c r="Q780" s="1003"/>
    </row>
    <row r="781" spans="3:17" ht="15.75" customHeight="1">
      <c r="C781" s="1003"/>
      <c r="D781" s="1003"/>
      <c r="E781" s="1003"/>
      <c r="F781" s="1003"/>
      <c r="G781" s="1003"/>
      <c r="H781" s="1003"/>
      <c r="I781" s="1003"/>
      <c r="J781" s="1003"/>
      <c r="K781" s="1003"/>
      <c r="L781" s="1003"/>
      <c r="M781" s="1003"/>
      <c r="N781" s="1003"/>
      <c r="O781" s="1003"/>
      <c r="P781" s="1003"/>
      <c r="Q781" s="1003"/>
    </row>
    <row r="782" spans="3:17" ht="15.75" customHeight="1">
      <c r="C782" s="1003"/>
      <c r="D782" s="1003"/>
      <c r="E782" s="1003"/>
      <c r="F782" s="1003"/>
      <c r="G782" s="1003"/>
      <c r="H782" s="1003"/>
      <c r="I782" s="1003"/>
      <c r="J782" s="1003"/>
      <c r="K782" s="1003"/>
      <c r="L782" s="1003"/>
      <c r="M782" s="1003"/>
      <c r="N782" s="1003"/>
      <c r="O782" s="1003"/>
      <c r="P782" s="1003"/>
      <c r="Q782" s="1003"/>
    </row>
    <row r="783" spans="3:17" ht="15.75" customHeight="1">
      <c r="C783" s="1003"/>
      <c r="D783" s="1003"/>
      <c r="E783" s="1003"/>
      <c r="F783" s="1003"/>
      <c r="G783" s="1003"/>
      <c r="H783" s="1003"/>
      <c r="I783" s="1003"/>
      <c r="J783" s="1003"/>
      <c r="K783" s="1003"/>
      <c r="L783" s="1003"/>
      <c r="M783" s="1003"/>
      <c r="N783" s="1003"/>
      <c r="O783" s="1003"/>
      <c r="P783" s="1003"/>
      <c r="Q783" s="1003"/>
    </row>
    <row r="784" spans="3:17" ht="15.75" customHeight="1">
      <c r="C784" s="1003"/>
      <c r="D784" s="1003"/>
      <c r="E784" s="1003"/>
      <c r="F784" s="1003"/>
      <c r="G784" s="1003"/>
      <c r="H784" s="1003"/>
      <c r="I784" s="1003"/>
      <c r="J784" s="1003"/>
      <c r="K784" s="1003"/>
      <c r="L784" s="1003"/>
      <c r="M784" s="1003"/>
      <c r="N784" s="1003"/>
      <c r="O784" s="1003"/>
      <c r="P784" s="1003"/>
      <c r="Q784" s="1003"/>
    </row>
    <row r="785" spans="3:17" ht="15.75" customHeight="1">
      <c r="C785" s="1003"/>
      <c r="D785" s="1003"/>
      <c r="E785" s="1003"/>
      <c r="F785" s="1003"/>
      <c r="G785" s="1003"/>
      <c r="H785" s="1003"/>
      <c r="I785" s="1003"/>
      <c r="J785" s="1003"/>
      <c r="K785" s="1003"/>
      <c r="L785" s="1003"/>
      <c r="M785" s="1003"/>
      <c r="N785" s="1003"/>
      <c r="O785" s="1003"/>
      <c r="P785" s="1003"/>
      <c r="Q785" s="1003"/>
    </row>
    <row r="786" spans="3:17" ht="15.75" customHeight="1">
      <c r="C786" s="1003"/>
      <c r="D786" s="1003"/>
      <c r="E786" s="1003"/>
      <c r="F786" s="1003"/>
      <c r="G786" s="1003"/>
      <c r="H786" s="1003"/>
      <c r="I786" s="1003"/>
      <c r="J786" s="1003"/>
      <c r="K786" s="1003"/>
      <c r="L786" s="1003"/>
      <c r="M786" s="1003"/>
      <c r="N786" s="1003"/>
      <c r="O786" s="1003"/>
      <c r="P786" s="1003"/>
      <c r="Q786" s="1003"/>
    </row>
    <row r="787" spans="3:17" ht="15.75" customHeight="1">
      <c r="C787" s="1003"/>
      <c r="D787" s="1003"/>
      <c r="E787" s="1003"/>
      <c r="F787" s="1003"/>
      <c r="G787" s="1003"/>
      <c r="H787" s="1003"/>
      <c r="I787" s="1003"/>
      <c r="J787" s="1003"/>
      <c r="K787" s="1003"/>
      <c r="L787" s="1003"/>
      <c r="M787" s="1003"/>
      <c r="N787" s="1003"/>
      <c r="O787" s="1003"/>
      <c r="P787" s="1003"/>
      <c r="Q787" s="1003"/>
    </row>
    <row r="788" spans="3:17" ht="15.75" customHeight="1">
      <c r="C788" s="1003"/>
      <c r="D788" s="1003"/>
      <c r="E788" s="1003"/>
      <c r="F788" s="1003"/>
      <c r="G788" s="1003"/>
      <c r="H788" s="1003"/>
      <c r="I788" s="1003"/>
      <c r="J788" s="1003"/>
      <c r="K788" s="1003"/>
      <c r="L788" s="1003"/>
      <c r="M788" s="1003"/>
      <c r="N788" s="1003"/>
      <c r="O788" s="1003"/>
      <c r="P788" s="1003"/>
      <c r="Q788" s="1003"/>
    </row>
    <row r="789" spans="3:17" ht="15.75" customHeight="1">
      <c r="C789" s="1003"/>
      <c r="D789" s="1003"/>
      <c r="E789" s="1003"/>
      <c r="F789" s="1003"/>
      <c r="G789" s="1003"/>
      <c r="H789" s="1003"/>
      <c r="I789" s="1003"/>
      <c r="J789" s="1003"/>
      <c r="K789" s="1003"/>
      <c r="L789" s="1003"/>
      <c r="M789" s="1003"/>
      <c r="N789" s="1003"/>
      <c r="O789" s="1003"/>
      <c r="P789" s="1003"/>
      <c r="Q789" s="1003"/>
    </row>
    <row r="790" spans="3:17" ht="15.75" customHeight="1">
      <c r="C790" s="1003"/>
      <c r="D790" s="1003"/>
      <c r="E790" s="1003"/>
      <c r="F790" s="1003"/>
      <c r="G790" s="1003"/>
      <c r="H790" s="1003"/>
      <c r="I790" s="1003"/>
      <c r="J790" s="1003"/>
      <c r="K790" s="1003"/>
      <c r="L790" s="1003"/>
      <c r="M790" s="1003"/>
      <c r="N790" s="1003"/>
      <c r="O790" s="1003"/>
      <c r="P790" s="1003"/>
      <c r="Q790" s="1003"/>
    </row>
    <row r="791" spans="3:17" ht="15.75" customHeight="1">
      <c r="C791" s="1003"/>
      <c r="D791" s="1003"/>
      <c r="E791" s="1003"/>
      <c r="F791" s="1003"/>
      <c r="G791" s="1003"/>
      <c r="H791" s="1003"/>
      <c r="I791" s="1003"/>
      <c r="J791" s="1003"/>
      <c r="K791" s="1003"/>
      <c r="L791" s="1003"/>
      <c r="M791" s="1003"/>
      <c r="N791" s="1003"/>
      <c r="O791" s="1003"/>
      <c r="P791" s="1003"/>
      <c r="Q791" s="1003"/>
    </row>
    <row r="792" spans="3:17" ht="15.75" customHeight="1">
      <c r="C792" s="1003"/>
      <c r="D792" s="1003"/>
      <c r="E792" s="1003"/>
      <c r="F792" s="1003"/>
      <c r="G792" s="1003"/>
      <c r="H792" s="1003"/>
      <c r="I792" s="1003"/>
      <c r="J792" s="1003"/>
      <c r="K792" s="1003"/>
      <c r="L792" s="1003"/>
      <c r="M792" s="1003"/>
      <c r="N792" s="1003"/>
      <c r="O792" s="1003"/>
      <c r="P792" s="1003"/>
      <c r="Q792" s="1003"/>
    </row>
    <row r="793" spans="3:17" ht="15.75" customHeight="1">
      <c r="C793" s="1003"/>
      <c r="D793" s="1003"/>
      <c r="E793" s="1003"/>
      <c r="F793" s="1003"/>
      <c r="G793" s="1003"/>
      <c r="H793" s="1003"/>
      <c r="I793" s="1003"/>
      <c r="J793" s="1003"/>
      <c r="K793" s="1003"/>
      <c r="L793" s="1003"/>
      <c r="M793" s="1003"/>
      <c r="N793" s="1003"/>
      <c r="O793" s="1003"/>
      <c r="P793" s="1003"/>
      <c r="Q793" s="1003"/>
    </row>
    <row r="794" spans="3:17" ht="15.75" customHeight="1">
      <c r="C794" s="1003"/>
      <c r="D794" s="1003"/>
      <c r="E794" s="1003"/>
      <c r="F794" s="1003"/>
      <c r="G794" s="1003"/>
      <c r="H794" s="1003"/>
      <c r="I794" s="1003"/>
      <c r="J794" s="1003"/>
      <c r="K794" s="1003"/>
      <c r="L794" s="1003"/>
      <c r="M794" s="1003"/>
      <c r="N794" s="1003"/>
      <c r="O794" s="1003"/>
      <c r="P794" s="1003"/>
      <c r="Q794" s="1003"/>
    </row>
    <row r="795" spans="3:17" ht="15.75" customHeight="1">
      <c r="C795" s="1003"/>
      <c r="D795" s="1003"/>
      <c r="E795" s="1003"/>
      <c r="F795" s="1003"/>
      <c r="G795" s="1003"/>
      <c r="H795" s="1003"/>
      <c r="I795" s="1003"/>
      <c r="J795" s="1003"/>
      <c r="K795" s="1003"/>
      <c r="L795" s="1003"/>
      <c r="M795" s="1003"/>
      <c r="N795" s="1003"/>
      <c r="O795" s="1003"/>
      <c r="P795" s="1003"/>
      <c r="Q795" s="1003"/>
    </row>
    <row r="796" spans="3:17" ht="15.75" customHeight="1">
      <c r="C796" s="1003"/>
      <c r="D796" s="1003"/>
      <c r="E796" s="1003"/>
      <c r="F796" s="1003"/>
      <c r="G796" s="1003"/>
      <c r="H796" s="1003"/>
      <c r="I796" s="1003"/>
      <c r="J796" s="1003"/>
      <c r="K796" s="1003"/>
      <c r="L796" s="1003"/>
      <c r="M796" s="1003"/>
      <c r="N796" s="1003"/>
      <c r="O796" s="1003"/>
      <c r="P796" s="1003"/>
      <c r="Q796" s="1003"/>
    </row>
    <row r="797" spans="3:17" ht="15.75" customHeight="1">
      <c r="C797" s="1003"/>
      <c r="D797" s="1003"/>
      <c r="E797" s="1003"/>
      <c r="F797" s="1003"/>
      <c r="G797" s="1003"/>
      <c r="H797" s="1003"/>
      <c r="I797" s="1003"/>
      <c r="J797" s="1003"/>
      <c r="K797" s="1003"/>
      <c r="L797" s="1003"/>
      <c r="M797" s="1003"/>
      <c r="N797" s="1003"/>
      <c r="O797" s="1003"/>
      <c r="P797" s="1003"/>
      <c r="Q797" s="1003"/>
    </row>
    <row r="798" spans="3:17" ht="15.75" customHeight="1">
      <c r="C798" s="1003"/>
      <c r="D798" s="1003"/>
      <c r="E798" s="1003"/>
      <c r="F798" s="1003"/>
      <c r="G798" s="1003"/>
      <c r="H798" s="1003"/>
      <c r="I798" s="1003"/>
      <c r="J798" s="1003"/>
      <c r="K798" s="1003"/>
      <c r="L798" s="1003"/>
      <c r="M798" s="1003"/>
      <c r="N798" s="1003"/>
      <c r="O798" s="1003"/>
      <c r="P798" s="1003"/>
      <c r="Q798" s="1003"/>
    </row>
    <row r="799" spans="3:17" ht="15.75" customHeight="1">
      <c r="C799" s="1003"/>
      <c r="D799" s="1003"/>
      <c r="E799" s="1003"/>
      <c r="F799" s="1003"/>
      <c r="G799" s="1003"/>
      <c r="H799" s="1003"/>
      <c r="I799" s="1003"/>
      <c r="J799" s="1003"/>
      <c r="K799" s="1003"/>
      <c r="L799" s="1003"/>
      <c r="M799" s="1003"/>
      <c r="N799" s="1003"/>
      <c r="O799" s="1003"/>
      <c r="P799" s="1003"/>
      <c r="Q799" s="1003"/>
    </row>
    <row r="800" spans="3:17" ht="15.75" customHeight="1">
      <c r="C800" s="1003"/>
      <c r="D800" s="1003"/>
      <c r="E800" s="1003"/>
      <c r="F800" s="1003"/>
      <c r="G800" s="1003"/>
      <c r="H800" s="1003"/>
      <c r="I800" s="1003"/>
      <c r="J800" s="1003"/>
      <c r="K800" s="1003"/>
      <c r="L800" s="1003"/>
      <c r="M800" s="1003"/>
      <c r="N800" s="1003"/>
      <c r="O800" s="1003"/>
      <c r="P800" s="1003"/>
      <c r="Q800" s="1003"/>
    </row>
    <row r="801" spans="3:17" ht="15.75" customHeight="1">
      <c r="C801" s="1003"/>
      <c r="D801" s="1003"/>
      <c r="E801" s="1003"/>
      <c r="F801" s="1003"/>
      <c r="G801" s="1003"/>
      <c r="H801" s="1003"/>
      <c r="I801" s="1003"/>
      <c r="J801" s="1003"/>
      <c r="K801" s="1003"/>
      <c r="L801" s="1003"/>
      <c r="M801" s="1003"/>
      <c r="N801" s="1003"/>
      <c r="O801" s="1003"/>
      <c r="P801" s="1003"/>
      <c r="Q801" s="1003"/>
    </row>
    <row r="802" spans="3:17" ht="15.75" customHeight="1">
      <c r="C802" s="1003"/>
      <c r="D802" s="1003"/>
      <c r="E802" s="1003"/>
      <c r="F802" s="1003"/>
      <c r="G802" s="1003"/>
      <c r="H802" s="1003"/>
      <c r="I802" s="1003"/>
      <c r="J802" s="1003"/>
      <c r="K802" s="1003"/>
      <c r="L802" s="1003"/>
      <c r="M802" s="1003"/>
      <c r="N802" s="1003"/>
      <c r="O802" s="1003"/>
      <c r="P802" s="1003"/>
      <c r="Q802" s="1003"/>
    </row>
    <row r="803" spans="3:17" ht="15.75" customHeight="1">
      <c r="C803" s="1003"/>
      <c r="D803" s="1003"/>
      <c r="E803" s="1003"/>
      <c r="F803" s="1003"/>
      <c r="G803" s="1003"/>
      <c r="H803" s="1003"/>
      <c r="I803" s="1003"/>
      <c r="J803" s="1003"/>
      <c r="K803" s="1003"/>
      <c r="L803" s="1003"/>
      <c r="M803" s="1003"/>
      <c r="N803" s="1003"/>
      <c r="O803" s="1003"/>
      <c r="P803" s="1003"/>
      <c r="Q803" s="1003"/>
    </row>
    <row r="804" spans="3:17" ht="15.75" customHeight="1">
      <c r="C804" s="1003"/>
      <c r="D804" s="1003"/>
      <c r="E804" s="1003"/>
      <c r="F804" s="1003"/>
      <c r="G804" s="1003"/>
      <c r="H804" s="1003"/>
      <c r="I804" s="1003"/>
      <c r="J804" s="1003"/>
      <c r="K804" s="1003"/>
      <c r="L804" s="1003"/>
      <c r="M804" s="1003"/>
      <c r="N804" s="1003"/>
      <c r="O804" s="1003"/>
      <c r="P804" s="1003"/>
      <c r="Q804" s="1003"/>
    </row>
    <row r="805" spans="3:17" ht="15.75" customHeight="1">
      <c r="C805" s="1003"/>
      <c r="D805" s="1003"/>
      <c r="E805" s="1003"/>
      <c r="F805" s="1003"/>
      <c r="G805" s="1003"/>
      <c r="H805" s="1003"/>
      <c r="I805" s="1003"/>
      <c r="J805" s="1003"/>
      <c r="K805" s="1003"/>
      <c r="L805" s="1003"/>
      <c r="M805" s="1003"/>
      <c r="N805" s="1003"/>
      <c r="O805" s="1003"/>
      <c r="P805" s="1003"/>
      <c r="Q805" s="1003"/>
    </row>
    <row r="806" spans="3:17" ht="15.75" customHeight="1">
      <c r="C806" s="1003"/>
      <c r="D806" s="1003"/>
      <c r="E806" s="1003"/>
      <c r="F806" s="1003"/>
      <c r="G806" s="1003"/>
      <c r="H806" s="1003"/>
      <c r="I806" s="1003"/>
      <c r="J806" s="1003"/>
      <c r="K806" s="1003"/>
      <c r="L806" s="1003"/>
      <c r="M806" s="1003"/>
      <c r="N806" s="1003"/>
      <c r="O806" s="1003"/>
      <c r="P806" s="1003"/>
      <c r="Q806" s="1003"/>
    </row>
    <row r="807" spans="3:17" ht="15.75" customHeight="1">
      <c r="C807" s="1003"/>
      <c r="D807" s="1003"/>
      <c r="E807" s="1003"/>
      <c r="F807" s="1003"/>
      <c r="G807" s="1003"/>
      <c r="H807" s="1003"/>
      <c r="I807" s="1003"/>
      <c r="J807" s="1003"/>
      <c r="K807" s="1003"/>
      <c r="L807" s="1003"/>
      <c r="M807" s="1003"/>
      <c r="N807" s="1003"/>
      <c r="O807" s="1003"/>
      <c r="P807" s="1003"/>
      <c r="Q807" s="1003"/>
    </row>
    <row r="808" spans="3:17" ht="15.75" customHeight="1">
      <c r="C808" s="1003"/>
      <c r="D808" s="1003"/>
      <c r="E808" s="1003"/>
      <c r="F808" s="1003"/>
      <c r="G808" s="1003"/>
      <c r="H808" s="1003"/>
      <c r="I808" s="1003"/>
      <c r="J808" s="1003"/>
      <c r="K808" s="1003"/>
      <c r="L808" s="1003"/>
      <c r="M808" s="1003"/>
      <c r="N808" s="1003"/>
      <c r="O808" s="1003"/>
      <c r="P808" s="1003"/>
      <c r="Q808" s="1003"/>
    </row>
    <row r="809" spans="3:17" ht="15.75" customHeight="1">
      <c r="C809" s="1003"/>
      <c r="D809" s="1003"/>
      <c r="E809" s="1003"/>
      <c r="F809" s="1003"/>
      <c r="G809" s="1003"/>
      <c r="H809" s="1003"/>
      <c r="I809" s="1003"/>
      <c r="J809" s="1003"/>
      <c r="K809" s="1003"/>
      <c r="L809" s="1003"/>
      <c r="M809" s="1003"/>
      <c r="N809" s="1003"/>
      <c r="O809" s="1003"/>
      <c r="P809" s="1003"/>
      <c r="Q809" s="1003"/>
    </row>
    <row r="810" spans="3:17" ht="15.75" customHeight="1">
      <c r="C810" s="1003"/>
      <c r="D810" s="1003"/>
      <c r="E810" s="1003"/>
      <c r="F810" s="1003"/>
      <c r="G810" s="1003"/>
      <c r="H810" s="1003"/>
      <c r="I810" s="1003"/>
      <c r="J810" s="1003"/>
      <c r="K810" s="1003"/>
      <c r="L810" s="1003"/>
      <c r="M810" s="1003"/>
      <c r="N810" s="1003"/>
      <c r="O810" s="1003"/>
      <c r="P810" s="1003"/>
      <c r="Q810" s="1003"/>
    </row>
    <row r="811" spans="3:17" ht="15.75" customHeight="1">
      <c r="C811" s="1003"/>
      <c r="D811" s="1003"/>
      <c r="E811" s="1003"/>
      <c r="F811" s="1003"/>
      <c r="G811" s="1003"/>
      <c r="H811" s="1003"/>
      <c r="I811" s="1003"/>
      <c r="J811" s="1003"/>
      <c r="K811" s="1003"/>
      <c r="L811" s="1003"/>
      <c r="M811" s="1003"/>
      <c r="N811" s="1003"/>
      <c r="O811" s="1003"/>
      <c r="P811" s="1003"/>
      <c r="Q811" s="1003"/>
    </row>
    <row r="812" spans="3:17" ht="15.75" customHeight="1">
      <c r="C812" s="1003"/>
      <c r="D812" s="1003"/>
      <c r="E812" s="1003"/>
      <c r="F812" s="1003"/>
      <c r="G812" s="1003"/>
      <c r="H812" s="1003"/>
      <c r="I812" s="1003"/>
      <c r="J812" s="1003"/>
      <c r="K812" s="1003"/>
      <c r="L812" s="1003"/>
      <c r="M812" s="1003"/>
      <c r="N812" s="1003"/>
      <c r="O812" s="1003"/>
      <c r="P812" s="1003"/>
      <c r="Q812" s="1003"/>
    </row>
    <row r="813" spans="3:17" ht="15.75" customHeight="1">
      <c r="C813" s="1003"/>
      <c r="D813" s="1003"/>
      <c r="E813" s="1003"/>
      <c r="F813" s="1003"/>
      <c r="G813" s="1003"/>
      <c r="H813" s="1003"/>
      <c r="I813" s="1003"/>
      <c r="J813" s="1003"/>
      <c r="K813" s="1003"/>
      <c r="L813" s="1003"/>
      <c r="M813" s="1003"/>
      <c r="N813" s="1003"/>
      <c r="O813" s="1003"/>
      <c r="P813" s="1003"/>
      <c r="Q813" s="1003"/>
    </row>
    <row r="814" spans="3:17" ht="15.75" customHeight="1">
      <c r="C814" s="1003"/>
      <c r="D814" s="1003"/>
      <c r="E814" s="1003"/>
      <c r="F814" s="1003"/>
      <c r="G814" s="1003"/>
      <c r="H814" s="1003"/>
      <c r="I814" s="1003"/>
      <c r="J814" s="1003"/>
      <c r="K814" s="1003"/>
      <c r="L814" s="1003"/>
      <c r="M814" s="1003"/>
      <c r="N814" s="1003"/>
      <c r="O814" s="1003"/>
      <c r="P814" s="1003"/>
      <c r="Q814" s="1003"/>
    </row>
    <row r="815" spans="3:17" ht="15.75" customHeight="1">
      <c r="C815" s="1003"/>
      <c r="D815" s="1003"/>
      <c r="E815" s="1003"/>
      <c r="F815" s="1003"/>
      <c r="G815" s="1003"/>
      <c r="H815" s="1003"/>
      <c r="I815" s="1003"/>
      <c r="J815" s="1003"/>
      <c r="K815" s="1003"/>
      <c r="L815" s="1003"/>
      <c r="M815" s="1003"/>
      <c r="N815" s="1003"/>
      <c r="O815" s="1003"/>
      <c r="P815" s="1003"/>
      <c r="Q815" s="1003"/>
    </row>
    <row r="816" spans="3:17" ht="15.75" customHeight="1">
      <c r="C816" s="1003"/>
      <c r="D816" s="1003"/>
      <c r="E816" s="1003"/>
      <c r="F816" s="1003"/>
      <c r="G816" s="1003"/>
      <c r="H816" s="1003"/>
      <c r="I816" s="1003"/>
      <c r="J816" s="1003"/>
      <c r="K816" s="1003"/>
      <c r="L816" s="1003"/>
      <c r="M816" s="1003"/>
      <c r="N816" s="1003"/>
      <c r="O816" s="1003"/>
      <c r="P816" s="1003"/>
      <c r="Q816" s="1003"/>
    </row>
    <row r="817" spans="3:17" ht="15.75" customHeight="1">
      <c r="C817" s="1003"/>
      <c r="D817" s="1003"/>
      <c r="E817" s="1003"/>
      <c r="F817" s="1003"/>
      <c r="G817" s="1003"/>
      <c r="H817" s="1003"/>
      <c r="I817" s="1003"/>
      <c r="J817" s="1003"/>
      <c r="K817" s="1003"/>
      <c r="L817" s="1003"/>
      <c r="M817" s="1003"/>
      <c r="N817" s="1003"/>
      <c r="O817" s="1003"/>
      <c r="P817" s="1003"/>
      <c r="Q817" s="1003"/>
    </row>
    <row r="818" spans="3:17" ht="15.75" customHeight="1">
      <c r="C818" s="1003"/>
      <c r="D818" s="1003"/>
      <c r="E818" s="1003"/>
      <c r="F818" s="1003"/>
      <c r="G818" s="1003"/>
      <c r="H818" s="1003"/>
      <c r="I818" s="1003"/>
      <c r="J818" s="1003"/>
      <c r="K818" s="1003"/>
      <c r="L818" s="1003"/>
      <c r="M818" s="1003"/>
      <c r="N818" s="1003"/>
      <c r="O818" s="1003"/>
      <c r="P818" s="1003"/>
      <c r="Q818" s="1003"/>
    </row>
    <row r="819" spans="3:17" ht="15.75" customHeight="1">
      <c r="C819" s="1003"/>
      <c r="D819" s="1003"/>
      <c r="E819" s="1003"/>
      <c r="F819" s="1003"/>
      <c r="G819" s="1003"/>
      <c r="H819" s="1003"/>
      <c r="I819" s="1003"/>
      <c r="J819" s="1003"/>
      <c r="K819" s="1003"/>
      <c r="L819" s="1003"/>
      <c r="M819" s="1003"/>
      <c r="N819" s="1003"/>
      <c r="O819" s="1003"/>
      <c r="P819" s="1003"/>
      <c r="Q819" s="1003"/>
    </row>
    <row r="820" spans="3:17" ht="15.75" customHeight="1">
      <c r="C820" s="1003"/>
      <c r="D820" s="1003"/>
      <c r="E820" s="1003"/>
      <c r="F820" s="1003"/>
      <c r="G820" s="1003"/>
      <c r="H820" s="1003"/>
      <c r="I820" s="1003"/>
      <c r="J820" s="1003"/>
      <c r="K820" s="1003"/>
      <c r="L820" s="1003"/>
      <c r="M820" s="1003"/>
      <c r="N820" s="1003"/>
      <c r="O820" s="1003"/>
      <c r="P820" s="1003"/>
      <c r="Q820" s="1003"/>
    </row>
    <row r="821" spans="3:17" ht="15.75" customHeight="1">
      <c r="C821" s="1003"/>
      <c r="D821" s="1003"/>
      <c r="E821" s="1003"/>
      <c r="F821" s="1003"/>
      <c r="G821" s="1003"/>
      <c r="H821" s="1003"/>
      <c r="I821" s="1003"/>
      <c r="J821" s="1003"/>
      <c r="K821" s="1003"/>
      <c r="L821" s="1003"/>
      <c r="M821" s="1003"/>
      <c r="N821" s="1003"/>
      <c r="O821" s="1003"/>
      <c r="P821" s="1003"/>
      <c r="Q821" s="1003"/>
    </row>
    <row r="822" spans="3:17" ht="15.75" customHeight="1">
      <c r="C822" s="1003"/>
      <c r="D822" s="1003"/>
      <c r="E822" s="1003"/>
      <c r="F822" s="1003"/>
      <c r="G822" s="1003"/>
      <c r="H822" s="1003"/>
      <c r="I822" s="1003"/>
      <c r="J822" s="1003"/>
      <c r="K822" s="1003"/>
      <c r="L822" s="1003"/>
      <c r="M822" s="1003"/>
      <c r="N822" s="1003"/>
      <c r="O822" s="1003"/>
      <c r="P822" s="1003"/>
      <c r="Q822" s="1003"/>
    </row>
    <row r="823" spans="3:17" ht="15.75" customHeight="1">
      <c r="C823" s="1003"/>
      <c r="D823" s="1003"/>
      <c r="E823" s="1003"/>
      <c r="F823" s="1003"/>
      <c r="G823" s="1003"/>
      <c r="H823" s="1003"/>
      <c r="I823" s="1003"/>
      <c r="J823" s="1003"/>
      <c r="K823" s="1003"/>
      <c r="L823" s="1003"/>
      <c r="M823" s="1003"/>
      <c r="N823" s="1003"/>
      <c r="O823" s="1003"/>
      <c r="P823" s="1003"/>
      <c r="Q823" s="1003"/>
    </row>
    <row r="824" spans="3:17" ht="15.75" customHeight="1">
      <c r="C824" s="1003"/>
      <c r="D824" s="1003"/>
      <c r="E824" s="1003"/>
      <c r="F824" s="1003"/>
      <c r="G824" s="1003"/>
      <c r="H824" s="1003"/>
      <c r="I824" s="1003"/>
      <c r="J824" s="1003"/>
      <c r="K824" s="1003"/>
      <c r="L824" s="1003"/>
      <c r="M824" s="1003"/>
      <c r="N824" s="1003"/>
      <c r="O824" s="1003"/>
      <c r="P824" s="1003"/>
      <c r="Q824" s="1003"/>
    </row>
    <row r="825" spans="3:17" ht="15.75" customHeight="1">
      <c r="C825" s="1003"/>
      <c r="D825" s="1003"/>
      <c r="E825" s="1003"/>
      <c r="F825" s="1003"/>
      <c r="G825" s="1003"/>
      <c r="H825" s="1003"/>
      <c r="I825" s="1003"/>
      <c r="J825" s="1003"/>
      <c r="K825" s="1003"/>
      <c r="L825" s="1003"/>
      <c r="M825" s="1003"/>
      <c r="N825" s="1003"/>
      <c r="O825" s="1003"/>
      <c r="P825" s="1003"/>
      <c r="Q825" s="1003"/>
    </row>
    <row r="826" spans="3:17" ht="15.75" customHeight="1">
      <c r="C826" s="1003"/>
      <c r="D826" s="1003"/>
      <c r="E826" s="1003"/>
      <c r="F826" s="1003"/>
      <c r="G826" s="1003"/>
      <c r="H826" s="1003"/>
      <c r="I826" s="1003"/>
      <c r="J826" s="1003"/>
      <c r="K826" s="1003"/>
      <c r="L826" s="1003"/>
      <c r="M826" s="1003"/>
      <c r="N826" s="1003"/>
      <c r="O826" s="1003"/>
      <c r="P826" s="1003"/>
      <c r="Q826" s="1003"/>
    </row>
    <row r="827" spans="3:17" ht="15.75" customHeight="1">
      <c r="C827" s="1003"/>
      <c r="D827" s="1003"/>
      <c r="E827" s="1003"/>
      <c r="F827" s="1003"/>
      <c r="G827" s="1003"/>
      <c r="H827" s="1003"/>
      <c r="I827" s="1003"/>
      <c r="J827" s="1003"/>
      <c r="K827" s="1003"/>
      <c r="L827" s="1003"/>
      <c r="M827" s="1003"/>
      <c r="N827" s="1003"/>
      <c r="O827" s="1003"/>
      <c r="P827" s="1003"/>
      <c r="Q827" s="1003"/>
    </row>
    <row r="828" spans="3:17" ht="15.75" customHeight="1">
      <c r="C828" s="1003"/>
      <c r="D828" s="1003"/>
      <c r="E828" s="1003"/>
      <c r="F828" s="1003"/>
      <c r="G828" s="1003"/>
      <c r="H828" s="1003"/>
      <c r="I828" s="1003"/>
      <c r="J828" s="1003"/>
      <c r="K828" s="1003"/>
      <c r="L828" s="1003"/>
      <c r="M828" s="1003"/>
      <c r="N828" s="1003"/>
      <c r="O828" s="1003"/>
      <c r="P828" s="1003"/>
      <c r="Q828" s="1003"/>
    </row>
    <row r="829" spans="3:17" ht="15.75" customHeight="1">
      <c r="C829" s="1003"/>
      <c r="D829" s="1003"/>
      <c r="E829" s="1003"/>
      <c r="F829" s="1003"/>
      <c r="G829" s="1003"/>
      <c r="H829" s="1003"/>
      <c r="I829" s="1003"/>
      <c r="J829" s="1003"/>
      <c r="K829" s="1003"/>
      <c r="L829" s="1003"/>
      <c r="M829" s="1003"/>
      <c r="N829" s="1003"/>
      <c r="O829" s="1003"/>
      <c r="P829" s="1003"/>
      <c r="Q829" s="1003"/>
    </row>
    <row r="830" spans="3:17" ht="15.75" customHeight="1">
      <c r="C830" s="1003"/>
      <c r="D830" s="1003"/>
      <c r="E830" s="1003"/>
      <c r="F830" s="1003"/>
      <c r="G830" s="1003"/>
      <c r="H830" s="1003"/>
      <c r="I830" s="1003"/>
      <c r="J830" s="1003"/>
      <c r="K830" s="1003"/>
      <c r="L830" s="1003"/>
      <c r="M830" s="1003"/>
      <c r="N830" s="1003"/>
      <c r="O830" s="1003"/>
      <c r="P830" s="1003"/>
      <c r="Q830" s="1003"/>
    </row>
    <row r="831" spans="3:17" ht="15.75" customHeight="1">
      <c r="C831" s="1003"/>
      <c r="D831" s="1003"/>
      <c r="E831" s="1003"/>
      <c r="F831" s="1003"/>
      <c r="G831" s="1003"/>
      <c r="H831" s="1003"/>
      <c r="I831" s="1003"/>
      <c r="J831" s="1003"/>
      <c r="K831" s="1003"/>
      <c r="L831" s="1003"/>
      <c r="M831" s="1003"/>
      <c r="N831" s="1003"/>
      <c r="O831" s="1003"/>
      <c r="P831" s="1003"/>
      <c r="Q831" s="1003"/>
    </row>
    <row r="832" spans="3:17" ht="15.75" customHeight="1">
      <c r="C832" s="1003"/>
      <c r="D832" s="1003"/>
      <c r="E832" s="1003"/>
      <c r="F832" s="1003"/>
      <c r="G832" s="1003"/>
      <c r="H832" s="1003"/>
      <c r="I832" s="1003"/>
      <c r="J832" s="1003"/>
      <c r="K832" s="1003"/>
      <c r="L832" s="1003"/>
      <c r="M832" s="1003"/>
      <c r="N832" s="1003"/>
      <c r="O832" s="1003"/>
      <c r="P832" s="1003"/>
      <c r="Q832" s="1003"/>
    </row>
    <row r="833" spans="3:17" ht="15.75" customHeight="1">
      <c r="C833" s="1003"/>
      <c r="D833" s="1003"/>
      <c r="E833" s="1003"/>
      <c r="F833" s="1003"/>
      <c r="G833" s="1003"/>
      <c r="H833" s="1003"/>
      <c r="I833" s="1003"/>
      <c r="J833" s="1003"/>
      <c r="K833" s="1003"/>
      <c r="L833" s="1003"/>
      <c r="M833" s="1003"/>
      <c r="N833" s="1003"/>
      <c r="O833" s="1003"/>
      <c r="P833" s="1003"/>
      <c r="Q833" s="1003"/>
    </row>
    <row r="834" spans="3:17" ht="15.75" customHeight="1">
      <c r="C834" s="1003"/>
      <c r="D834" s="1003"/>
      <c r="E834" s="1003"/>
      <c r="F834" s="1003"/>
      <c r="G834" s="1003"/>
      <c r="H834" s="1003"/>
      <c r="I834" s="1003"/>
      <c r="J834" s="1003"/>
      <c r="K834" s="1003"/>
      <c r="L834" s="1003"/>
      <c r="M834" s="1003"/>
      <c r="N834" s="1003"/>
      <c r="O834" s="1003"/>
      <c r="P834" s="1003"/>
      <c r="Q834" s="1003"/>
    </row>
    <row r="835" spans="3:17" ht="15.75" customHeight="1">
      <c r="C835" s="1003"/>
      <c r="D835" s="1003"/>
      <c r="E835" s="1003"/>
      <c r="F835" s="1003"/>
      <c r="G835" s="1003"/>
      <c r="H835" s="1003"/>
      <c r="I835" s="1003"/>
      <c r="J835" s="1003"/>
      <c r="K835" s="1003"/>
      <c r="L835" s="1003"/>
      <c r="M835" s="1003"/>
      <c r="N835" s="1003"/>
      <c r="O835" s="1003"/>
      <c r="P835" s="1003"/>
      <c r="Q835" s="1003"/>
    </row>
    <row r="836" spans="3:17" ht="15.75" customHeight="1">
      <c r="C836" s="1003"/>
      <c r="D836" s="1003"/>
      <c r="E836" s="1003"/>
      <c r="F836" s="1003"/>
      <c r="G836" s="1003"/>
      <c r="H836" s="1003"/>
      <c r="I836" s="1003"/>
      <c r="J836" s="1003"/>
      <c r="K836" s="1003"/>
      <c r="L836" s="1003"/>
      <c r="M836" s="1003"/>
      <c r="N836" s="1003"/>
      <c r="O836" s="1003"/>
      <c r="P836" s="1003"/>
      <c r="Q836" s="1003"/>
    </row>
    <row r="837" spans="3:17" ht="15.75" customHeight="1">
      <c r="C837" s="1003"/>
      <c r="D837" s="1003"/>
      <c r="E837" s="1003"/>
      <c r="F837" s="1003"/>
      <c r="G837" s="1003"/>
      <c r="H837" s="1003"/>
      <c r="I837" s="1003"/>
      <c r="J837" s="1003"/>
      <c r="K837" s="1003"/>
      <c r="L837" s="1003"/>
      <c r="M837" s="1003"/>
      <c r="N837" s="1003"/>
      <c r="O837" s="1003"/>
      <c r="P837" s="1003"/>
      <c r="Q837" s="1003"/>
    </row>
    <row r="838" spans="3:17" ht="15.75" customHeight="1">
      <c r="C838" s="1003"/>
      <c r="D838" s="1003"/>
      <c r="E838" s="1003"/>
      <c r="F838" s="1003"/>
      <c r="G838" s="1003"/>
      <c r="H838" s="1003"/>
      <c r="I838" s="1003"/>
      <c r="J838" s="1003"/>
      <c r="K838" s="1003"/>
      <c r="L838" s="1003"/>
      <c r="M838" s="1003"/>
      <c r="N838" s="1003"/>
      <c r="O838" s="1003"/>
      <c r="P838" s="1003"/>
      <c r="Q838" s="1003"/>
    </row>
    <row r="839" spans="3:17" ht="15.75" customHeight="1">
      <c r="C839" s="1003"/>
      <c r="D839" s="1003"/>
      <c r="E839" s="1003"/>
      <c r="F839" s="1003"/>
      <c r="G839" s="1003"/>
      <c r="H839" s="1003"/>
      <c r="I839" s="1003"/>
      <c r="J839" s="1003"/>
      <c r="K839" s="1003"/>
      <c r="L839" s="1003"/>
      <c r="M839" s="1003"/>
      <c r="N839" s="1003"/>
      <c r="O839" s="1003"/>
      <c r="P839" s="1003"/>
      <c r="Q839" s="1003"/>
    </row>
    <row r="840" spans="3:17" ht="15.75" customHeight="1">
      <c r="C840" s="1003"/>
      <c r="D840" s="1003"/>
      <c r="E840" s="1003"/>
      <c r="F840" s="1003"/>
      <c r="G840" s="1003"/>
      <c r="H840" s="1003"/>
      <c r="I840" s="1003"/>
      <c r="J840" s="1003"/>
      <c r="K840" s="1003"/>
      <c r="L840" s="1003"/>
      <c r="M840" s="1003"/>
      <c r="N840" s="1003"/>
      <c r="O840" s="1003"/>
      <c r="P840" s="1003"/>
      <c r="Q840" s="1003"/>
    </row>
    <row r="841" spans="3:17" ht="15.75" customHeight="1">
      <c r="C841" s="1003"/>
      <c r="D841" s="1003"/>
      <c r="E841" s="1003"/>
      <c r="F841" s="1003"/>
      <c r="G841" s="1003"/>
      <c r="H841" s="1003"/>
      <c r="I841" s="1003"/>
      <c r="J841" s="1003"/>
      <c r="K841" s="1003"/>
      <c r="L841" s="1003"/>
      <c r="M841" s="1003"/>
      <c r="N841" s="1003"/>
      <c r="O841" s="1003"/>
      <c r="P841" s="1003"/>
      <c r="Q841" s="1003"/>
    </row>
    <row r="842" spans="3:17" ht="15.75" customHeight="1">
      <c r="C842" s="1003"/>
      <c r="D842" s="1003"/>
      <c r="E842" s="1003"/>
      <c r="F842" s="1003"/>
      <c r="G842" s="1003"/>
      <c r="H842" s="1003"/>
      <c r="I842" s="1003"/>
      <c r="J842" s="1003"/>
      <c r="K842" s="1003"/>
      <c r="L842" s="1003"/>
      <c r="M842" s="1003"/>
      <c r="N842" s="1003"/>
      <c r="O842" s="1003"/>
      <c r="P842" s="1003"/>
      <c r="Q842" s="1003"/>
    </row>
    <row r="843" spans="3:17" ht="15.75" customHeight="1">
      <c r="C843" s="1003"/>
      <c r="D843" s="1003"/>
      <c r="E843" s="1003"/>
      <c r="F843" s="1003"/>
      <c r="G843" s="1003"/>
      <c r="H843" s="1003"/>
      <c r="I843" s="1003"/>
      <c r="J843" s="1003"/>
      <c r="K843" s="1003"/>
      <c r="L843" s="1003"/>
      <c r="M843" s="1003"/>
      <c r="N843" s="1003"/>
      <c r="O843" s="1003"/>
      <c r="P843" s="1003"/>
      <c r="Q843" s="1003"/>
    </row>
    <row r="844" spans="3:17" ht="15.75" customHeight="1">
      <c r="C844" s="1003"/>
      <c r="D844" s="1003"/>
      <c r="E844" s="1003"/>
      <c r="F844" s="1003"/>
      <c r="G844" s="1003"/>
      <c r="H844" s="1003"/>
      <c r="I844" s="1003"/>
      <c r="J844" s="1003"/>
      <c r="K844" s="1003"/>
      <c r="L844" s="1003"/>
      <c r="M844" s="1003"/>
      <c r="N844" s="1003"/>
      <c r="O844" s="1003"/>
      <c r="P844" s="1003"/>
      <c r="Q844" s="1003"/>
    </row>
    <row r="845" spans="3:17" ht="15.75" customHeight="1">
      <c r="C845" s="1003"/>
      <c r="D845" s="1003"/>
      <c r="E845" s="1003"/>
      <c r="F845" s="1003"/>
      <c r="G845" s="1003"/>
      <c r="H845" s="1003"/>
      <c r="I845" s="1003"/>
      <c r="J845" s="1003"/>
      <c r="K845" s="1003"/>
      <c r="L845" s="1003"/>
      <c r="M845" s="1003"/>
      <c r="N845" s="1003"/>
      <c r="O845" s="1003"/>
      <c r="P845" s="1003"/>
      <c r="Q845" s="1003"/>
    </row>
    <row r="846" spans="3:17" ht="15.75" customHeight="1">
      <c r="C846" s="1003"/>
      <c r="D846" s="1003"/>
      <c r="E846" s="1003"/>
      <c r="F846" s="1003"/>
      <c r="G846" s="1003"/>
      <c r="H846" s="1003"/>
      <c r="I846" s="1003"/>
      <c r="J846" s="1003"/>
      <c r="K846" s="1003"/>
      <c r="L846" s="1003"/>
      <c r="M846" s="1003"/>
      <c r="N846" s="1003"/>
      <c r="O846" s="1003"/>
      <c r="P846" s="1003"/>
      <c r="Q846" s="1003"/>
    </row>
    <row r="847" spans="3:17" ht="15.75" customHeight="1">
      <c r="C847" s="1003"/>
      <c r="D847" s="1003"/>
      <c r="E847" s="1003"/>
      <c r="F847" s="1003"/>
      <c r="G847" s="1003"/>
      <c r="H847" s="1003"/>
      <c r="I847" s="1003"/>
      <c r="J847" s="1003"/>
      <c r="K847" s="1003"/>
      <c r="L847" s="1003"/>
      <c r="M847" s="1003"/>
      <c r="N847" s="1003"/>
      <c r="O847" s="1003"/>
      <c r="P847" s="1003"/>
      <c r="Q847" s="1003"/>
    </row>
    <row r="848" spans="3:17" ht="15.75" customHeight="1">
      <c r="C848" s="1003"/>
      <c r="D848" s="1003"/>
      <c r="E848" s="1003"/>
      <c r="F848" s="1003"/>
      <c r="G848" s="1003"/>
      <c r="H848" s="1003"/>
      <c r="I848" s="1003"/>
      <c r="J848" s="1003"/>
      <c r="K848" s="1003"/>
      <c r="L848" s="1003"/>
      <c r="M848" s="1003"/>
      <c r="N848" s="1003"/>
      <c r="O848" s="1003"/>
      <c r="P848" s="1003"/>
      <c r="Q848" s="1003"/>
    </row>
    <row r="849" spans="3:17" ht="15.75" customHeight="1">
      <c r="C849" s="1003"/>
      <c r="D849" s="1003"/>
      <c r="E849" s="1003"/>
      <c r="F849" s="1003"/>
      <c r="G849" s="1003"/>
      <c r="H849" s="1003"/>
      <c r="I849" s="1003"/>
      <c r="J849" s="1003"/>
      <c r="K849" s="1003"/>
      <c r="L849" s="1003"/>
      <c r="M849" s="1003"/>
      <c r="N849" s="1003"/>
      <c r="O849" s="1003"/>
      <c r="P849" s="1003"/>
      <c r="Q849" s="1003"/>
    </row>
    <row r="850" spans="3:17" ht="15.75" customHeight="1">
      <c r="C850" s="1003"/>
      <c r="D850" s="1003"/>
      <c r="E850" s="1003"/>
      <c r="F850" s="1003"/>
      <c r="G850" s="1003"/>
      <c r="H850" s="1003"/>
      <c r="I850" s="1003"/>
      <c r="J850" s="1003"/>
      <c r="K850" s="1003"/>
      <c r="L850" s="1003"/>
      <c r="M850" s="1003"/>
      <c r="N850" s="1003"/>
      <c r="O850" s="1003"/>
      <c r="P850" s="1003"/>
      <c r="Q850" s="1003"/>
    </row>
    <row r="851" spans="3:17" ht="15.75" customHeight="1">
      <c r="C851" s="1003"/>
      <c r="D851" s="1003"/>
      <c r="E851" s="1003"/>
      <c r="F851" s="1003"/>
      <c r="G851" s="1003"/>
      <c r="H851" s="1003"/>
      <c r="I851" s="1003"/>
      <c r="J851" s="1003"/>
      <c r="K851" s="1003"/>
      <c r="L851" s="1003"/>
      <c r="M851" s="1003"/>
      <c r="N851" s="1003"/>
      <c r="O851" s="1003"/>
      <c r="P851" s="1003"/>
      <c r="Q851" s="1003"/>
    </row>
    <row r="852" spans="3:17" ht="15.75" customHeight="1">
      <c r="C852" s="1003"/>
      <c r="D852" s="1003"/>
      <c r="E852" s="1003"/>
      <c r="F852" s="1003"/>
      <c r="G852" s="1003"/>
      <c r="H852" s="1003"/>
      <c r="I852" s="1003"/>
      <c r="J852" s="1003"/>
      <c r="K852" s="1003"/>
      <c r="L852" s="1003"/>
      <c r="M852" s="1003"/>
      <c r="N852" s="1003"/>
      <c r="O852" s="1003"/>
      <c r="P852" s="1003"/>
      <c r="Q852" s="1003"/>
    </row>
    <row r="853" spans="3:17" ht="15.75" customHeight="1">
      <c r="C853" s="1003"/>
      <c r="D853" s="1003"/>
      <c r="E853" s="1003"/>
      <c r="F853" s="1003"/>
      <c r="G853" s="1003"/>
      <c r="H853" s="1003"/>
      <c r="I853" s="1003"/>
      <c r="J853" s="1003"/>
      <c r="K853" s="1003"/>
      <c r="L853" s="1003"/>
      <c r="M853" s="1003"/>
      <c r="N853" s="1003"/>
      <c r="O853" s="1003"/>
      <c r="P853" s="1003"/>
      <c r="Q853" s="1003"/>
    </row>
    <row r="854" spans="3:17" ht="15.75" customHeight="1">
      <c r="C854" s="1003"/>
      <c r="D854" s="1003"/>
      <c r="E854" s="1003"/>
      <c r="F854" s="1003"/>
      <c r="G854" s="1003"/>
      <c r="H854" s="1003"/>
      <c r="I854" s="1003"/>
      <c r="J854" s="1003"/>
      <c r="K854" s="1003"/>
      <c r="L854" s="1003"/>
      <c r="M854" s="1003"/>
      <c r="N854" s="1003"/>
      <c r="O854" s="1003"/>
      <c r="P854" s="1003"/>
      <c r="Q854" s="1003"/>
    </row>
    <row r="855" spans="3:17" ht="15.75" customHeight="1">
      <c r="C855" s="1003"/>
      <c r="D855" s="1003"/>
      <c r="E855" s="1003"/>
      <c r="F855" s="1003"/>
      <c r="G855" s="1003"/>
      <c r="H855" s="1003"/>
      <c r="I855" s="1003"/>
      <c r="J855" s="1003"/>
      <c r="K855" s="1003"/>
      <c r="L855" s="1003"/>
      <c r="M855" s="1003"/>
      <c r="N855" s="1003"/>
      <c r="O855" s="1003"/>
      <c r="P855" s="1003"/>
      <c r="Q855" s="1003"/>
    </row>
    <row r="856" spans="3:17" ht="15.75" customHeight="1">
      <c r="C856" s="1003"/>
      <c r="D856" s="1003"/>
      <c r="E856" s="1003"/>
      <c r="F856" s="1003"/>
      <c r="G856" s="1003"/>
      <c r="H856" s="1003"/>
      <c r="I856" s="1003"/>
      <c r="J856" s="1003"/>
      <c r="K856" s="1003"/>
      <c r="L856" s="1003"/>
      <c r="M856" s="1003"/>
      <c r="N856" s="1003"/>
      <c r="O856" s="1003"/>
      <c r="P856" s="1003"/>
      <c r="Q856" s="1003"/>
    </row>
    <row r="857" spans="3:17" ht="15.75" customHeight="1">
      <c r="C857" s="1003"/>
      <c r="D857" s="1003"/>
      <c r="E857" s="1003"/>
      <c r="F857" s="1003"/>
      <c r="G857" s="1003"/>
      <c r="H857" s="1003"/>
      <c r="I857" s="1003"/>
      <c r="J857" s="1003"/>
      <c r="K857" s="1003"/>
      <c r="L857" s="1003"/>
      <c r="M857" s="1003"/>
      <c r="N857" s="1003"/>
      <c r="O857" s="1003"/>
      <c r="P857" s="1003"/>
      <c r="Q857" s="1003"/>
    </row>
    <row r="858" spans="3:17" ht="15.75" customHeight="1">
      <c r="C858" s="1003"/>
      <c r="D858" s="1003"/>
      <c r="E858" s="1003"/>
      <c r="F858" s="1003"/>
      <c r="G858" s="1003"/>
      <c r="H858" s="1003"/>
      <c r="I858" s="1003"/>
      <c r="J858" s="1003"/>
      <c r="K858" s="1003"/>
      <c r="L858" s="1003"/>
      <c r="M858" s="1003"/>
      <c r="N858" s="1003"/>
      <c r="O858" s="1003"/>
      <c r="P858" s="1003"/>
      <c r="Q858" s="1003"/>
    </row>
    <row r="859" spans="3:17" ht="15.75" customHeight="1">
      <c r="C859" s="1003"/>
      <c r="D859" s="1003"/>
      <c r="E859" s="1003"/>
      <c r="F859" s="1003"/>
      <c r="G859" s="1003"/>
      <c r="H859" s="1003"/>
      <c r="I859" s="1003"/>
      <c r="J859" s="1003"/>
      <c r="K859" s="1003"/>
      <c r="L859" s="1003"/>
      <c r="M859" s="1003"/>
      <c r="N859" s="1003"/>
      <c r="O859" s="1003"/>
      <c r="P859" s="1003"/>
      <c r="Q859" s="1003"/>
    </row>
    <row r="860" spans="3:17" ht="15.75" customHeight="1">
      <c r="C860" s="1003"/>
      <c r="D860" s="1003"/>
      <c r="E860" s="1003"/>
      <c r="F860" s="1003"/>
      <c r="G860" s="1003"/>
      <c r="H860" s="1003"/>
      <c r="I860" s="1003"/>
      <c r="J860" s="1003"/>
      <c r="K860" s="1003"/>
      <c r="L860" s="1003"/>
      <c r="M860" s="1003"/>
      <c r="N860" s="1003"/>
      <c r="O860" s="1003"/>
      <c r="P860" s="1003"/>
      <c r="Q860" s="1003"/>
    </row>
    <row r="861" spans="3:17" ht="15.75" customHeight="1">
      <c r="C861" s="1003"/>
      <c r="D861" s="1003"/>
      <c r="E861" s="1003"/>
      <c r="F861" s="1003"/>
      <c r="G861" s="1003"/>
      <c r="H861" s="1003"/>
      <c r="I861" s="1003"/>
      <c r="J861" s="1003"/>
      <c r="K861" s="1003"/>
      <c r="L861" s="1003"/>
      <c r="M861" s="1003"/>
      <c r="N861" s="1003"/>
      <c r="O861" s="1003"/>
      <c r="P861" s="1003"/>
      <c r="Q861" s="1003"/>
    </row>
    <row r="862" spans="3:17" ht="15.75" customHeight="1">
      <c r="C862" s="1003"/>
      <c r="D862" s="1003"/>
      <c r="E862" s="1003"/>
      <c r="F862" s="1003"/>
      <c r="G862" s="1003"/>
      <c r="H862" s="1003"/>
      <c r="I862" s="1003"/>
      <c r="J862" s="1003"/>
      <c r="K862" s="1003"/>
      <c r="L862" s="1003"/>
      <c r="M862" s="1003"/>
      <c r="N862" s="1003"/>
      <c r="O862" s="1003"/>
      <c r="P862" s="1003"/>
      <c r="Q862" s="1003"/>
    </row>
    <row r="863" spans="3:17" ht="15.75" customHeight="1">
      <c r="C863" s="1003"/>
      <c r="D863" s="1003"/>
      <c r="E863" s="1003"/>
      <c r="F863" s="1003"/>
      <c r="G863" s="1003"/>
      <c r="H863" s="1003"/>
      <c r="I863" s="1003"/>
      <c r="J863" s="1003"/>
      <c r="K863" s="1003"/>
      <c r="L863" s="1003"/>
      <c r="M863" s="1003"/>
      <c r="N863" s="1003"/>
      <c r="O863" s="1003"/>
      <c r="P863" s="1003"/>
      <c r="Q863" s="1003"/>
    </row>
    <row r="864" spans="3:17" ht="15.75" customHeight="1">
      <c r="C864" s="1003"/>
      <c r="D864" s="1003"/>
      <c r="E864" s="1003"/>
      <c r="F864" s="1003"/>
      <c r="G864" s="1003"/>
      <c r="H864" s="1003"/>
      <c r="I864" s="1003"/>
      <c r="J864" s="1003"/>
      <c r="K864" s="1003"/>
      <c r="L864" s="1003"/>
      <c r="M864" s="1003"/>
      <c r="N864" s="1003"/>
      <c r="O864" s="1003"/>
      <c r="P864" s="1003"/>
      <c r="Q864" s="1003"/>
    </row>
    <row r="865" spans="3:17" ht="15.75" customHeight="1">
      <c r="C865" s="1003"/>
      <c r="D865" s="1003"/>
      <c r="E865" s="1003"/>
      <c r="F865" s="1003"/>
      <c r="G865" s="1003"/>
      <c r="H865" s="1003"/>
      <c r="I865" s="1003"/>
      <c r="J865" s="1003"/>
      <c r="K865" s="1003"/>
      <c r="L865" s="1003"/>
      <c r="M865" s="1003"/>
      <c r="N865" s="1003"/>
      <c r="O865" s="1003"/>
      <c r="P865" s="1003"/>
      <c r="Q865" s="1003"/>
    </row>
    <row r="866" spans="3:17" ht="15.75" customHeight="1">
      <c r="C866" s="1003"/>
      <c r="D866" s="1003"/>
      <c r="E866" s="1003"/>
      <c r="F866" s="1003"/>
      <c r="G866" s="1003"/>
      <c r="H866" s="1003"/>
      <c r="I866" s="1003"/>
      <c r="J866" s="1003"/>
      <c r="K866" s="1003"/>
      <c r="L866" s="1003"/>
      <c r="M866" s="1003"/>
      <c r="N866" s="1003"/>
      <c r="O866" s="1003"/>
      <c r="P866" s="1003"/>
      <c r="Q866" s="1003"/>
    </row>
    <row r="867" spans="3:17" ht="15.75" customHeight="1">
      <c r="C867" s="1003"/>
      <c r="D867" s="1003"/>
      <c r="E867" s="1003"/>
      <c r="F867" s="1003"/>
      <c r="G867" s="1003"/>
      <c r="H867" s="1003"/>
      <c r="I867" s="1003"/>
      <c r="J867" s="1003"/>
      <c r="K867" s="1003"/>
      <c r="L867" s="1003"/>
      <c r="M867" s="1003"/>
      <c r="N867" s="1003"/>
      <c r="O867" s="1003"/>
      <c r="P867" s="1003"/>
      <c r="Q867" s="1003"/>
    </row>
    <row r="868" spans="3:17" ht="15.75" customHeight="1">
      <c r="C868" s="1003"/>
      <c r="D868" s="1003"/>
      <c r="E868" s="1003"/>
      <c r="F868" s="1003"/>
      <c r="G868" s="1003"/>
      <c r="H868" s="1003"/>
      <c r="I868" s="1003"/>
      <c r="J868" s="1003"/>
      <c r="K868" s="1003"/>
      <c r="L868" s="1003"/>
      <c r="M868" s="1003"/>
      <c r="N868" s="1003"/>
      <c r="O868" s="1003"/>
      <c r="P868" s="1003"/>
      <c r="Q868" s="1003"/>
    </row>
    <row r="869" spans="3:17" ht="15.75" customHeight="1">
      <c r="C869" s="1003"/>
      <c r="D869" s="1003"/>
      <c r="E869" s="1003"/>
      <c r="F869" s="1003"/>
      <c r="G869" s="1003"/>
      <c r="H869" s="1003"/>
      <c r="I869" s="1003"/>
      <c r="J869" s="1003"/>
      <c r="K869" s="1003"/>
      <c r="L869" s="1003"/>
      <c r="M869" s="1003"/>
      <c r="N869" s="1003"/>
      <c r="O869" s="1003"/>
      <c r="P869" s="1003"/>
      <c r="Q869" s="1003"/>
    </row>
    <row r="870" spans="3:17" ht="15.75" customHeight="1">
      <c r="C870" s="1003"/>
      <c r="D870" s="1003"/>
      <c r="E870" s="1003"/>
      <c r="F870" s="1003"/>
      <c r="G870" s="1003"/>
      <c r="H870" s="1003"/>
      <c r="I870" s="1003"/>
      <c r="J870" s="1003"/>
      <c r="K870" s="1003"/>
      <c r="L870" s="1003"/>
      <c r="M870" s="1003"/>
      <c r="N870" s="1003"/>
      <c r="O870" s="1003"/>
      <c r="P870" s="1003"/>
      <c r="Q870" s="1003"/>
    </row>
    <row r="871" spans="3:17" ht="15.75" customHeight="1">
      <c r="C871" s="1003"/>
      <c r="D871" s="1003"/>
      <c r="E871" s="1003"/>
      <c r="F871" s="1003"/>
      <c r="G871" s="1003"/>
      <c r="H871" s="1003"/>
      <c r="I871" s="1003"/>
      <c r="J871" s="1003"/>
      <c r="K871" s="1003"/>
      <c r="L871" s="1003"/>
      <c r="M871" s="1003"/>
      <c r="N871" s="1003"/>
      <c r="O871" s="1003"/>
      <c r="P871" s="1003"/>
      <c r="Q871" s="1003"/>
    </row>
    <row r="872" spans="3:17" ht="15.75" customHeight="1">
      <c r="C872" s="1003"/>
      <c r="D872" s="1003"/>
      <c r="E872" s="1003"/>
      <c r="F872" s="1003"/>
      <c r="G872" s="1003"/>
      <c r="H872" s="1003"/>
      <c r="I872" s="1003"/>
      <c r="J872" s="1003"/>
      <c r="K872" s="1003"/>
      <c r="L872" s="1003"/>
      <c r="M872" s="1003"/>
      <c r="N872" s="1003"/>
      <c r="O872" s="1003"/>
      <c r="P872" s="1003"/>
      <c r="Q872" s="1003"/>
    </row>
    <row r="873" spans="3:17" ht="15.75" customHeight="1">
      <c r="C873" s="1003"/>
      <c r="D873" s="1003"/>
      <c r="E873" s="1003"/>
      <c r="F873" s="1003"/>
      <c r="G873" s="1003"/>
      <c r="H873" s="1003"/>
      <c r="I873" s="1003"/>
      <c r="J873" s="1003"/>
      <c r="K873" s="1003"/>
      <c r="L873" s="1003"/>
      <c r="M873" s="1003"/>
      <c r="N873" s="1003"/>
      <c r="O873" s="1003"/>
      <c r="P873" s="1003"/>
      <c r="Q873" s="1003"/>
    </row>
    <row r="874" spans="3:17" ht="15.75" customHeight="1">
      <c r="C874" s="1003"/>
      <c r="D874" s="1003"/>
      <c r="E874" s="1003"/>
      <c r="F874" s="1003"/>
      <c r="G874" s="1003"/>
      <c r="H874" s="1003"/>
      <c r="I874" s="1003"/>
      <c r="J874" s="1003"/>
      <c r="K874" s="1003"/>
      <c r="L874" s="1003"/>
      <c r="M874" s="1003"/>
      <c r="N874" s="1003"/>
      <c r="O874" s="1003"/>
      <c r="P874" s="1003"/>
      <c r="Q874" s="1003"/>
    </row>
    <row r="875" spans="3:17" ht="15.75" customHeight="1">
      <c r="C875" s="1003"/>
      <c r="D875" s="1003"/>
      <c r="E875" s="1003"/>
      <c r="F875" s="1003"/>
      <c r="G875" s="1003"/>
      <c r="H875" s="1003"/>
      <c r="I875" s="1003"/>
      <c r="J875" s="1003"/>
      <c r="K875" s="1003"/>
      <c r="L875" s="1003"/>
      <c r="M875" s="1003"/>
      <c r="N875" s="1003"/>
      <c r="O875" s="1003"/>
      <c r="P875" s="1003"/>
      <c r="Q875" s="1003"/>
    </row>
    <row r="876" spans="3:17" ht="15.75" customHeight="1">
      <c r="C876" s="1003"/>
      <c r="D876" s="1003"/>
      <c r="E876" s="1003"/>
      <c r="F876" s="1003"/>
      <c r="G876" s="1003"/>
      <c r="H876" s="1003"/>
      <c r="I876" s="1003"/>
      <c r="J876" s="1003"/>
      <c r="K876" s="1003"/>
      <c r="L876" s="1003"/>
      <c r="M876" s="1003"/>
      <c r="N876" s="1003"/>
      <c r="O876" s="1003"/>
      <c r="P876" s="1003"/>
      <c r="Q876" s="1003"/>
    </row>
    <row r="877" spans="3:17" ht="15.75" customHeight="1">
      <c r="C877" s="1003"/>
      <c r="D877" s="1003"/>
      <c r="E877" s="1003"/>
      <c r="F877" s="1003"/>
      <c r="G877" s="1003"/>
      <c r="H877" s="1003"/>
      <c r="I877" s="1003"/>
      <c r="J877" s="1003"/>
      <c r="K877" s="1003"/>
      <c r="L877" s="1003"/>
      <c r="M877" s="1003"/>
      <c r="N877" s="1003"/>
      <c r="O877" s="1003"/>
      <c r="P877" s="1003"/>
      <c r="Q877" s="1003"/>
    </row>
    <row r="878" spans="3:17" ht="15.75" customHeight="1">
      <c r="C878" s="1003"/>
      <c r="D878" s="1003"/>
      <c r="E878" s="1003"/>
      <c r="F878" s="1003"/>
      <c r="G878" s="1003"/>
      <c r="H878" s="1003"/>
      <c r="I878" s="1003"/>
      <c r="J878" s="1003"/>
      <c r="K878" s="1003"/>
      <c r="L878" s="1003"/>
      <c r="M878" s="1003"/>
      <c r="N878" s="1003"/>
      <c r="O878" s="1003"/>
      <c r="P878" s="1003"/>
      <c r="Q878" s="1003"/>
    </row>
    <row r="879" spans="3:17" ht="15.75" customHeight="1">
      <c r="C879" s="1003"/>
      <c r="D879" s="1003"/>
      <c r="E879" s="1003"/>
      <c r="F879" s="1003"/>
      <c r="G879" s="1003"/>
      <c r="H879" s="1003"/>
      <c r="I879" s="1003"/>
      <c r="J879" s="1003"/>
      <c r="K879" s="1003"/>
      <c r="L879" s="1003"/>
      <c r="M879" s="1003"/>
      <c r="N879" s="1003"/>
      <c r="O879" s="1003"/>
      <c r="P879" s="1003"/>
      <c r="Q879" s="1003"/>
    </row>
    <row r="880" spans="3:17" ht="15.75" customHeight="1">
      <c r="C880" s="1003"/>
      <c r="D880" s="1003"/>
      <c r="E880" s="1003"/>
      <c r="F880" s="1003"/>
      <c r="G880" s="1003"/>
      <c r="H880" s="1003"/>
      <c r="I880" s="1003"/>
      <c r="J880" s="1003"/>
      <c r="K880" s="1003"/>
      <c r="L880" s="1003"/>
      <c r="M880" s="1003"/>
      <c r="N880" s="1003"/>
      <c r="O880" s="1003"/>
      <c r="P880" s="1003"/>
      <c r="Q880" s="1003"/>
    </row>
    <row r="881" spans="3:17" ht="15.75" customHeight="1">
      <c r="C881" s="1003"/>
      <c r="D881" s="1003"/>
      <c r="E881" s="1003"/>
      <c r="F881" s="1003"/>
      <c r="G881" s="1003"/>
      <c r="H881" s="1003"/>
      <c r="I881" s="1003"/>
      <c r="J881" s="1003"/>
      <c r="K881" s="1003"/>
      <c r="L881" s="1003"/>
      <c r="M881" s="1003"/>
      <c r="N881" s="1003"/>
      <c r="O881" s="1003"/>
      <c r="P881" s="1003"/>
      <c r="Q881" s="1003"/>
    </row>
    <row r="882" spans="3:17" ht="15.75" customHeight="1">
      <c r="C882" s="1003"/>
      <c r="D882" s="1003"/>
      <c r="E882" s="1003"/>
      <c r="F882" s="1003"/>
      <c r="G882" s="1003"/>
      <c r="H882" s="1003"/>
      <c r="I882" s="1003"/>
      <c r="J882" s="1003"/>
      <c r="K882" s="1003"/>
      <c r="L882" s="1003"/>
      <c r="M882" s="1003"/>
      <c r="N882" s="1003"/>
      <c r="O882" s="1003"/>
      <c r="P882" s="1003"/>
      <c r="Q882" s="1003"/>
    </row>
    <row r="883" spans="3:17" ht="15.75" customHeight="1">
      <c r="C883" s="1003"/>
      <c r="D883" s="1003"/>
      <c r="E883" s="1003"/>
      <c r="F883" s="1003"/>
      <c r="G883" s="1003"/>
      <c r="H883" s="1003"/>
      <c r="I883" s="1003"/>
      <c r="J883" s="1003"/>
      <c r="K883" s="1003"/>
      <c r="L883" s="1003"/>
      <c r="M883" s="1003"/>
      <c r="N883" s="1003"/>
      <c r="O883" s="1003"/>
      <c r="P883" s="1003"/>
      <c r="Q883" s="1003"/>
    </row>
    <row r="884" spans="3:17" ht="15.75" customHeight="1">
      <c r="C884" s="1003"/>
      <c r="D884" s="1003"/>
      <c r="E884" s="1003"/>
      <c r="F884" s="1003"/>
      <c r="G884" s="1003"/>
      <c r="H884" s="1003"/>
      <c r="I884" s="1003"/>
      <c r="J884" s="1003"/>
      <c r="K884" s="1003"/>
      <c r="L884" s="1003"/>
      <c r="M884" s="1003"/>
      <c r="N884" s="1003"/>
      <c r="O884" s="1003"/>
      <c r="P884" s="1003"/>
      <c r="Q884" s="1003"/>
    </row>
    <row r="885" spans="3:17" ht="15.75" customHeight="1">
      <c r="C885" s="1003"/>
      <c r="D885" s="1003"/>
      <c r="E885" s="1003"/>
      <c r="F885" s="1003"/>
      <c r="G885" s="1003"/>
      <c r="H885" s="1003"/>
      <c r="I885" s="1003"/>
      <c r="J885" s="1003"/>
      <c r="K885" s="1003"/>
      <c r="L885" s="1003"/>
      <c r="M885" s="1003"/>
      <c r="N885" s="1003"/>
      <c r="O885" s="1003"/>
      <c r="P885" s="1003"/>
      <c r="Q885" s="1003"/>
    </row>
    <row r="886" spans="3:17" ht="15.75" customHeight="1">
      <c r="C886" s="1003"/>
      <c r="D886" s="1003"/>
      <c r="E886" s="1003"/>
      <c r="F886" s="1003"/>
      <c r="G886" s="1003"/>
      <c r="H886" s="1003"/>
      <c r="I886" s="1003"/>
      <c r="J886" s="1003"/>
      <c r="K886" s="1003"/>
      <c r="L886" s="1003"/>
      <c r="M886" s="1003"/>
      <c r="N886" s="1003"/>
      <c r="O886" s="1003"/>
      <c r="P886" s="1003"/>
      <c r="Q886" s="1003"/>
    </row>
    <row r="887" spans="3:17" ht="15.75" customHeight="1">
      <c r="C887" s="1003"/>
      <c r="D887" s="1003"/>
      <c r="E887" s="1003"/>
      <c r="F887" s="1003"/>
      <c r="G887" s="1003"/>
      <c r="H887" s="1003"/>
      <c r="I887" s="1003"/>
      <c r="J887" s="1003"/>
      <c r="K887" s="1003"/>
      <c r="L887" s="1003"/>
      <c r="M887" s="1003"/>
      <c r="N887" s="1003"/>
      <c r="O887" s="1003"/>
      <c r="P887" s="1003"/>
      <c r="Q887" s="1003"/>
    </row>
    <row r="888" spans="3:17" ht="15.75" customHeight="1">
      <c r="C888" s="1003"/>
      <c r="D888" s="1003"/>
      <c r="E888" s="1003"/>
      <c r="F888" s="1003"/>
      <c r="G888" s="1003"/>
      <c r="H888" s="1003"/>
      <c r="I888" s="1003"/>
      <c r="J888" s="1003"/>
      <c r="K888" s="1003"/>
      <c r="L888" s="1003"/>
      <c r="M888" s="1003"/>
      <c r="N888" s="1003"/>
      <c r="O888" s="1003"/>
      <c r="P888" s="1003"/>
      <c r="Q888" s="1003"/>
    </row>
    <row r="889" spans="3:17" ht="15.75" customHeight="1">
      <c r="C889" s="1003"/>
      <c r="D889" s="1003"/>
      <c r="E889" s="1003"/>
      <c r="F889" s="1003"/>
      <c r="G889" s="1003"/>
      <c r="H889" s="1003"/>
      <c r="I889" s="1003"/>
      <c r="J889" s="1003"/>
      <c r="K889" s="1003"/>
      <c r="L889" s="1003"/>
      <c r="M889" s="1003"/>
      <c r="N889" s="1003"/>
      <c r="O889" s="1003"/>
      <c r="P889" s="1003"/>
      <c r="Q889" s="1003"/>
    </row>
    <row r="890" spans="3:17" ht="15.75" customHeight="1">
      <c r="C890" s="1003"/>
      <c r="D890" s="1003"/>
      <c r="E890" s="1003"/>
      <c r="F890" s="1003"/>
      <c r="G890" s="1003"/>
      <c r="H890" s="1003"/>
      <c r="I890" s="1003"/>
      <c r="J890" s="1003"/>
      <c r="K890" s="1003"/>
      <c r="L890" s="1003"/>
      <c r="M890" s="1003"/>
      <c r="N890" s="1003"/>
      <c r="O890" s="1003"/>
      <c r="P890" s="1003"/>
      <c r="Q890" s="1003"/>
    </row>
    <row r="891" spans="3:17" ht="15.75" customHeight="1">
      <c r="C891" s="1003"/>
      <c r="D891" s="1003"/>
      <c r="E891" s="1003"/>
      <c r="F891" s="1003"/>
      <c r="G891" s="1003"/>
      <c r="H891" s="1003"/>
      <c r="I891" s="1003"/>
      <c r="J891" s="1003"/>
      <c r="K891" s="1003"/>
      <c r="L891" s="1003"/>
      <c r="M891" s="1003"/>
      <c r="N891" s="1003"/>
      <c r="O891" s="1003"/>
      <c r="P891" s="1003"/>
      <c r="Q891" s="1003"/>
    </row>
    <row r="892" spans="3:17" ht="15.75" customHeight="1">
      <c r="C892" s="1003"/>
      <c r="D892" s="1003"/>
      <c r="E892" s="1003"/>
      <c r="F892" s="1003"/>
      <c r="G892" s="1003"/>
      <c r="H892" s="1003"/>
      <c r="I892" s="1003"/>
      <c r="J892" s="1003"/>
      <c r="K892" s="1003"/>
      <c r="L892" s="1003"/>
      <c r="M892" s="1003"/>
      <c r="N892" s="1003"/>
      <c r="O892" s="1003"/>
      <c r="P892" s="1003"/>
      <c r="Q892" s="1003"/>
    </row>
    <row r="893" spans="3:17" ht="15.75" customHeight="1">
      <c r="C893" s="1003"/>
      <c r="D893" s="1003"/>
      <c r="E893" s="1003"/>
      <c r="F893" s="1003"/>
      <c r="G893" s="1003"/>
      <c r="H893" s="1003"/>
      <c r="I893" s="1003"/>
      <c r="J893" s="1003"/>
      <c r="K893" s="1003"/>
      <c r="L893" s="1003"/>
      <c r="M893" s="1003"/>
      <c r="N893" s="1003"/>
      <c r="O893" s="1003"/>
      <c r="P893" s="1003"/>
      <c r="Q893" s="1003"/>
    </row>
    <row r="894" spans="3:17" ht="15.75" customHeight="1">
      <c r="C894" s="1003"/>
      <c r="D894" s="1003"/>
      <c r="E894" s="1003"/>
      <c r="F894" s="1003"/>
      <c r="G894" s="1003"/>
      <c r="H894" s="1003"/>
      <c r="I894" s="1003"/>
      <c r="J894" s="1003"/>
      <c r="K894" s="1003"/>
      <c r="L894" s="1003"/>
      <c r="M894" s="1003"/>
      <c r="N894" s="1003"/>
      <c r="O894" s="1003"/>
      <c r="P894" s="1003"/>
      <c r="Q894" s="1003"/>
    </row>
    <row r="895" spans="3:17" ht="15.75" customHeight="1">
      <c r="C895" s="1003"/>
      <c r="D895" s="1003"/>
      <c r="E895" s="1003"/>
      <c r="F895" s="1003"/>
      <c r="G895" s="1003"/>
      <c r="H895" s="1003"/>
      <c r="I895" s="1003"/>
      <c r="J895" s="1003"/>
      <c r="K895" s="1003"/>
      <c r="L895" s="1003"/>
      <c r="M895" s="1003"/>
      <c r="N895" s="1003"/>
      <c r="O895" s="1003"/>
      <c r="P895" s="1003"/>
      <c r="Q895" s="1003"/>
    </row>
    <row r="896" spans="3:17" ht="15.75" customHeight="1">
      <c r="C896" s="1003"/>
      <c r="D896" s="1003"/>
      <c r="E896" s="1003"/>
      <c r="F896" s="1003"/>
      <c r="G896" s="1003"/>
      <c r="H896" s="1003"/>
      <c r="I896" s="1003"/>
      <c r="J896" s="1003"/>
      <c r="K896" s="1003"/>
      <c r="L896" s="1003"/>
      <c r="M896" s="1003"/>
      <c r="N896" s="1003"/>
      <c r="O896" s="1003"/>
      <c r="P896" s="1003"/>
      <c r="Q896" s="1003"/>
    </row>
    <row r="897" spans="3:17" ht="15.75" customHeight="1">
      <c r="C897" s="1003"/>
      <c r="D897" s="1003"/>
      <c r="E897" s="1003"/>
      <c r="F897" s="1003"/>
      <c r="G897" s="1003"/>
      <c r="H897" s="1003"/>
      <c r="I897" s="1003"/>
      <c r="J897" s="1003"/>
      <c r="K897" s="1003"/>
      <c r="L897" s="1003"/>
      <c r="M897" s="1003"/>
      <c r="N897" s="1003"/>
      <c r="O897" s="1003"/>
      <c r="P897" s="1003"/>
      <c r="Q897" s="1003"/>
    </row>
    <row r="898" spans="3:17" ht="15.75" customHeight="1">
      <c r="C898" s="1003"/>
      <c r="D898" s="1003"/>
      <c r="E898" s="1003"/>
      <c r="F898" s="1003"/>
      <c r="G898" s="1003"/>
      <c r="H898" s="1003"/>
      <c r="I898" s="1003"/>
      <c r="J898" s="1003"/>
      <c r="K898" s="1003"/>
      <c r="L898" s="1003"/>
      <c r="M898" s="1003"/>
      <c r="N898" s="1003"/>
      <c r="O898" s="1003"/>
      <c r="P898" s="1003"/>
      <c r="Q898" s="1003"/>
    </row>
    <row r="899" spans="3:17" ht="15.75" customHeight="1">
      <c r="C899" s="1003"/>
      <c r="D899" s="1003"/>
      <c r="E899" s="1003"/>
      <c r="F899" s="1003"/>
      <c r="G899" s="1003"/>
      <c r="H899" s="1003"/>
      <c r="I899" s="1003"/>
      <c r="J899" s="1003"/>
      <c r="K899" s="1003"/>
      <c r="L899" s="1003"/>
      <c r="M899" s="1003"/>
      <c r="N899" s="1003"/>
      <c r="O899" s="1003"/>
      <c r="P899" s="1003"/>
      <c r="Q899" s="1003"/>
    </row>
    <row r="900" spans="3:17" ht="15.75" customHeight="1">
      <c r="C900" s="1003"/>
      <c r="D900" s="1003"/>
      <c r="E900" s="1003"/>
      <c r="F900" s="1003"/>
      <c r="G900" s="1003"/>
      <c r="H900" s="1003"/>
      <c r="I900" s="1003"/>
      <c r="J900" s="1003"/>
      <c r="K900" s="1003"/>
      <c r="L900" s="1003"/>
      <c r="M900" s="1003"/>
      <c r="N900" s="1003"/>
      <c r="O900" s="1003"/>
      <c r="P900" s="1003"/>
      <c r="Q900" s="1003"/>
    </row>
    <row r="901" spans="3:17" ht="15.75" customHeight="1">
      <c r="C901" s="1003"/>
      <c r="D901" s="1003"/>
      <c r="E901" s="1003"/>
      <c r="F901" s="1003"/>
      <c r="G901" s="1003"/>
      <c r="H901" s="1003"/>
      <c r="I901" s="1003"/>
      <c r="J901" s="1003"/>
      <c r="K901" s="1003"/>
      <c r="L901" s="1003"/>
      <c r="M901" s="1003"/>
      <c r="N901" s="1003"/>
      <c r="O901" s="1003"/>
      <c r="P901" s="1003"/>
      <c r="Q901" s="1003"/>
    </row>
    <row r="902" spans="3:17" ht="15.75" customHeight="1">
      <c r="C902" s="1003"/>
      <c r="D902" s="1003"/>
      <c r="E902" s="1003"/>
      <c r="F902" s="1003"/>
      <c r="G902" s="1003"/>
      <c r="H902" s="1003"/>
      <c r="I902" s="1003"/>
      <c r="J902" s="1003"/>
      <c r="K902" s="1003"/>
      <c r="L902" s="1003"/>
      <c r="M902" s="1003"/>
      <c r="N902" s="1003"/>
      <c r="O902" s="1003"/>
      <c r="P902" s="1003"/>
      <c r="Q902" s="1003"/>
    </row>
    <row r="903" spans="3:17" ht="15.75" customHeight="1">
      <c r="C903" s="1003"/>
      <c r="D903" s="1003"/>
      <c r="E903" s="1003"/>
      <c r="F903" s="1003"/>
      <c r="G903" s="1003"/>
      <c r="H903" s="1003"/>
      <c r="I903" s="1003"/>
      <c r="J903" s="1003"/>
      <c r="K903" s="1003"/>
      <c r="L903" s="1003"/>
      <c r="M903" s="1003"/>
      <c r="N903" s="1003"/>
      <c r="O903" s="1003"/>
      <c r="P903" s="1003"/>
      <c r="Q903" s="1003"/>
    </row>
    <row r="904" spans="3:17" ht="15.75" customHeight="1">
      <c r="C904" s="1003"/>
      <c r="D904" s="1003"/>
      <c r="E904" s="1003"/>
      <c r="F904" s="1003"/>
      <c r="G904" s="1003"/>
      <c r="H904" s="1003"/>
      <c r="I904" s="1003"/>
      <c r="J904" s="1003"/>
      <c r="K904" s="1003"/>
      <c r="L904" s="1003"/>
      <c r="M904" s="1003"/>
      <c r="N904" s="1003"/>
      <c r="O904" s="1003"/>
      <c r="P904" s="1003"/>
      <c r="Q904" s="1003"/>
    </row>
    <row r="905" spans="3:17" ht="15.75" customHeight="1">
      <c r="C905" s="1003"/>
      <c r="D905" s="1003"/>
      <c r="E905" s="1003"/>
      <c r="F905" s="1003"/>
      <c r="G905" s="1003"/>
      <c r="H905" s="1003"/>
      <c r="I905" s="1003"/>
      <c r="J905" s="1003"/>
      <c r="K905" s="1003"/>
      <c r="L905" s="1003"/>
      <c r="M905" s="1003"/>
      <c r="N905" s="1003"/>
      <c r="O905" s="1003"/>
      <c r="P905" s="1003"/>
      <c r="Q905" s="1003"/>
    </row>
    <row r="906" spans="3:17" ht="15.75" customHeight="1">
      <c r="C906" s="1003"/>
      <c r="D906" s="1003"/>
      <c r="E906" s="1003"/>
      <c r="F906" s="1003"/>
      <c r="G906" s="1003"/>
      <c r="H906" s="1003"/>
      <c r="I906" s="1003"/>
      <c r="J906" s="1003"/>
      <c r="K906" s="1003"/>
      <c r="L906" s="1003"/>
      <c r="M906" s="1003"/>
      <c r="N906" s="1003"/>
      <c r="O906" s="1003"/>
      <c r="P906" s="1003"/>
      <c r="Q906" s="1003"/>
    </row>
    <row r="907" spans="3:17" ht="15.75" customHeight="1">
      <c r="C907" s="1003"/>
      <c r="D907" s="1003"/>
      <c r="E907" s="1003"/>
      <c r="F907" s="1003"/>
      <c r="G907" s="1003"/>
      <c r="H907" s="1003"/>
      <c r="I907" s="1003"/>
      <c r="J907" s="1003"/>
      <c r="K907" s="1003"/>
      <c r="L907" s="1003"/>
      <c r="M907" s="1003"/>
      <c r="N907" s="1003"/>
      <c r="O907" s="1003"/>
      <c r="P907" s="1003"/>
      <c r="Q907" s="1003"/>
    </row>
    <row r="908" spans="3:17" ht="15.75" customHeight="1">
      <c r="C908" s="1003"/>
      <c r="D908" s="1003"/>
      <c r="E908" s="1003"/>
      <c r="F908" s="1003"/>
      <c r="G908" s="1003"/>
      <c r="H908" s="1003"/>
      <c r="I908" s="1003"/>
      <c r="J908" s="1003"/>
      <c r="K908" s="1003"/>
      <c r="L908" s="1003"/>
      <c r="M908" s="1003"/>
      <c r="N908" s="1003"/>
      <c r="O908" s="1003"/>
      <c r="P908" s="1003"/>
      <c r="Q908" s="1003"/>
    </row>
    <row r="909" spans="3:17" ht="15.75" customHeight="1">
      <c r="C909" s="1003"/>
      <c r="D909" s="1003"/>
      <c r="E909" s="1003"/>
      <c r="F909" s="1003"/>
      <c r="G909" s="1003"/>
      <c r="H909" s="1003"/>
      <c r="I909" s="1003"/>
      <c r="J909" s="1003"/>
      <c r="K909" s="1003"/>
      <c r="L909" s="1003"/>
      <c r="M909" s="1003"/>
      <c r="N909" s="1003"/>
      <c r="O909" s="1003"/>
      <c r="P909" s="1003"/>
      <c r="Q909" s="1003"/>
    </row>
    <row r="910" spans="3:17" ht="15.75" customHeight="1">
      <c r="C910" s="1003"/>
      <c r="D910" s="1003"/>
      <c r="E910" s="1003"/>
      <c r="F910" s="1003"/>
      <c r="G910" s="1003"/>
      <c r="H910" s="1003"/>
      <c r="I910" s="1003"/>
      <c r="J910" s="1003"/>
      <c r="K910" s="1003"/>
      <c r="L910" s="1003"/>
      <c r="M910" s="1003"/>
      <c r="N910" s="1003"/>
      <c r="O910" s="1003"/>
      <c r="P910" s="1003"/>
      <c r="Q910" s="1003"/>
    </row>
    <row r="911" spans="3:17" ht="15.75" customHeight="1">
      <c r="C911" s="1003"/>
      <c r="D911" s="1003"/>
      <c r="E911" s="1003"/>
      <c r="F911" s="1003"/>
      <c r="G911" s="1003"/>
      <c r="H911" s="1003"/>
      <c r="I911" s="1003"/>
      <c r="J911" s="1003"/>
      <c r="K911" s="1003"/>
      <c r="L911" s="1003"/>
      <c r="M911" s="1003"/>
      <c r="N911" s="1003"/>
      <c r="O911" s="1003"/>
      <c r="P911" s="1003"/>
      <c r="Q911" s="1003"/>
    </row>
    <row r="912" spans="3:17" ht="15.75" customHeight="1">
      <c r="C912" s="1003"/>
      <c r="D912" s="1003"/>
      <c r="E912" s="1003"/>
      <c r="F912" s="1003"/>
      <c r="G912" s="1003"/>
      <c r="H912" s="1003"/>
      <c r="I912" s="1003"/>
      <c r="J912" s="1003"/>
      <c r="K912" s="1003"/>
      <c r="L912" s="1003"/>
      <c r="M912" s="1003"/>
      <c r="N912" s="1003"/>
      <c r="O912" s="1003"/>
      <c r="P912" s="1003"/>
      <c r="Q912" s="1003"/>
    </row>
    <row r="913" spans="3:17" ht="15.75" customHeight="1">
      <c r="C913" s="1003"/>
      <c r="D913" s="1003"/>
      <c r="E913" s="1003"/>
      <c r="F913" s="1003"/>
      <c r="G913" s="1003"/>
      <c r="H913" s="1003"/>
      <c r="I913" s="1003"/>
      <c r="J913" s="1003"/>
      <c r="K913" s="1003"/>
      <c r="L913" s="1003"/>
      <c r="M913" s="1003"/>
      <c r="N913" s="1003"/>
      <c r="O913" s="1003"/>
      <c r="P913" s="1003"/>
      <c r="Q913" s="1003"/>
    </row>
    <row r="914" spans="3:17" ht="15.75" customHeight="1">
      <c r="C914" s="1003"/>
      <c r="D914" s="1003"/>
      <c r="E914" s="1003"/>
      <c r="F914" s="1003"/>
      <c r="G914" s="1003"/>
      <c r="H914" s="1003"/>
      <c r="I914" s="1003"/>
      <c r="J914" s="1003"/>
      <c r="K914" s="1003"/>
      <c r="L914" s="1003"/>
      <c r="M914" s="1003"/>
      <c r="N914" s="1003"/>
      <c r="O914" s="1003"/>
      <c r="P914" s="1003"/>
      <c r="Q914" s="1003"/>
    </row>
    <row r="915" spans="3:17" ht="15.75" customHeight="1">
      <c r="C915" s="1003"/>
      <c r="D915" s="1003"/>
      <c r="E915" s="1003"/>
      <c r="F915" s="1003"/>
      <c r="G915" s="1003"/>
      <c r="H915" s="1003"/>
      <c r="I915" s="1003"/>
      <c r="J915" s="1003"/>
      <c r="K915" s="1003"/>
      <c r="L915" s="1003"/>
      <c r="M915" s="1003"/>
      <c r="N915" s="1003"/>
      <c r="O915" s="1003"/>
      <c r="P915" s="1003"/>
      <c r="Q915" s="1003"/>
    </row>
    <row r="916" spans="3:17" ht="15.75" customHeight="1">
      <c r="C916" s="1003"/>
      <c r="D916" s="1003"/>
      <c r="E916" s="1003"/>
      <c r="F916" s="1003"/>
      <c r="G916" s="1003"/>
      <c r="H916" s="1003"/>
      <c r="I916" s="1003"/>
      <c r="J916" s="1003"/>
      <c r="K916" s="1003"/>
      <c r="L916" s="1003"/>
      <c r="M916" s="1003"/>
      <c r="N916" s="1003"/>
      <c r="O916" s="1003"/>
      <c r="P916" s="1003"/>
      <c r="Q916" s="1003"/>
    </row>
    <row r="917" spans="3:17" ht="15.75" customHeight="1">
      <c r="C917" s="1003"/>
      <c r="D917" s="1003"/>
      <c r="E917" s="1003"/>
      <c r="F917" s="1003"/>
      <c r="G917" s="1003"/>
      <c r="H917" s="1003"/>
      <c r="I917" s="1003"/>
      <c r="J917" s="1003"/>
      <c r="K917" s="1003"/>
      <c r="L917" s="1003"/>
      <c r="M917" s="1003"/>
      <c r="N917" s="1003"/>
      <c r="O917" s="1003"/>
      <c r="P917" s="1003"/>
      <c r="Q917" s="1003"/>
    </row>
    <row r="918" spans="3:17" ht="15.75" customHeight="1">
      <c r="C918" s="1003"/>
      <c r="D918" s="1003"/>
      <c r="E918" s="1003"/>
      <c r="F918" s="1003"/>
      <c r="G918" s="1003"/>
      <c r="H918" s="1003"/>
      <c r="I918" s="1003"/>
      <c r="J918" s="1003"/>
      <c r="K918" s="1003"/>
      <c r="L918" s="1003"/>
      <c r="M918" s="1003"/>
      <c r="N918" s="1003"/>
      <c r="O918" s="1003"/>
      <c r="P918" s="1003"/>
      <c r="Q918" s="1003"/>
    </row>
    <row r="919" spans="3:17" ht="15.75" customHeight="1">
      <c r="C919" s="1003"/>
      <c r="D919" s="1003"/>
      <c r="E919" s="1003"/>
      <c r="F919" s="1003"/>
      <c r="G919" s="1003"/>
      <c r="H919" s="1003"/>
      <c r="I919" s="1003"/>
      <c r="J919" s="1003"/>
      <c r="K919" s="1003"/>
      <c r="L919" s="1003"/>
      <c r="M919" s="1003"/>
      <c r="N919" s="1003"/>
      <c r="O919" s="1003"/>
      <c r="P919" s="1003"/>
      <c r="Q919" s="1003"/>
    </row>
    <row r="920" spans="3:17" ht="15.75" customHeight="1">
      <c r="C920" s="1003"/>
      <c r="D920" s="1003"/>
      <c r="E920" s="1003"/>
      <c r="F920" s="1003"/>
      <c r="G920" s="1003"/>
      <c r="H920" s="1003"/>
      <c r="I920" s="1003"/>
      <c r="J920" s="1003"/>
      <c r="K920" s="1003"/>
      <c r="L920" s="1003"/>
      <c r="M920" s="1003"/>
      <c r="N920" s="1003"/>
      <c r="O920" s="1003"/>
      <c r="P920" s="1003"/>
      <c r="Q920" s="1003"/>
    </row>
    <row r="921" spans="3:17" ht="15.75" customHeight="1">
      <c r="C921" s="1003"/>
      <c r="D921" s="1003"/>
      <c r="E921" s="1003"/>
      <c r="F921" s="1003"/>
      <c r="G921" s="1003"/>
      <c r="H921" s="1003"/>
      <c r="I921" s="1003"/>
      <c r="J921" s="1003"/>
      <c r="K921" s="1003"/>
      <c r="L921" s="1003"/>
      <c r="M921" s="1003"/>
      <c r="N921" s="1003"/>
      <c r="O921" s="1003"/>
      <c r="P921" s="1003"/>
      <c r="Q921" s="1003"/>
    </row>
    <row r="922" spans="3:17" ht="15.75" customHeight="1">
      <c r="C922" s="1003"/>
      <c r="D922" s="1003"/>
      <c r="E922" s="1003"/>
      <c r="F922" s="1003"/>
      <c r="G922" s="1003"/>
      <c r="H922" s="1003"/>
      <c r="I922" s="1003"/>
      <c r="J922" s="1003"/>
      <c r="K922" s="1003"/>
      <c r="L922" s="1003"/>
      <c r="M922" s="1003"/>
      <c r="N922" s="1003"/>
      <c r="O922" s="1003"/>
      <c r="P922" s="1003"/>
      <c r="Q922" s="1003"/>
    </row>
    <row r="923" spans="3:17" ht="15.75" customHeight="1">
      <c r="C923" s="1003"/>
      <c r="D923" s="1003"/>
      <c r="E923" s="1003"/>
      <c r="F923" s="1003"/>
      <c r="G923" s="1003"/>
      <c r="H923" s="1003"/>
      <c r="I923" s="1003"/>
      <c r="J923" s="1003"/>
      <c r="K923" s="1003"/>
      <c r="L923" s="1003"/>
      <c r="M923" s="1003"/>
      <c r="N923" s="1003"/>
      <c r="O923" s="1003"/>
      <c r="P923" s="1003"/>
      <c r="Q923" s="1003"/>
    </row>
    <row r="924" spans="3:17" ht="15.75" customHeight="1">
      <c r="C924" s="1003"/>
      <c r="D924" s="1003"/>
      <c r="E924" s="1003"/>
      <c r="F924" s="1003"/>
      <c r="G924" s="1003"/>
      <c r="H924" s="1003"/>
      <c r="I924" s="1003"/>
      <c r="J924" s="1003"/>
      <c r="K924" s="1003"/>
      <c r="L924" s="1003"/>
      <c r="M924" s="1003"/>
      <c r="N924" s="1003"/>
      <c r="O924" s="1003"/>
      <c r="P924" s="1003"/>
      <c r="Q924" s="1003"/>
    </row>
    <row r="925" spans="3:17" ht="15.75" customHeight="1">
      <c r="C925" s="1003"/>
      <c r="D925" s="1003"/>
      <c r="E925" s="1003"/>
      <c r="F925" s="1003"/>
      <c r="G925" s="1003"/>
      <c r="H925" s="1003"/>
      <c r="I925" s="1003"/>
      <c r="J925" s="1003"/>
      <c r="K925" s="1003"/>
      <c r="L925" s="1003"/>
      <c r="M925" s="1003"/>
      <c r="N925" s="1003"/>
      <c r="O925" s="1003"/>
      <c r="P925" s="1003"/>
      <c r="Q925" s="1003"/>
    </row>
    <row r="926" spans="3:17" ht="15.75" customHeight="1">
      <c r="C926" s="1003"/>
      <c r="D926" s="1003"/>
      <c r="E926" s="1003"/>
      <c r="F926" s="1003"/>
      <c r="G926" s="1003"/>
      <c r="H926" s="1003"/>
      <c r="I926" s="1003"/>
      <c r="J926" s="1003"/>
      <c r="K926" s="1003"/>
      <c r="L926" s="1003"/>
      <c r="M926" s="1003"/>
      <c r="N926" s="1003"/>
      <c r="O926" s="1003"/>
      <c r="P926" s="1003"/>
      <c r="Q926" s="1003"/>
    </row>
    <row r="927" spans="3:17" ht="15.75" customHeight="1">
      <c r="C927" s="1003"/>
      <c r="D927" s="1003"/>
      <c r="E927" s="1003"/>
      <c r="F927" s="1003"/>
      <c r="G927" s="1003"/>
      <c r="H927" s="1003"/>
      <c r="I927" s="1003"/>
      <c r="J927" s="1003"/>
      <c r="K927" s="1003"/>
      <c r="L927" s="1003"/>
      <c r="M927" s="1003"/>
      <c r="N927" s="1003"/>
      <c r="O927" s="1003"/>
      <c r="P927" s="1003"/>
      <c r="Q927" s="1003"/>
    </row>
    <row r="928" spans="3:17" ht="15.75" customHeight="1">
      <c r="C928" s="1003"/>
      <c r="D928" s="1003"/>
      <c r="E928" s="1003"/>
      <c r="F928" s="1003"/>
      <c r="G928" s="1003"/>
      <c r="H928" s="1003"/>
      <c r="I928" s="1003"/>
      <c r="J928" s="1003"/>
      <c r="K928" s="1003"/>
      <c r="L928" s="1003"/>
      <c r="M928" s="1003"/>
      <c r="N928" s="1003"/>
      <c r="O928" s="1003"/>
      <c r="P928" s="1003"/>
      <c r="Q928" s="1003"/>
    </row>
    <row r="929" spans="3:17" ht="15.75" customHeight="1">
      <c r="C929" s="1003"/>
      <c r="D929" s="1003"/>
      <c r="E929" s="1003"/>
      <c r="F929" s="1003"/>
      <c r="G929" s="1003"/>
      <c r="H929" s="1003"/>
      <c r="I929" s="1003"/>
      <c r="J929" s="1003"/>
      <c r="K929" s="1003"/>
      <c r="L929" s="1003"/>
      <c r="M929" s="1003"/>
      <c r="N929" s="1003"/>
      <c r="O929" s="1003"/>
      <c r="P929" s="1003"/>
      <c r="Q929" s="1003"/>
    </row>
    <row r="930" spans="3:17" ht="15.75" customHeight="1">
      <c r="C930" s="1003"/>
      <c r="D930" s="1003"/>
      <c r="E930" s="1003"/>
      <c r="F930" s="1003"/>
      <c r="G930" s="1003"/>
      <c r="H930" s="1003"/>
      <c r="I930" s="1003"/>
      <c r="J930" s="1003"/>
      <c r="K930" s="1003"/>
      <c r="L930" s="1003"/>
      <c r="M930" s="1003"/>
      <c r="N930" s="1003"/>
      <c r="O930" s="1003"/>
      <c r="P930" s="1003"/>
      <c r="Q930" s="1003"/>
    </row>
    <row r="931" spans="3:17" ht="15.75" customHeight="1">
      <c r="C931" s="1003"/>
      <c r="D931" s="1003"/>
      <c r="E931" s="1003"/>
      <c r="F931" s="1003"/>
      <c r="G931" s="1003"/>
      <c r="H931" s="1003"/>
      <c r="I931" s="1003"/>
      <c r="J931" s="1003"/>
      <c r="K931" s="1003"/>
      <c r="L931" s="1003"/>
      <c r="M931" s="1003"/>
      <c r="N931" s="1003"/>
      <c r="O931" s="1003"/>
      <c r="P931" s="1003"/>
      <c r="Q931" s="1003"/>
    </row>
    <row r="932" spans="3:17" ht="15.75" customHeight="1">
      <c r="C932" s="1003"/>
      <c r="D932" s="1003"/>
      <c r="E932" s="1003"/>
      <c r="F932" s="1003"/>
      <c r="G932" s="1003"/>
      <c r="H932" s="1003"/>
      <c r="I932" s="1003"/>
      <c r="J932" s="1003"/>
      <c r="K932" s="1003"/>
      <c r="L932" s="1003"/>
      <c r="M932" s="1003"/>
      <c r="N932" s="1003"/>
      <c r="O932" s="1003"/>
      <c r="P932" s="1003"/>
      <c r="Q932" s="1003"/>
    </row>
    <row r="933" spans="3:17" ht="15.75" customHeight="1">
      <c r="C933" s="1003"/>
      <c r="D933" s="1003"/>
      <c r="E933" s="1003"/>
      <c r="F933" s="1003"/>
      <c r="G933" s="1003"/>
      <c r="H933" s="1003"/>
      <c r="I933" s="1003"/>
      <c r="J933" s="1003"/>
      <c r="K933" s="1003"/>
      <c r="L933" s="1003"/>
      <c r="M933" s="1003"/>
      <c r="N933" s="1003"/>
      <c r="O933" s="1003"/>
      <c r="P933" s="1003"/>
      <c r="Q933" s="1003"/>
    </row>
    <row r="934" spans="3:17" ht="15.75" customHeight="1">
      <c r="C934" s="1003"/>
      <c r="D934" s="1003"/>
      <c r="E934" s="1003"/>
      <c r="F934" s="1003"/>
      <c r="G934" s="1003"/>
      <c r="H934" s="1003"/>
      <c r="I934" s="1003"/>
      <c r="J934" s="1003"/>
      <c r="K934" s="1003"/>
      <c r="L934" s="1003"/>
      <c r="M934" s="1003"/>
      <c r="N934" s="1003"/>
      <c r="O934" s="1003"/>
      <c r="P934" s="1003"/>
      <c r="Q934" s="1003"/>
    </row>
    <row r="935" spans="3:17" ht="15.75" customHeight="1">
      <c r="C935" s="1003"/>
      <c r="D935" s="1003"/>
      <c r="E935" s="1003"/>
      <c r="F935" s="1003"/>
      <c r="G935" s="1003"/>
      <c r="H935" s="1003"/>
      <c r="I935" s="1003"/>
      <c r="J935" s="1003"/>
      <c r="K935" s="1003"/>
      <c r="L935" s="1003"/>
      <c r="M935" s="1003"/>
      <c r="N935" s="1003"/>
      <c r="O935" s="1003"/>
      <c r="P935" s="1003"/>
      <c r="Q935" s="1003"/>
    </row>
    <row r="936" spans="3:17" ht="15.75" customHeight="1">
      <c r="C936" s="1003"/>
      <c r="D936" s="1003"/>
      <c r="E936" s="1003"/>
      <c r="F936" s="1003"/>
      <c r="G936" s="1003"/>
      <c r="H936" s="1003"/>
      <c r="I936" s="1003"/>
      <c r="J936" s="1003"/>
      <c r="K936" s="1003"/>
      <c r="L936" s="1003"/>
      <c r="M936" s="1003"/>
      <c r="N936" s="1003"/>
      <c r="O936" s="1003"/>
      <c r="P936" s="1003"/>
      <c r="Q936" s="1003"/>
    </row>
    <row r="937" spans="3:17" ht="15.75" customHeight="1">
      <c r="C937" s="1003"/>
      <c r="D937" s="1003"/>
      <c r="E937" s="1003"/>
      <c r="F937" s="1003"/>
      <c r="G937" s="1003"/>
      <c r="H937" s="1003"/>
      <c r="I937" s="1003"/>
      <c r="J937" s="1003"/>
      <c r="K937" s="1003"/>
      <c r="L937" s="1003"/>
      <c r="M937" s="1003"/>
      <c r="N937" s="1003"/>
      <c r="O937" s="1003"/>
      <c r="P937" s="1003"/>
      <c r="Q937" s="1003"/>
    </row>
    <row r="938" spans="3:17" ht="15.75" customHeight="1">
      <c r="C938" s="1003"/>
      <c r="D938" s="1003"/>
      <c r="E938" s="1003"/>
      <c r="F938" s="1003"/>
      <c r="G938" s="1003"/>
      <c r="H938" s="1003"/>
      <c r="I938" s="1003"/>
      <c r="J938" s="1003"/>
      <c r="K938" s="1003"/>
      <c r="L938" s="1003"/>
      <c r="M938" s="1003"/>
      <c r="N938" s="1003"/>
      <c r="O938" s="1003"/>
      <c r="P938" s="1003"/>
      <c r="Q938" s="1003"/>
    </row>
    <row r="939" spans="3:17" ht="15.75" customHeight="1">
      <c r="C939" s="1003"/>
      <c r="D939" s="1003"/>
      <c r="E939" s="1003"/>
      <c r="F939" s="1003"/>
      <c r="G939" s="1003"/>
      <c r="H939" s="1003"/>
      <c r="I939" s="1003"/>
      <c r="J939" s="1003"/>
      <c r="K939" s="1003"/>
      <c r="L939" s="1003"/>
      <c r="M939" s="1003"/>
      <c r="N939" s="1003"/>
      <c r="O939" s="1003"/>
      <c r="P939" s="1003"/>
      <c r="Q939" s="1003"/>
    </row>
    <row r="940" spans="3:17" ht="15.75" customHeight="1">
      <c r="C940" s="1003"/>
      <c r="D940" s="1003"/>
      <c r="E940" s="1003"/>
      <c r="F940" s="1003"/>
      <c r="G940" s="1003"/>
      <c r="H940" s="1003"/>
      <c r="I940" s="1003"/>
      <c r="J940" s="1003"/>
      <c r="K940" s="1003"/>
      <c r="L940" s="1003"/>
      <c r="M940" s="1003"/>
      <c r="N940" s="1003"/>
      <c r="O940" s="1003"/>
      <c r="P940" s="1003"/>
      <c r="Q940" s="1003"/>
    </row>
    <row r="941" spans="3:17" ht="15.75" customHeight="1">
      <c r="C941" s="1003"/>
      <c r="D941" s="1003"/>
      <c r="E941" s="1003"/>
      <c r="F941" s="1003"/>
      <c r="G941" s="1003"/>
      <c r="H941" s="1003"/>
      <c r="I941" s="1003"/>
      <c r="J941" s="1003"/>
      <c r="K941" s="1003"/>
      <c r="L941" s="1003"/>
      <c r="M941" s="1003"/>
      <c r="N941" s="1003"/>
      <c r="O941" s="1003"/>
      <c r="P941" s="1003"/>
      <c r="Q941" s="1003"/>
    </row>
    <row r="942" spans="3:17" ht="15.75" customHeight="1">
      <c r="C942" s="1003"/>
      <c r="D942" s="1003"/>
      <c r="E942" s="1003"/>
      <c r="F942" s="1003"/>
      <c r="G942" s="1003"/>
      <c r="H942" s="1003"/>
      <c r="I942" s="1003"/>
      <c r="J942" s="1003"/>
      <c r="K942" s="1003"/>
      <c r="L942" s="1003"/>
      <c r="M942" s="1003"/>
      <c r="N942" s="1003"/>
      <c r="O942" s="1003"/>
      <c r="P942" s="1003"/>
      <c r="Q942" s="1003"/>
    </row>
    <row r="943" spans="3:17" ht="15.75" customHeight="1">
      <c r="C943" s="1003"/>
      <c r="D943" s="1003"/>
      <c r="E943" s="1003"/>
      <c r="F943" s="1003"/>
      <c r="G943" s="1003"/>
      <c r="H943" s="1003"/>
      <c r="I943" s="1003"/>
      <c r="J943" s="1003"/>
      <c r="K943" s="1003"/>
      <c r="L943" s="1003"/>
      <c r="M943" s="1003"/>
      <c r="N943" s="1003"/>
      <c r="O943" s="1003"/>
      <c r="P943" s="1003"/>
      <c r="Q943" s="1003"/>
    </row>
    <row r="944" spans="3:17" ht="15.75" customHeight="1">
      <c r="C944" s="1003"/>
      <c r="D944" s="1003"/>
      <c r="E944" s="1003"/>
      <c r="F944" s="1003"/>
      <c r="G944" s="1003"/>
      <c r="H944" s="1003"/>
      <c r="I944" s="1003"/>
      <c r="J944" s="1003"/>
      <c r="K944" s="1003"/>
      <c r="L944" s="1003"/>
      <c r="M944" s="1003"/>
      <c r="N944" s="1003"/>
      <c r="O944" s="1003"/>
      <c r="P944" s="1003"/>
      <c r="Q944" s="1003"/>
    </row>
    <row r="945" spans="3:17" ht="15.75" customHeight="1">
      <c r="C945" s="1003"/>
      <c r="D945" s="1003"/>
      <c r="E945" s="1003"/>
      <c r="F945" s="1003"/>
      <c r="G945" s="1003"/>
      <c r="H945" s="1003"/>
      <c r="I945" s="1003"/>
      <c r="J945" s="1003"/>
      <c r="K945" s="1003"/>
      <c r="L945" s="1003"/>
      <c r="M945" s="1003"/>
      <c r="N945" s="1003"/>
      <c r="O945" s="1003"/>
      <c r="P945" s="1003"/>
      <c r="Q945" s="1003"/>
    </row>
    <row r="946" spans="3:17" ht="15.75" customHeight="1">
      <c r="C946" s="1003"/>
      <c r="D946" s="1003"/>
      <c r="E946" s="1003"/>
      <c r="F946" s="1003"/>
      <c r="G946" s="1003"/>
      <c r="H946" s="1003"/>
      <c r="I946" s="1003"/>
      <c r="J946" s="1003"/>
      <c r="K946" s="1003"/>
      <c r="L946" s="1003"/>
      <c r="M946" s="1003"/>
      <c r="N946" s="1003"/>
      <c r="O946" s="1003"/>
      <c r="P946" s="1003"/>
      <c r="Q946" s="1003"/>
    </row>
    <row r="947" spans="3:17" ht="15.75" customHeight="1">
      <c r="C947" s="1003"/>
      <c r="D947" s="1003"/>
      <c r="E947" s="1003"/>
      <c r="F947" s="1003"/>
      <c r="G947" s="1003"/>
      <c r="H947" s="1003"/>
      <c r="I947" s="1003"/>
      <c r="J947" s="1003"/>
      <c r="K947" s="1003"/>
      <c r="L947" s="1003"/>
      <c r="M947" s="1003"/>
      <c r="N947" s="1003"/>
      <c r="O947" s="1003"/>
      <c r="P947" s="1003"/>
      <c r="Q947" s="1003"/>
    </row>
    <row r="948" spans="3:17" ht="15.75" customHeight="1">
      <c r="C948" s="1003"/>
      <c r="D948" s="1003"/>
      <c r="E948" s="1003"/>
      <c r="F948" s="1003"/>
      <c r="G948" s="1003"/>
      <c r="H948" s="1003"/>
      <c r="I948" s="1003"/>
      <c r="J948" s="1003"/>
      <c r="K948" s="1003"/>
      <c r="L948" s="1003"/>
      <c r="M948" s="1003"/>
      <c r="N948" s="1003"/>
      <c r="O948" s="1003"/>
      <c r="P948" s="1003"/>
      <c r="Q948" s="1003"/>
    </row>
    <row r="949" spans="3:17" ht="15.75" customHeight="1">
      <c r="C949" s="1003"/>
      <c r="D949" s="1003"/>
      <c r="E949" s="1003"/>
      <c r="F949" s="1003"/>
      <c r="G949" s="1003"/>
      <c r="H949" s="1003"/>
      <c r="I949" s="1003"/>
      <c r="J949" s="1003"/>
      <c r="K949" s="1003"/>
      <c r="L949" s="1003"/>
      <c r="M949" s="1003"/>
      <c r="N949" s="1003"/>
      <c r="O949" s="1003"/>
      <c r="P949" s="1003"/>
      <c r="Q949" s="1003"/>
    </row>
    <row r="950" spans="3:17" ht="15.75" customHeight="1">
      <c r="C950" s="1003"/>
      <c r="D950" s="1003"/>
      <c r="E950" s="1003"/>
      <c r="F950" s="1003"/>
      <c r="G950" s="1003"/>
      <c r="H950" s="1003"/>
      <c r="I950" s="1003"/>
      <c r="J950" s="1003"/>
      <c r="K950" s="1003"/>
      <c r="L950" s="1003"/>
      <c r="M950" s="1003"/>
      <c r="N950" s="1003"/>
      <c r="O950" s="1003"/>
      <c r="P950" s="1003"/>
      <c r="Q950" s="1003"/>
    </row>
    <row r="951" spans="3:17" ht="15.75" customHeight="1">
      <c r="C951" s="1003"/>
      <c r="D951" s="1003"/>
      <c r="E951" s="1003"/>
      <c r="F951" s="1003"/>
      <c r="G951" s="1003"/>
      <c r="H951" s="1003"/>
      <c r="I951" s="1003"/>
      <c r="J951" s="1003"/>
      <c r="K951" s="1003"/>
      <c r="L951" s="1003"/>
      <c r="M951" s="1003"/>
      <c r="N951" s="1003"/>
      <c r="O951" s="1003"/>
      <c r="P951" s="1003"/>
      <c r="Q951" s="1003"/>
    </row>
    <row r="952" spans="3:17" ht="15.75" customHeight="1">
      <c r="C952" s="1003"/>
      <c r="D952" s="1003"/>
      <c r="E952" s="1003"/>
      <c r="F952" s="1003"/>
      <c r="G952" s="1003"/>
      <c r="H952" s="1003"/>
      <c r="I952" s="1003"/>
      <c r="J952" s="1003"/>
      <c r="K952" s="1003"/>
      <c r="L952" s="1003"/>
      <c r="M952" s="1003"/>
      <c r="N952" s="1003"/>
      <c r="O952" s="1003"/>
      <c r="P952" s="1003"/>
      <c r="Q952" s="1003"/>
    </row>
    <row r="953" spans="3:17" ht="15.75" customHeight="1">
      <c r="C953" s="1003"/>
      <c r="D953" s="1003"/>
      <c r="E953" s="1003"/>
      <c r="F953" s="1003"/>
      <c r="G953" s="1003"/>
      <c r="H953" s="1003"/>
      <c r="I953" s="1003"/>
      <c r="J953" s="1003"/>
      <c r="K953" s="1003"/>
      <c r="L953" s="1003"/>
      <c r="M953" s="1003"/>
      <c r="N953" s="1003"/>
      <c r="O953" s="1003"/>
      <c r="P953" s="1003"/>
      <c r="Q953" s="1003"/>
    </row>
    <row r="954" spans="3:17" ht="15.75" customHeight="1">
      <c r="C954" s="1003"/>
      <c r="D954" s="1003"/>
      <c r="E954" s="1003"/>
      <c r="F954" s="1003"/>
      <c r="G954" s="1003"/>
      <c r="H954" s="1003"/>
      <c r="I954" s="1003"/>
      <c r="J954" s="1003"/>
      <c r="K954" s="1003"/>
      <c r="L954" s="1003"/>
      <c r="M954" s="1003"/>
      <c r="N954" s="1003"/>
      <c r="O954" s="1003"/>
      <c r="P954" s="1003"/>
      <c r="Q954" s="1003"/>
    </row>
    <row r="955" spans="3:17" ht="15.75" customHeight="1">
      <c r="C955" s="1003"/>
      <c r="D955" s="1003"/>
      <c r="E955" s="1003"/>
      <c r="F955" s="1003"/>
      <c r="G955" s="1003"/>
      <c r="H955" s="1003"/>
      <c r="I955" s="1003"/>
      <c r="J955" s="1003"/>
      <c r="K955" s="1003"/>
      <c r="L955" s="1003"/>
      <c r="M955" s="1003"/>
      <c r="N955" s="1003"/>
      <c r="O955" s="1003"/>
      <c r="P955" s="1003"/>
      <c r="Q955" s="1003"/>
    </row>
    <row r="956" spans="3:17" ht="15.75" customHeight="1">
      <c r="C956" s="1003"/>
      <c r="D956" s="1003"/>
      <c r="E956" s="1003"/>
      <c r="F956" s="1003"/>
      <c r="G956" s="1003"/>
      <c r="H956" s="1003"/>
      <c r="I956" s="1003"/>
      <c r="J956" s="1003"/>
      <c r="K956" s="1003"/>
      <c r="L956" s="1003"/>
      <c r="M956" s="1003"/>
      <c r="N956" s="1003"/>
      <c r="O956" s="1003"/>
      <c r="P956" s="1003"/>
      <c r="Q956" s="1003"/>
    </row>
    <row r="957" spans="3:17" ht="15.75" customHeight="1">
      <c r="C957" s="1003"/>
      <c r="D957" s="1003"/>
      <c r="E957" s="1003"/>
      <c r="F957" s="1003"/>
      <c r="G957" s="1003"/>
      <c r="H957" s="1003"/>
      <c r="I957" s="1003"/>
      <c r="J957" s="1003"/>
      <c r="K957" s="1003"/>
      <c r="L957" s="1003"/>
      <c r="M957" s="1003"/>
      <c r="N957" s="1003"/>
      <c r="O957" s="1003"/>
      <c r="P957" s="1003"/>
      <c r="Q957" s="1003"/>
    </row>
    <row r="958" spans="3:17" ht="15.75" customHeight="1">
      <c r="C958" s="1003"/>
      <c r="D958" s="1003"/>
      <c r="E958" s="1003"/>
      <c r="F958" s="1003"/>
      <c r="G958" s="1003"/>
      <c r="H958" s="1003"/>
      <c r="I958" s="1003"/>
      <c r="J958" s="1003"/>
      <c r="K958" s="1003"/>
      <c r="L958" s="1003"/>
      <c r="M958" s="1003"/>
      <c r="N958" s="1003"/>
      <c r="O958" s="1003"/>
      <c r="P958" s="1003"/>
      <c r="Q958" s="1003"/>
    </row>
    <row r="959" spans="3:17" ht="15.75" customHeight="1">
      <c r="C959" s="1003"/>
      <c r="D959" s="1003"/>
      <c r="E959" s="1003"/>
      <c r="F959" s="1003"/>
      <c r="G959" s="1003"/>
      <c r="H959" s="1003"/>
      <c r="I959" s="1003"/>
      <c r="J959" s="1003"/>
      <c r="K959" s="1003"/>
      <c r="L959" s="1003"/>
      <c r="M959" s="1003"/>
      <c r="N959" s="1003"/>
      <c r="O959" s="1003"/>
      <c r="P959" s="1003"/>
      <c r="Q959" s="1003"/>
    </row>
    <row r="960" spans="3:17" ht="15.75" customHeight="1">
      <c r="C960" s="1003"/>
      <c r="D960" s="1003"/>
      <c r="E960" s="1003"/>
      <c r="F960" s="1003"/>
      <c r="G960" s="1003"/>
      <c r="H960" s="1003"/>
      <c r="I960" s="1003"/>
      <c r="J960" s="1003"/>
      <c r="K960" s="1003"/>
      <c r="L960" s="1003"/>
      <c r="M960" s="1003"/>
      <c r="N960" s="1003"/>
      <c r="O960" s="1003"/>
      <c r="P960" s="1003"/>
      <c r="Q960" s="1003"/>
    </row>
    <row r="961" spans="3:17" ht="15.75" customHeight="1">
      <c r="C961" s="1003"/>
      <c r="D961" s="1003"/>
      <c r="E961" s="1003"/>
      <c r="F961" s="1003"/>
      <c r="G961" s="1003"/>
      <c r="H961" s="1003"/>
      <c r="I961" s="1003"/>
      <c r="J961" s="1003"/>
      <c r="K961" s="1003"/>
      <c r="L961" s="1003"/>
      <c r="M961" s="1003"/>
      <c r="N961" s="1003"/>
      <c r="O961" s="1003"/>
      <c r="P961" s="1003"/>
      <c r="Q961" s="1003"/>
    </row>
    <row r="962" spans="3:17" ht="15.75" customHeight="1">
      <c r="C962" s="1003"/>
      <c r="D962" s="1003"/>
      <c r="E962" s="1003"/>
      <c r="F962" s="1003"/>
      <c r="G962" s="1003"/>
      <c r="H962" s="1003"/>
      <c r="I962" s="1003"/>
      <c r="J962" s="1003"/>
      <c r="K962" s="1003"/>
      <c r="L962" s="1003"/>
      <c r="M962" s="1003"/>
      <c r="N962" s="1003"/>
      <c r="O962" s="1003"/>
      <c r="P962" s="1003"/>
      <c r="Q962" s="1003"/>
    </row>
    <row r="963" spans="3:17" ht="15.75" customHeight="1">
      <c r="C963" s="1003"/>
      <c r="D963" s="1003"/>
      <c r="E963" s="1003"/>
      <c r="F963" s="1003"/>
      <c r="G963" s="1003"/>
      <c r="H963" s="1003"/>
      <c r="I963" s="1003"/>
      <c r="J963" s="1003"/>
      <c r="K963" s="1003"/>
      <c r="L963" s="1003"/>
      <c r="M963" s="1003"/>
      <c r="N963" s="1003"/>
      <c r="O963" s="1003"/>
      <c r="P963" s="1003"/>
      <c r="Q963" s="1003"/>
    </row>
    <row r="964" spans="3:17" ht="15.75" customHeight="1">
      <c r="C964" s="1003"/>
      <c r="D964" s="1003"/>
      <c r="E964" s="1003"/>
      <c r="F964" s="1003"/>
      <c r="G964" s="1003"/>
      <c r="H964" s="1003"/>
      <c r="I964" s="1003"/>
      <c r="J964" s="1003"/>
      <c r="K964" s="1003"/>
      <c r="L964" s="1003"/>
      <c r="M964" s="1003"/>
      <c r="N964" s="1003"/>
      <c r="O964" s="1003"/>
      <c r="P964" s="1003"/>
      <c r="Q964" s="1003"/>
    </row>
    <row r="965" spans="3:17" ht="15.75" customHeight="1">
      <c r="C965" s="1003"/>
      <c r="D965" s="1003"/>
      <c r="E965" s="1003"/>
      <c r="F965" s="1003"/>
      <c r="G965" s="1003"/>
      <c r="H965" s="1003"/>
      <c r="I965" s="1003"/>
      <c r="J965" s="1003"/>
      <c r="K965" s="1003"/>
      <c r="L965" s="1003"/>
      <c r="M965" s="1003"/>
      <c r="N965" s="1003"/>
      <c r="O965" s="1003"/>
      <c r="P965" s="1003"/>
      <c r="Q965" s="1003"/>
    </row>
    <row r="966" spans="3:17" ht="15.75" customHeight="1">
      <c r="C966" s="1003"/>
      <c r="D966" s="1003"/>
      <c r="E966" s="1003"/>
      <c r="F966" s="1003"/>
      <c r="G966" s="1003"/>
      <c r="H966" s="1003"/>
      <c r="I966" s="1003"/>
      <c r="J966" s="1003"/>
      <c r="K966" s="1003"/>
      <c r="L966" s="1003"/>
      <c r="M966" s="1003"/>
      <c r="N966" s="1003"/>
      <c r="O966" s="1003"/>
      <c r="P966" s="1003"/>
      <c r="Q966" s="1003"/>
    </row>
    <row r="967" spans="3:17" ht="15.75" customHeight="1">
      <c r="C967" s="1003"/>
      <c r="D967" s="1003"/>
      <c r="E967" s="1003"/>
      <c r="F967" s="1003"/>
      <c r="G967" s="1003"/>
      <c r="H967" s="1003"/>
      <c r="I967" s="1003"/>
      <c r="J967" s="1003"/>
      <c r="K967" s="1003"/>
      <c r="L967" s="1003"/>
      <c r="M967" s="1003"/>
      <c r="N967" s="1003"/>
      <c r="O967" s="1003"/>
      <c r="P967" s="1003"/>
      <c r="Q967" s="1003"/>
    </row>
    <row r="968" spans="3:17" ht="15.75" customHeight="1">
      <c r="C968" s="1003"/>
      <c r="D968" s="1003"/>
      <c r="E968" s="1003"/>
      <c r="F968" s="1003"/>
      <c r="G968" s="1003"/>
      <c r="H968" s="1003"/>
      <c r="I968" s="1003"/>
      <c r="J968" s="1003"/>
      <c r="K968" s="1003"/>
      <c r="L968" s="1003"/>
      <c r="M968" s="1003"/>
      <c r="N968" s="1003"/>
      <c r="O968" s="1003"/>
      <c r="P968" s="1003"/>
      <c r="Q968" s="1003"/>
    </row>
    <row r="969" spans="3:17" ht="15.75" customHeight="1">
      <c r="C969" s="1003"/>
      <c r="D969" s="1003"/>
      <c r="E969" s="1003"/>
      <c r="F969" s="1003"/>
      <c r="G969" s="1003"/>
      <c r="H969" s="1003"/>
      <c r="I969" s="1003"/>
      <c r="J969" s="1003"/>
      <c r="K969" s="1003"/>
      <c r="L969" s="1003"/>
      <c r="M969" s="1003"/>
      <c r="N969" s="1003"/>
      <c r="O969" s="1003"/>
      <c r="P969" s="1003"/>
      <c r="Q969" s="1003"/>
    </row>
    <row r="970" spans="3:17" ht="15.75" customHeight="1">
      <c r="C970" s="1003"/>
      <c r="D970" s="1003"/>
      <c r="E970" s="1003"/>
      <c r="F970" s="1003"/>
      <c r="G970" s="1003"/>
      <c r="H970" s="1003"/>
      <c r="I970" s="1003"/>
      <c r="J970" s="1003"/>
      <c r="K970" s="1003"/>
      <c r="L970" s="1003"/>
      <c r="M970" s="1003"/>
      <c r="N970" s="1003"/>
      <c r="O970" s="1003"/>
      <c r="P970" s="1003"/>
      <c r="Q970" s="1003"/>
    </row>
    <row r="971" spans="3:17" ht="15.75" customHeight="1">
      <c r="C971" s="1003"/>
      <c r="D971" s="1003"/>
      <c r="E971" s="1003"/>
      <c r="F971" s="1003"/>
      <c r="G971" s="1003"/>
      <c r="H971" s="1003"/>
      <c r="I971" s="1003"/>
      <c r="J971" s="1003"/>
      <c r="K971" s="1003"/>
      <c r="L971" s="1003"/>
      <c r="M971" s="1003"/>
      <c r="N971" s="1003"/>
      <c r="O971" s="1003"/>
      <c r="P971" s="1003"/>
      <c r="Q971" s="1003"/>
    </row>
    <row r="972" spans="3:17" ht="15.75" customHeight="1">
      <c r="C972" s="1003"/>
      <c r="D972" s="1003"/>
      <c r="E972" s="1003"/>
      <c r="F972" s="1003"/>
      <c r="G972" s="1003"/>
      <c r="H972" s="1003"/>
      <c r="I972" s="1003"/>
      <c r="J972" s="1003"/>
      <c r="K972" s="1003"/>
      <c r="L972" s="1003"/>
      <c r="M972" s="1003"/>
      <c r="N972" s="1003"/>
      <c r="O972" s="1003"/>
      <c r="P972" s="1003"/>
      <c r="Q972" s="1003"/>
    </row>
    <row r="973" spans="3:17" ht="15.75" customHeight="1">
      <c r="C973" s="1003"/>
      <c r="D973" s="1003"/>
      <c r="E973" s="1003"/>
      <c r="F973" s="1003"/>
      <c r="G973" s="1003"/>
      <c r="H973" s="1003"/>
      <c r="I973" s="1003"/>
      <c r="J973" s="1003"/>
      <c r="K973" s="1003"/>
      <c r="L973" s="1003"/>
      <c r="M973" s="1003"/>
      <c r="N973" s="1003"/>
      <c r="O973" s="1003"/>
      <c r="P973" s="1003"/>
      <c r="Q973" s="1003"/>
    </row>
    <row r="974" spans="3:17" ht="15.75" customHeight="1">
      <c r="C974" s="1003"/>
      <c r="D974" s="1003"/>
      <c r="E974" s="1003"/>
      <c r="F974" s="1003"/>
      <c r="G974" s="1003"/>
      <c r="H974" s="1003"/>
      <c r="I974" s="1003"/>
      <c r="J974" s="1003"/>
      <c r="K974" s="1003"/>
      <c r="L974" s="1003"/>
      <c r="M974" s="1003"/>
      <c r="N974" s="1003"/>
      <c r="O974" s="1003"/>
      <c r="P974" s="1003"/>
      <c r="Q974" s="1003"/>
    </row>
    <row r="975" spans="3:17" ht="15.75" customHeight="1">
      <c r="C975" s="1003"/>
      <c r="D975" s="1003"/>
      <c r="E975" s="1003"/>
      <c r="F975" s="1003"/>
      <c r="G975" s="1003"/>
      <c r="H975" s="1003"/>
      <c r="I975" s="1003"/>
      <c r="J975" s="1003"/>
      <c r="K975" s="1003"/>
      <c r="L975" s="1003"/>
      <c r="M975" s="1003"/>
      <c r="N975" s="1003"/>
      <c r="O975" s="1003"/>
      <c r="P975" s="1003"/>
      <c r="Q975" s="1003"/>
    </row>
    <row r="976" spans="3:17" ht="15.75" customHeight="1">
      <c r="C976" s="1003"/>
      <c r="D976" s="1003"/>
      <c r="E976" s="1003"/>
      <c r="F976" s="1003"/>
      <c r="G976" s="1003"/>
      <c r="H976" s="1003"/>
      <c r="I976" s="1003"/>
      <c r="J976" s="1003"/>
      <c r="K976" s="1003"/>
      <c r="L976" s="1003"/>
      <c r="M976" s="1003"/>
      <c r="N976" s="1003"/>
      <c r="O976" s="1003"/>
      <c r="P976" s="1003"/>
      <c r="Q976" s="1003"/>
    </row>
    <row r="977" spans="3:17" ht="15.75" customHeight="1">
      <c r="C977" s="1003"/>
      <c r="D977" s="1003"/>
      <c r="E977" s="1003"/>
      <c r="F977" s="1003"/>
      <c r="G977" s="1003"/>
      <c r="H977" s="1003"/>
      <c r="I977" s="1003"/>
      <c r="J977" s="1003"/>
      <c r="K977" s="1003"/>
      <c r="L977" s="1003"/>
      <c r="M977" s="1003"/>
      <c r="N977" s="1003"/>
      <c r="O977" s="1003"/>
      <c r="P977" s="1003"/>
      <c r="Q977" s="1003"/>
    </row>
    <row r="978" spans="3:17" ht="15.75" customHeight="1">
      <c r="C978" s="1003"/>
      <c r="D978" s="1003"/>
      <c r="E978" s="1003"/>
      <c r="F978" s="1003"/>
      <c r="G978" s="1003"/>
      <c r="H978" s="1003"/>
      <c r="I978" s="1003"/>
      <c r="J978" s="1003"/>
      <c r="K978" s="1003"/>
      <c r="L978" s="1003"/>
      <c r="M978" s="1003"/>
      <c r="N978" s="1003"/>
      <c r="O978" s="1003"/>
      <c r="P978" s="1003"/>
      <c r="Q978" s="1003"/>
    </row>
    <row r="979" spans="3:17" ht="15.75" customHeight="1">
      <c r="C979" s="1003"/>
      <c r="D979" s="1003"/>
      <c r="E979" s="1003"/>
      <c r="F979" s="1003"/>
      <c r="G979" s="1003"/>
      <c r="H979" s="1003"/>
      <c r="I979" s="1003"/>
      <c r="J979" s="1003"/>
      <c r="K979" s="1003"/>
      <c r="L979" s="1003"/>
      <c r="M979" s="1003"/>
      <c r="N979" s="1003"/>
      <c r="O979" s="1003"/>
      <c r="P979" s="1003"/>
      <c r="Q979" s="1003"/>
    </row>
    <row r="980" spans="3:17" ht="15.75" customHeight="1">
      <c r="C980" s="1003"/>
      <c r="D980" s="1003"/>
      <c r="E980" s="1003"/>
      <c r="F980" s="1003"/>
      <c r="G980" s="1003"/>
      <c r="H980" s="1003"/>
      <c r="I980" s="1003"/>
      <c r="J980" s="1003"/>
      <c r="K980" s="1003"/>
      <c r="L980" s="1003"/>
      <c r="M980" s="1003"/>
      <c r="N980" s="1003"/>
      <c r="O980" s="1003"/>
      <c r="P980" s="1003"/>
      <c r="Q980" s="1003"/>
    </row>
    <row r="981" spans="3:17" ht="15.75" customHeight="1">
      <c r="C981" s="1003"/>
      <c r="D981" s="1003"/>
      <c r="E981" s="1003"/>
      <c r="F981" s="1003"/>
      <c r="G981" s="1003"/>
      <c r="H981" s="1003"/>
      <c r="I981" s="1003"/>
      <c r="J981" s="1003"/>
      <c r="K981" s="1003"/>
      <c r="L981" s="1003"/>
      <c r="M981" s="1003"/>
      <c r="N981" s="1003"/>
      <c r="O981" s="1003"/>
      <c r="P981" s="1003"/>
      <c r="Q981" s="1003"/>
    </row>
    <row r="982" spans="3:17" ht="15.75" customHeight="1">
      <c r="C982" s="1003"/>
      <c r="D982" s="1003"/>
      <c r="E982" s="1003"/>
      <c r="F982" s="1003"/>
      <c r="G982" s="1003"/>
      <c r="H982" s="1003"/>
      <c r="I982" s="1003"/>
      <c r="J982" s="1003"/>
      <c r="K982" s="1003"/>
      <c r="L982" s="1003"/>
      <c r="M982" s="1003"/>
      <c r="N982" s="1003"/>
      <c r="O982" s="1003"/>
      <c r="P982" s="1003"/>
      <c r="Q982" s="1003"/>
    </row>
    <row r="983" spans="3:17" ht="15.75" customHeight="1">
      <c r="C983" s="1003"/>
      <c r="D983" s="1003"/>
      <c r="E983" s="1003"/>
      <c r="F983" s="1003"/>
      <c r="G983" s="1003"/>
      <c r="H983" s="1003"/>
      <c r="I983" s="1003"/>
      <c r="J983" s="1003"/>
      <c r="K983" s="1003"/>
      <c r="L983" s="1003"/>
      <c r="M983" s="1003"/>
      <c r="N983" s="1003"/>
      <c r="O983" s="1003"/>
      <c r="P983" s="1003"/>
      <c r="Q983" s="1003"/>
    </row>
    <row r="984" spans="3:17" ht="15.75" customHeight="1">
      <c r="C984" s="1003"/>
      <c r="D984" s="1003"/>
      <c r="E984" s="1003"/>
      <c r="F984" s="1003"/>
      <c r="G984" s="1003"/>
      <c r="H984" s="1003"/>
      <c r="I984" s="1003"/>
      <c r="J984" s="1003"/>
      <c r="K984" s="1003"/>
      <c r="L984" s="1003"/>
      <c r="M984" s="1003"/>
      <c r="N984" s="1003"/>
      <c r="O984" s="1003"/>
      <c r="P984" s="1003"/>
      <c r="Q984" s="1003"/>
    </row>
    <row r="985" spans="3:17" ht="15.75" customHeight="1">
      <c r="C985" s="1003"/>
      <c r="D985" s="1003"/>
      <c r="E985" s="1003"/>
      <c r="F985" s="1003"/>
      <c r="G985" s="1003"/>
      <c r="H985" s="1003"/>
      <c r="I985" s="1003"/>
      <c r="J985" s="1003"/>
      <c r="K985" s="1003"/>
      <c r="L985" s="1003"/>
      <c r="M985" s="1003"/>
      <c r="N985" s="1003"/>
      <c r="O985" s="1003"/>
      <c r="P985" s="1003"/>
      <c r="Q985" s="1003"/>
    </row>
    <row r="986" spans="3:17" ht="15.75" customHeight="1">
      <c r="C986" s="1003"/>
      <c r="D986" s="1003"/>
      <c r="E986" s="1003"/>
      <c r="F986" s="1003"/>
      <c r="G986" s="1003"/>
      <c r="H986" s="1003"/>
      <c r="I986" s="1003"/>
      <c r="J986" s="1003"/>
      <c r="K986" s="1003"/>
      <c r="L986" s="1003"/>
      <c r="M986" s="1003"/>
      <c r="N986" s="1003"/>
      <c r="O986" s="1003"/>
      <c r="P986" s="1003"/>
      <c r="Q986" s="1003"/>
    </row>
    <row r="987" spans="3:17" ht="15.75" customHeight="1">
      <c r="C987" s="1003"/>
      <c r="D987" s="1003"/>
      <c r="E987" s="1003"/>
      <c r="F987" s="1003"/>
      <c r="G987" s="1003"/>
      <c r="H987" s="1003"/>
      <c r="I987" s="1003"/>
      <c r="J987" s="1003"/>
      <c r="K987" s="1003"/>
      <c r="L987" s="1003"/>
      <c r="M987" s="1003"/>
      <c r="N987" s="1003"/>
      <c r="O987" s="1003"/>
      <c r="P987" s="1003"/>
      <c r="Q987" s="1003"/>
    </row>
    <row r="988" spans="3:17" ht="15.75" customHeight="1">
      <c r="C988" s="1003"/>
      <c r="D988" s="1003"/>
      <c r="E988" s="1003"/>
      <c r="F988" s="1003"/>
      <c r="G988" s="1003"/>
      <c r="H988" s="1003"/>
      <c r="I988" s="1003"/>
      <c r="J988" s="1003"/>
      <c r="K988" s="1003"/>
      <c r="L988" s="1003"/>
      <c r="M988" s="1003"/>
      <c r="N988" s="1003"/>
      <c r="O988" s="1003"/>
      <c r="P988" s="1003"/>
      <c r="Q988" s="1003"/>
    </row>
    <row r="989" spans="3:17" ht="15.75" customHeight="1">
      <c r="C989" s="1003"/>
      <c r="D989" s="1003"/>
      <c r="E989" s="1003"/>
      <c r="F989" s="1003"/>
      <c r="G989" s="1003"/>
      <c r="H989" s="1003"/>
      <c r="I989" s="1003"/>
      <c r="J989" s="1003"/>
      <c r="K989" s="1003"/>
      <c r="L989" s="1003"/>
      <c r="M989" s="1003"/>
      <c r="N989" s="1003"/>
      <c r="O989" s="1003"/>
      <c r="P989" s="1003"/>
      <c r="Q989" s="1003"/>
    </row>
    <row r="990" spans="3:17" ht="15.75" customHeight="1">
      <c r="C990" s="1003"/>
      <c r="D990" s="1003"/>
      <c r="E990" s="1003"/>
      <c r="F990" s="1003"/>
      <c r="G990" s="1003"/>
      <c r="H990" s="1003"/>
      <c r="I990" s="1003"/>
      <c r="J990" s="1003"/>
      <c r="K990" s="1003"/>
      <c r="L990" s="1003"/>
      <c r="M990" s="1003"/>
      <c r="N990" s="1003"/>
      <c r="O990" s="1003"/>
      <c r="P990" s="1003"/>
      <c r="Q990" s="1003"/>
    </row>
    <row r="991" spans="3:17" ht="15.75" customHeight="1">
      <c r="C991" s="1003"/>
      <c r="D991" s="1003"/>
      <c r="E991" s="1003"/>
      <c r="F991" s="1003"/>
      <c r="G991" s="1003"/>
      <c r="H991" s="1003"/>
      <c r="I991" s="1003"/>
      <c r="J991" s="1003"/>
      <c r="K991" s="1003"/>
      <c r="L991" s="1003"/>
      <c r="M991" s="1003"/>
      <c r="N991" s="1003"/>
      <c r="O991" s="1003"/>
      <c r="P991" s="1003"/>
      <c r="Q991" s="1003"/>
    </row>
    <row r="992" spans="3:17" ht="15.75" customHeight="1">
      <c r="C992" s="1003"/>
      <c r="D992" s="1003"/>
      <c r="E992" s="1003"/>
      <c r="F992" s="1003"/>
      <c r="G992" s="1003"/>
      <c r="H992" s="1003"/>
      <c r="I992" s="1003"/>
      <c r="J992" s="1003"/>
      <c r="K992" s="1003"/>
      <c r="L992" s="1003"/>
      <c r="M992" s="1003"/>
      <c r="N992" s="1003"/>
      <c r="O992" s="1003"/>
      <c r="P992" s="1003"/>
      <c r="Q992" s="1003"/>
    </row>
    <row r="993" spans="3:17" ht="15.75" customHeight="1">
      <c r="C993" s="1003"/>
      <c r="D993" s="1003"/>
      <c r="E993" s="1003"/>
      <c r="F993" s="1003"/>
      <c r="G993" s="1003"/>
      <c r="H993" s="1003"/>
      <c r="I993" s="1003"/>
      <c r="J993" s="1003"/>
      <c r="K993" s="1003"/>
      <c r="L993" s="1003"/>
      <c r="M993" s="1003"/>
      <c r="N993" s="1003"/>
      <c r="O993" s="1003"/>
      <c r="P993" s="1003"/>
      <c r="Q993" s="1003"/>
    </row>
    <row r="994" spans="3:17" ht="15.75" customHeight="1">
      <c r="C994" s="1003"/>
      <c r="D994" s="1003"/>
      <c r="E994" s="1003"/>
      <c r="F994" s="1003"/>
      <c r="G994" s="1003"/>
      <c r="H994" s="1003"/>
      <c r="I994" s="1003"/>
      <c r="J994" s="1003"/>
      <c r="K994" s="1003"/>
      <c r="L994" s="1003"/>
      <c r="M994" s="1003"/>
      <c r="N994" s="1003"/>
      <c r="O994" s="1003"/>
      <c r="P994" s="1003"/>
      <c r="Q994" s="1003"/>
    </row>
    <row r="995" spans="3:17" ht="15.75" customHeight="1">
      <c r="C995" s="1003"/>
      <c r="D995" s="1003"/>
      <c r="E995" s="1003"/>
      <c r="F995" s="1003"/>
      <c r="G995" s="1003"/>
      <c r="H995" s="1003"/>
      <c r="I995" s="1003"/>
      <c r="J995" s="1003"/>
      <c r="K995" s="1003"/>
      <c r="L995" s="1003"/>
      <c r="M995" s="1003"/>
      <c r="N995" s="1003"/>
      <c r="O995" s="1003"/>
      <c r="P995" s="1003"/>
      <c r="Q995" s="1003"/>
    </row>
    <row r="996" spans="3:17" ht="15.75" customHeight="1">
      <c r="C996" s="1003"/>
      <c r="D996" s="1003"/>
      <c r="E996" s="1003"/>
      <c r="F996" s="1003"/>
      <c r="G996" s="1003"/>
      <c r="H996" s="1003"/>
      <c r="I996" s="1003"/>
      <c r="J996" s="1003"/>
      <c r="K996" s="1003"/>
      <c r="L996" s="1003"/>
      <c r="M996" s="1003"/>
      <c r="N996" s="1003"/>
      <c r="O996" s="1003"/>
      <c r="P996" s="1003"/>
      <c r="Q996" s="1003"/>
    </row>
    <row r="997" spans="3:17" ht="15.75" customHeight="1">
      <c r="C997" s="1003"/>
      <c r="D997" s="1003"/>
      <c r="E997" s="1003"/>
      <c r="F997" s="1003"/>
      <c r="G997" s="1003"/>
      <c r="H997" s="1003"/>
      <c r="I997" s="1003"/>
      <c r="J997" s="1003"/>
      <c r="K997" s="1003"/>
      <c r="L997" s="1003"/>
      <c r="M997" s="1003"/>
      <c r="N997" s="1003"/>
      <c r="O997" s="1003"/>
      <c r="P997" s="1003"/>
      <c r="Q997" s="1003"/>
    </row>
    <row r="998" spans="3:17" ht="15.75" customHeight="1">
      <c r="C998" s="1003"/>
      <c r="D998" s="1003"/>
      <c r="E998" s="1003"/>
      <c r="F998" s="1003"/>
      <c r="G998" s="1003"/>
      <c r="H998" s="1003"/>
      <c r="I998" s="1003"/>
      <c r="J998" s="1003"/>
      <c r="K998" s="1003"/>
      <c r="L998" s="1003"/>
      <c r="M998" s="1003"/>
      <c r="N998" s="1003"/>
      <c r="O998" s="1003"/>
      <c r="P998" s="1003"/>
      <c r="Q998" s="1003"/>
    </row>
    <row r="999" spans="3:17" ht="15.75" customHeight="1">
      <c r="C999" s="1003"/>
      <c r="D999" s="1003"/>
      <c r="E999" s="1003"/>
      <c r="F999" s="1003"/>
      <c r="G999" s="1003"/>
      <c r="H999" s="1003"/>
      <c r="I999" s="1003"/>
      <c r="J999" s="1003"/>
      <c r="K999" s="1003"/>
      <c r="L999" s="1003"/>
      <c r="M999" s="1003"/>
      <c r="N999" s="1003"/>
      <c r="O999" s="1003"/>
      <c r="P999" s="1003"/>
      <c r="Q999" s="1003"/>
    </row>
    <row r="1000" spans="3:17" ht="15.75" customHeight="1">
      <c r="C1000" s="1003"/>
      <c r="D1000" s="1003"/>
      <c r="E1000" s="1003"/>
      <c r="F1000" s="1003"/>
      <c r="G1000" s="1003"/>
      <c r="H1000" s="1003"/>
      <c r="I1000" s="1003"/>
      <c r="J1000" s="1003"/>
      <c r="K1000" s="1003"/>
      <c r="L1000" s="1003"/>
      <c r="M1000" s="1003"/>
      <c r="N1000" s="1003"/>
      <c r="O1000" s="1003"/>
      <c r="P1000" s="1003"/>
      <c r="Q1000" s="1003"/>
    </row>
    <row r="1001" spans="3:17" ht="15.75" customHeight="1">
      <c r="C1001" s="1003"/>
      <c r="D1001" s="1003"/>
      <c r="E1001" s="1003"/>
      <c r="F1001" s="1003"/>
      <c r="G1001" s="1003"/>
      <c r="H1001" s="1003"/>
      <c r="I1001" s="1003"/>
      <c r="J1001" s="1003"/>
      <c r="K1001" s="1003"/>
      <c r="L1001" s="1003"/>
      <c r="M1001" s="1003"/>
      <c r="N1001" s="1003"/>
      <c r="O1001" s="1003"/>
      <c r="P1001" s="1003"/>
      <c r="Q1001" s="1003"/>
    </row>
    <row r="1002" spans="3:17" ht="15.75" customHeight="1">
      <c r="C1002" s="1003"/>
      <c r="D1002" s="1003"/>
      <c r="E1002" s="1003"/>
      <c r="F1002" s="1003"/>
      <c r="G1002" s="1003"/>
      <c r="H1002" s="1003"/>
      <c r="I1002" s="1003"/>
      <c r="J1002" s="1003"/>
      <c r="K1002" s="1003"/>
      <c r="L1002" s="1003"/>
      <c r="M1002" s="1003"/>
      <c r="N1002" s="1003"/>
      <c r="O1002" s="1003"/>
      <c r="P1002" s="1003"/>
      <c r="Q1002" s="1003"/>
    </row>
  </sheetData>
  <mergeCells count="2">
    <mergeCell ref="A1:Q1"/>
    <mergeCell ref="A2:Q2"/>
  </mergeCell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5A220-E7EA-40E4-89FF-9A2DD3AD9225}">
  <sheetPr>
    <tabColor rgb="FF808080"/>
    <outlinePr summaryBelow="0" summaryRight="0"/>
  </sheetPr>
  <dimension ref="A1:AB1002"/>
  <sheetViews>
    <sheetView showGridLines="0" workbookViewId="0">
      <pane xSplit="2" ySplit="4" topLeftCell="C14" activePane="bottomRight" state="frozen"/>
      <selection pane="topRight" activeCell="C1" sqref="C1"/>
      <selection pane="bottomLeft" activeCell="A5" sqref="A5"/>
      <selection pane="bottomRight" activeCell="I34" sqref="I34"/>
    </sheetView>
  </sheetViews>
  <sheetFormatPr defaultColWidth="12.6328125" defaultRowHeight="15" customHeight="1"/>
  <cols>
    <col min="1" max="1" width="12.6328125" customWidth="1"/>
    <col min="2" max="2" width="26.26953125" customWidth="1"/>
    <col min="3" max="6" width="12.6328125" customWidth="1"/>
  </cols>
  <sheetData>
    <row r="1" spans="1:28" ht="14.5">
      <c r="A1" s="967" t="s">
        <v>1783</v>
      </c>
      <c r="B1" s="968"/>
      <c r="C1" s="968"/>
      <c r="D1" s="968"/>
      <c r="E1" s="968"/>
      <c r="F1" s="968"/>
      <c r="G1" s="968"/>
      <c r="H1" s="968"/>
      <c r="I1" s="968"/>
      <c r="J1" s="968"/>
      <c r="K1" s="968"/>
      <c r="L1" s="968"/>
      <c r="M1" s="968"/>
      <c r="N1" s="968"/>
      <c r="O1" s="968"/>
      <c r="P1" s="968"/>
      <c r="Q1" s="969"/>
      <c r="R1" s="970"/>
      <c r="S1" s="970"/>
      <c r="T1" s="970"/>
      <c r="U1" s="970"/>
      <c r="V1" s="970"/>
      <c r="W1" s="970"/>
      <c r="X1" s="970"/>
      <c r="Y1" s="970"/>
      <c r="Z1" s="970"/>
      <c r="AA1" s="970"/>
      <c r="AB1" s="970"/>
    </row>
    <row r="2" spans="1:28" ht="14.5">
      <c r="A2" s="971" t="s">
        <v>334</v>
      </c>
      <c r="B2" s="972"/>
      <c r="C2" s="972"/>
      <c r="D2" s="972"/>
      <c r="E2" s="972"/>
      <c r="F2" s="972"/>
      <c r="G2" s="972"/>
      <c r="H2" s="972"/>
      <c r="I2" s="972"/>
      <c r="J2" s="972"/>
      <c r="K2" s="972"/>
      <c r="L2" s="972"/>
      <c r="M2" s="972"/>
      <c r="N2" s="972"/>
      <c r="O2" s="972"/>
      <c r="P2" s="972"/>
      <c r="Q2" s="973"/>
      <c r="R2" s="970"/>
      <c r="S2" s="970"/>
      <c r="T2" s="970"/>
      <c r="U2" s="970"/>
      <c r="V2" s="970"/>
      <c r="W2" s="970"/>
      <c r="X2" s="970"/>
      <c r="Y2" s="970"/>
      <c r="Z2" s="970"/>
      <c r="AA2" s="970"/>
      <c r="AB2" s="970"/>
    </row>
    <row r="3" spans="1:28" ht="14.5">
      <c r="A3" s="974"/>
      <c r="B3" s="974"/>
      <c r="C3" s="974"/>
      <c r="D3" s="974"/>
      <c r="E3" s="974"/>
      <c r="F3" s="974"/>
      <c r="G3" s="974"/>
      <c r="H3" s="974"/>
      <c r="I3" s="974"/>
      <c r="J3" s="974"/>
      <c r="K3" s="974"/>
      <c r="L3" s="974"/>
      <c r="M3" s="974"/>
      <c r="N3" s="974"/>
      <c r="O3" s="974"/>
      <c r="P3" s="974"/>
      <c r="Q3" s="974"/>
      <c r="R3" s="970"/>
      <c r="S3" s="970"/>
      <c r="T3" s="970"/>
      <c r="U3" s="970"/>
      <c r="V3" s="970"/>
      <c r="W3" s="970"/>
      <c r="X3" s="970"/>
      <c r="Y3" s="970"/>
      <c r="Z3" s="970"/>
      <c r="AA3" s="970"/>
      <c r="AB3" s="970"/>
    </row>
    <row r="4" spans="1:28" ht="14.5">
      <c r="A4" s="974"/>
      <c r="B4" s="975"/>
      <c r="C4" s="976" t="s">
        <v>150</v>
      </c>
      <c r="D4" s="976" t="s">
        <v>151</v>
      </c>
      <c r="E4" s="976" t="s">
        <v>152</v>
      </c>
      <c r="F4" s="976" t="s">
        <v>153</v>
      </c>
      <c r="G4" s="976" t="s">
        <v>154</v>
      </c>
      <c r="H4" s="976" t="s">
        <v>155</v>
      </c>
      <c r="I4" s="976" t="s">
        <v>201</v>
      </c>
      <c r="J4" s="976" t="s">
        <v>202</v>
      </c>
      <c r="K4" s="976" t="s">
        <v>203</v>
      </c>
      <c r="L4" s="976" t="s">
        <v>204</v>
      </c>
      <c r="M4" s="976" t="s">
        <v>205</v>
      </c>
      <c r="N4" s="976" t="s">
        <v>206</v>
      </c>
      <c r="O4" s="976" t="s">
        <v>207</v>
      </c>
      <c r="P4" s="976" t="s">
        <v>208</v>
      </c>
      <c r="Q4" s="977" t="s">
        <v>770</v>
      </c>
      <c r="R4" s="970"/>
      <c r="S4" s="970"/>
      <c r="T4" s="970"/>
      <c r="U4" s="970"/>
      <c r="V4" s="970"/>
      <c r="W4" s="970"/>
      <c r="X4" s="970"/>
      <c r="Y4" s="970"/>
      <c r="Z4" s="970"/>
      <c r="AA4" s="970"/>
      <c r="AB4" s="970"/>
    </row>
    <row r="5" spans="1:28" ht="14.5">
      <c r="A5" s="974"/>
      <c r="B5" s="974"/>
      <c r="C5" s="974"/>
      <c r="D5" s="974"/>
      <c r="E5" s="974"/>
      <c r="F5" s="974"/>
      <c r="G5" s="974"/>
      <c r="H5" s="974"/>
      <c r="I5" s="974"/>
      <c r="J5" s="974"/>
      <c r="K5" s="974"/>
      <c r="L5" s="974"/>
      <c r="M5" s="974"/>
      <c r="N5" s="974"/>
      <c r="O5" s="974"/>
      <c r="P5" s="974"/>
      <c r="Q5" s="974"/>
      <c r="R5" s="970"/>
      <c r="S5" s="970"/>
      <c r="T5" s="970"/>
      <c r="U5" s="970"/>
      <c r="V5" s="970"/>
      <c r="W5" s="970"/>
      <c r="X5" s="970"/>
      <c r="Y5" s="970"/>
      <c r="Z5" s="970"/>
      <c r="AA5" s="970"/>
      <c r="AB5" s="970"/>
    </row>
    <row r="6" spans="1:28" ht="14.5">
      <c r="A6" s="974"/>
      <c r="B6" s="978" t="s">
        <v>1784</v>
      </c>
      <c r="C6" s="974"/>
      <c r="D6" s="974"/>
      <c r="E6" s="974"/>
      <c r="F6" s="974"/>
      <c r="G6" s="974"/>
      <c r="H6" s="974"/>
      <c r="I6" s="974"/>
      <c r="J6" s="974"/>
      <c r="K6" s="974"/>
      <c r="L6" s="974"/>
      <c r="M6" s="974"/>
      <c r="N6" s="974"/>
      <c r="O6" s="974"/>
      <c r="P6" s="974"/>
      <c r="Q6" s="974"/>
      <c r="R6" s="970"/>
      <c r="S6" s="970"/>
      <c r="T6" s="970"/>
      <c r="U6" s="970"/>
      <c r="V6" s="970"/>
      <c r="W6" s="970"/>
      <c r="X6" s="970"/>
      <c r="Y6" s="970"/>
      <c r="Z6" s="970"/>
      <c r="AA6" s="970"/>
      <c r="AB6" s="970"/>
    </row>
    <row r="7" spans="1:28" ht="14.5">
      <c r="A7" s="974"/>
      <c r="B7" s="979" t="s">
        <v>193</v>
      </c>
      <c r="C7" s="980">
        <f>'P&amp;L'!G28</f>
        <v>0</v>
      </c>
      <c r="D7" s="980">
        <f>'P&amp;L'!H28</f>
        <v>0</v>
      </c>
      <c r="E7" s="980">
        <f>'P&amp;L'!I28</f>
        <v>0</v>
      </c>
      <c r="F7" s="980">
        <f>'P&amp;L'!J28</f>
        <v>18772333.414999999</v>
      </c>
      <c r="G7" s="980">
        <f>'P&amp;L'!K28</f>
        <v>19676502.288939998</v>
      </c>
      <c r="H7" s="980">
        <f>'P&amp;L'!L28</f>
        <v>20615521.882462904</v>
      </c>
      <c r="I7" s="980">
        <f>'P&amp;L'!M28</f>
        <v>21808634.554464001</v>
      </c>
      <c r="J7" s="980">
        <f>'P&amp;L'!N28</f>
        <v>22300756.692269798</v>
      </c>
      <c r="K7" s="980">
        <f>'P&amp;L'!O28</f>
        <v>22807316.061739061</v>
      </c>
      <c r="L7" s="980">
        <f>'P&amp;L'!P28</f>
        <v>23328737.619009934</v>
      </c>
      <c r="M7" s="980">
        <f>'P&amp;L'!Q28</f>
        <v>23865458.864884399</v>
      </c>
      <c r="N7" s="980">
        <f>'P&amp;L'!R28</f>
        <v>24417930.216067705</v>
      </c>
      <c r="O7" s="980">
        <f>'P&amp;L'!S28</f>
        <v>24986615.387417436</v>
      </c>
      <c r="P7" s="980">
        <f>'P&amp;L'!T28</f>
        <v>25571991.785529338</v>
      </c>
      <c r="Q7" s="981">
        <f t="shared" ref="Q7:Q16" si="0">SUM(C7:N7)</f>
        <v>197593191.59483781</v>
      </c>
      <c r="R7" s="970"/>
      <c r="S7" s="970"/>
      <c r="T7" s="970"/>
      <c r="U7" s="970"/>
      <c r="V7" s="970"/>
      <c r="W7" s="970"/>
      <c r="X7" s="970"/>
      <c r="Y7" s="970"/>
      <c r="Z7" s="970"/>
      <c r="AA7" s="970"/>
      <c r="AB7" s="970"/>
    </row>
    <row r="8" spans="1:28" ht="14.5">
      <c r="A8" s="974"/>
      <c r="B8" s="979" t="s">
        <v>369</v>
      </c>
      <c r="C8" s="980">
        <f>'P&amp;L'!G35</f>
        <v>0</v>
      </c>
      <c r="D8" s="980">
        <f>'P&amp;L'!H35</f>
        <v>0</v>
      </c>
      <c r="E8" s="980">
        <f>'P&amp;L'!I35</f>
        <v>0</v>
      </c>
      <c r="F8" s="980">
        <f>'P&amp;L'!J35</f>
        <v>2168980.59</v>
      </c>
      <c r="G8" s="980">
        <f>'P&amp;L'!K35</f>
        <v>2325901.7123999991</v>
      </c>
      <c r="H8" s="980">
        <f>'P&amp;L'!L35</f>
        <v>2489948.7060000002</v>
      </c>
      <c r="I8" s="980">
        <f>'P&amp;L'!M35</f>
        <v>2536926.42</v>
      </c>
      <c r="J8" s="980">
        <f>'P&amp;L'!N35</f>
        <v>2611117.7526000002</v>
      </c>
      <c r="K8" s="980">
        <f>'P&amp;L'!O35</f>
        <v>2687534.8251780006</v>
      </c>
      <c r="L8" s="980">
        <f>'P&amp;L'!P35</f>
        <v>2766244.4099333407</v>
      </c>
      <c r="M8" s="980">
        <f>'P&amp;L'!Q35</f>
        <v>2847315.2822313411</v>
      </c>
      <c r="N8" s="980">
        <f>'P&amp;L'!R35</f>
        <v>2930818.2806982808</v>
      </c>
      <c r="O8" s="980">
        <f>'P&amp;L'!S35</f>
        <v>3016826.3691192307</v>
      </c>
      <c r="P8" s="980">
        <f>'P&amp;L'!T35</f>
        <v>3105414.7001928072</v>
      </c>
      <c r="Q8" s="981">
        <f t="shared" si="0"/>
        <v>23364787.979040962</v>
      </c>
      <c r="R8" s="970"/>
      <c r="S8" s="970"/>
      <c r="T8" s="970"/>
      <c r="U8" s="970"/>
      <c r="V8" s="970"/>
      <c r="W8" s="970"/>
      <c r="X8" s="970"/>
      <c r="Y8" s="970"/>
      <c r="Z8" s="970"/>
      <c r="AA8" s="970"/>
      <c r="AB8" s="970"/>
    </row>
    <row r="9" spans="1:28" ht="14.5">
      <c r="A9" s="974"/>
      <c r="B9" s="982" t="s">
        <v>264</v>
      </c>
      <c r="C9" s="983">
        <f t="shared" ref="C9:P9" si="1">C7-C8</f>
        <v>0</v>
      </c>
      <c r="D9" s="983">
        <f t="shared" si="1"/>
        <v>0</v>
      </c>
      <c r="E9" s="983">
        <f t="shared" si="1"/>
        <v>0</v>
      </c>
      <c r="F9" s="983">
        <f t="shared" si="1"/>
        <v>16603352.824999999</v>
      </c>
      <c r="G9" s="983">
        <f t="shared" si="1"/>
        <v>17350600.576539997</v>
      </c>
      <c r="H9" s="983">
        <f t="shared" si="1"/>
        <v>18125573.176462904</v>
      </c>
      <c r="I9" s="983">
        <f t="shared" si="1"/>
        <v>19271708.134464003</v>
      </c>
      <c r="J9" s="983">
        <f t="shared" si="1"/>
        <v>19689638.939669799</v>
      </c>
      <c r="K9" s="983">
        <f t="shared" si="1"/>
        <v>20119781.23656106</v>
      </c>
      <c r="L9" s="983">
        <f t="shared" si="1"/>
        <v>20562493.209076595</v>
      </c>
      <c r="M9" s="983">
        <f t="shared" si="1"/>
        <v>21018143.582653057</v>
      </c>
      <c r="N9" s="983">
        <f t="shared" si="1"/>
        <v>21487111.935369425</v>
      </c>
      <c r="O9" s="983">
        <f t="shared" si="1"/>
        <v>21969789.018298205</v>
      </c>
      <c r="P9" s="983">
        <f t="shared" si="1"/>
        <v>22466577.085336529</v>
      </c>
      <c r="Q9" s="984">
        <f t="shared" si="0"/>
        <v>174228403.61579683</v>
      </c>
      <c r="R9" s="970"/>
      <c r="S9" s="970"/>
      <c r="T9" s="970"/>
      <c r="U9" s="970"/>
      <c r="V9" s="970"/>
      <c r="W9" s="970"/>
      <c r="X9" s="970"/>
      <c r="Y9" s="970"/>
      <c r="Z9" s="970"/>
      <c r="AA9" s="970"/>
      <c r="AB9" s="970"/>
    </row>
    <row r="10" spans="1:28" ht="14.5">
      <c r="A10" s="974"/>
      <c r="B10" s="979" t="s">
        <v>1785</v>
      </c>
      <c r="C10" s="980">
        <f>'P&amp;L'!G74</f>
        <v>0</v>
      </c>
      <c r="D10" s="980">
        <f>'P&amp;L'!H74</f>
        <v>0</v>
      </c>
      <c r="E10" s="980">
        <f>'P&amp;L'!I74</f>
        <v>920383.09</v>
      </c>
      <c r="F10" s="980">
        <f>'P&amp;L'!J74</f>
        <v>5428826.6670749998</v>
      </c>
      <c r="G10" s="980">
        <f>'P&amp;L'!K74</f>
        <v>6176768.3084447002</v>
      </c>
      <c r="H10" s="980">
        <f>'P&amp;L'!L74</f>
        <v>6400358.5071193147</v>
      </c>
      <c r="I10" s="980">
        <f>'P&amp;L'!M74</f>
        <v>6668534.5031332374</v>
      </c>
      <c r="J10" s="980">
        <f>'P&amp;L'!N74</f>
        <v>6864499.8596675787</v>
      </c>
      <c r="K10" s="980">
        <f>'P&amp;L'!O74</f>
        <v>7631363.8749076193</v>
      </c>
      <c r="L10" s="980">
        <f>'P&amp;L'!P74</f>
        <v>7995628.56795925</v>
      </c>
      <c r="M10" s="980">
        <f>'P&amp;L'!Q74</f>
        <v>8233544.0284722419</v>
      </c>
      <c r="N10" s="980">
        <f>'P&amp;L'!R74</f>
        <v>8478805.2593023404</v>
      </c>
      <c r="O10" s="980">
        <f>'P&amp;L'!S74</f>
        <v>8822974.3280485645</v>
      </c>
      <c r="P10" s="980">
        <f>'P&amp;L'!T74</f>
        <v>8450200.2067563329</v>
      </c>
      <c r="Q10" s="981">
        <f t="shared" si="0"/>
        <v>64798712.666081287</v>
      </c>
      <c r="R10" s="970"/>
      <c r="S10" s="970"/>
      <c r="T10" s="970"/>
      <c r="U10" s="970"/>
      <c r="V10" s="970"/>
      <c r="W10" s="970"/>
      <c r="X10" s="970"/>
      <c r="Y10" s="970"/>
      <c r="Z10" s="970"/>
      <c r="AA10" s="970"/>
      <c r="AB10" s="970"/>
    </row>
    <row r="11" spans="1:28" ht="14.5">
      <c r="A11" s="974"/>
      <c r="B11" s="982" t="s">
        <v>194</v>
      </c>
      <c r="C11" s="983">
        <f t="shared" ref="C11:P11" si="2">C9-C10</f>
        <v>0</v>
      </c>
      <c r="D11" s="983">
        <f t="shared" si="2"/>
        <v>0</v>
      </c>
      <c r="E11" s="983">
        <f t="shared" si="2"/>
        <v>-920383.09</v>
      </c>
      <c r="F11" s="983">
        <f t="shared" si="2"/>
        <v>11174526.157924999</v>
      </c>
      <c r="G11" s="983">
        <f t="shared" si="2"/>
        <v>11173832.268095296</v>
      </c>
      <c r="H11" s="983">
        <f t="shared" si="2"/>
        <v>11725214.669343589</v>
      </c>
      <c r="I11" s="983">
        <f t="shared" si="2"/>
        <v>12603173.631330766</v>
      </c>
      <c r="J11" s="983">
        <f t="shared" si="2"/>
        <v>12825139.08000222</v>
      </c>
      <c r="K11" s="983">
        <f t="shared" si="2"/>
        <v>12488417.36165344</v>
      </c>
      <c r="L11" s="983">
        <f t="shared" si="2"/>
        <v>12566864.641117346</v>
      </c>
      <c r="M11" s="983">
        <f t="shared" si="2"/>
        <v>12784599.554180816</v>
      </c>
      <c r="N11" s="983">
        <f t="shared" si="2"/>
        <v>13008306.676067084</v>
      </c>
      <c r="O11" s="983">
        <f t="shared" si="2"/>
        <v>13146814.69024964</v>
      </c>
      <c r="P11" s="983">
        <f t="shared" si="2"/>
        <v>14016376.878580196</v>
      </c>
      <c r="Q11" s="984">
        <f t="shared" si="0"/>
        <v>109429690.94971555</v>
      </c>
      <c r="R11" s="970"/>
      <c r="S11" s="970"/>
      <c r="T11" s="970"/>
      <c r="U11" s="970"/>
      <c r="V11" s="970"/>
      <c r="W11" s="970"/>
      <c r="X11" s="970"/>
      <c r="Y11" s="970"/>
      <c r="Z11" s="970"/>
      <c r="AA11" s="970"/>
      <c r="AB11" s="970"/>
    </row>
    <row r="12" spans="1:28" ht="14.5">
      <c r="A12" s="974"/>
      <c r="B12" s="982" t="s">
        <v>447</v>
      </c>
      <c r="C12" s="983">
        <f>'P&amp;L'!G85</f>
        <v>0</v>
      </c>
      <c r="D12" s="983">
        <f>'P&amp;L'!H85</f>
        <v>0</v>
      </c>
      <c r="E12" s="983">
        <f>'P&amp;L'!I85</f>
        <v>-920383.09</v>
      </c>
      <c r="F12" s="983">
        <f>'P&amp;L'!J85</f>
        <v>9252276.9317287486</v>
      </c>
      <c r="G12" s="983">
        <f>'P&amp;L'!K85</f>
        <v>9233534.3589117303</v>
      </c>
      <c r="H12" s="983">
        <f>'P&amp;L'!L85</f>
        <v>9738567.2482271511</v>
      </c>
      <c r="I12" s="983">
        <f>'P&amp;L'!M85</f>
        <v>10615097.381330766</v>
      </c>
      <c r="J12" s="983">
        <f>'P&amp;L'!N85</f>
        <v>10837062.83000222</v>
      </c>
      <c r="K12" s="983">
        <f>'P&amp;L'!O85</f>
        <v>10500341.11165344</v>
      </c>
      <c r="L12" s="983">
        <f>'P&amp;L'!P85</f>
        <v>10578788.391117346</v>
      </c>
      <c r="M12" s="983">
        <f>'P&amp;L'!Q85</f>
        <v>10796523.304180816</v>
      </c>
      <c r="N12" s="983">
        <f>'P&amp;L'!R85</f>
        <v>11020230.426067084</v>
      </c>
      <c r="O12" s="983">
        <f>'P&amp;L'!S85</f>
        <v>11158738.44024964</v>
      </c>
      <c r="P12" s="983">
        <f>'P&amp;L'!T85</f>
        <v>12913266.435076447</v>
      </c>
      <c r="Q12" s="984">
        <f t="shared" si="0"/>
        <v>91652038.893219292</v>
      </c>
      <c r="R12" s="970"/>
      <c r="S12" s="970"/>
      <c r="T12" s="970"/>
      <c r="U12" s="970"/>
      <c r="V12" s="970"/>
      <c r="W12" s="970"/>
      <c r="X12" s="970"/>
      <c r="Y12" s="970"/>
      <c r="Z12" s="970"/>
      <c r="AA12" s="970"/>
      <c r="AB12" s="970"/>
    </row>
    <row r="13" spans="1:28" ht="14.5">
      <c r="A13" s="974"/>
      <c r="B13" s="982" t="s">
        <v>449</v>
      </c>
      <c r="C13" s="983">
        <f>'P&amp;L'!G89</f>
        <v>0</v>
      </c>
      <c r="D13" s="983">
        <f>'P&amp;L'!H89</f>
        <v>0</v>
      </c>
      <c r="E13" s="983">
        <f>'P&amp;L'!I89</f>
        <v>-1463544.69</v>
      </c>
      <c r="F13" s="983">
        <f>'P&amp;L'!J89</f>
        <v>8202078.7317287484</v>
      </c>
      <c r="G13" s="983">
        <f>'P&amp;L'!K89</f>
        <v>8282840.7339117303</v>
      </c>
      <c r="H13" s="983">
        <f>'P&amp;L'!L89</f>
        <v>8914632.7732271515</v>
      </c>
      <c r="I13" s="983">
        <f>'P&amp;L'!M89</f>
        <v>9917922.0563307665</v>
      </c>
      <c r="J13" s="983">
        <f>'P&amp;L'!N89</f>
        <v>10266646.65500222</v>
      </c>
      <c r="K13" s="983">
        <f>'P&amp;L'!O89</f>
        <v>10056684.086653439</v>
      </c>
      <c r="L13" s="983">
        <f>'P&amp;L'!P89</f>
        <v>10261890.516117346</v>
      </c>
      <c r="M13" s="983">
        <f>'P&amp;L'!Q89</f>
        <v>10606384.579180816</v>
      </c>
      <c r="N13" s="983">
        <f>'P&amp;L'!R89</f>
        <v>10956850.851067085</v>
      </c>
      <c r="O13" s="983">
        <f>'P&amp;L'!S89</f>
        <v>11158738.44024964</v>
      </c>
      <c r="P13" s="983">
        <f>'P&amp;L'!T89</f>
        <v>12913266.435076447</v>
      </c>
      <c r="Q13" s="984">
        <f t="shared" si="0"/>
        <v>86002386.293219313</v>
      </c>
      <c r="R13" s="970"/>
      <c r="S13" s="970"/>
      <c r="T13" s="970"/>
      <c r="U13" s="970"/>
      <c r="V13" s="970"/>
      <c r="W13" s="970"/>
      <c r="X13" s="970"/>
      <c r="Y13" s="970"/>
      <c r="Z13" s="970"/>
      <c r="AA13" s="970"/>
      <c r="AB13" s="970"/>
    </row>
    <row r="14" spans="1:28" ht="14.5">
      <c r="A14" s="974"/>
      <c r="B14" s="979" t="s">
        <v>450</v>
      </c>
      <c r="C14" s="980">
        <f>'P&amp;L'!G91</f>
        <v>0</v>
      </c>
      <c r="D14" s="980">
        <f>'P&amp;L'!H91</f>
        <v>0</v>
      </c>
      <c r="E14" s="980">
        <f>'P&amp;L'!I91</f>
        <v>0</v>
      </c>
      <c r="F14" s="980">
        <f>'P&amp;L'!J91</f>
        <v>2021560.2125186243</v>
      </c>
      <c r="G14" s="980">
        <f>'P&amp;L'!K91</f>
        <v>2484852.2201735191</v>
      </c>
      <c r="H14" s="980">
        <f>'P&amp;L'!L91</f>
        <v>2674389.8319681454</v>
      </c>
      <c r="I14" s="980">
        <f>'P&amp;L'!M91</f>
        <v>2975376.6168992301</v>
      </c>
      <c r="J14" s="980">
        <f>'P&amp;L'!N91</f>
        <v>3079993.9965006658</v>
      </c>
      <c r="K14" s="980">
        <f>'P&amp;L'!O91</f>
        <v>3017005.2259960319</v>
      </c>
      <c r="L14" s="980">
        <f>'P&amp;L'!P91</f>
        <v>3078567.1548352037</v>
      </c>
      <c r="M14" s="980">
        <f>'P&amp;L'!Q91</f>
        <v>3181915.3737542448</v>
      </c>
      <c r="N14" s="980">
        <f>'P&amp;L'!R91</f>
        <v>3287055.2553201253</v>
      </c>
      <c r="O14" s="980">
        <f>'P&amp;L'!S91</f>
        <v>3347621.532074892</v>
      </c>
      <c r="P14" s="980">
        <f>'P&amp;L'!T91</f>
        <v>3873979.9305229341</v>
      </c>
      <c r="Q14" s="981">
        <f t="shared" si="0"/>
        <v>25800715.887965787</v>
      </c>
      <c r="R14" s="970"/>
      <c r="S14" s="970"/>
      <c r="T14" s="970"/>
      <c r="U14" s="970"/>
      <c r="V14" s="970"/>
      <c r="W14" s="970"/>
      <c r="X14" s="970"/>
      <c r="Y14" s="970"/>
      <c r="Z14" s="970"/>
      <c r="AA14" s="970"/>
      <c r="AB14" s="970"/>
    </row>
    <row r="15" spans="1:28" ht="14.5">
      <c r="A15" s="974"/>
      <c r="B15" s="982" t="s">
        <v>271</v>
      </c>
      <c r="C15" s="983">
        <f>'P&amp;L'!G95</f>
        <v>0</v>
      </c>
      <c r="D15" s="983">
        <f>'P&amp;L'!H95</f>
        <v>0</v>
      </c>
      <c r="E15" s="983">
        <f>'P&amp;L'!I95</f>
        <v>-1463544.69</v>
      </c>
      <c r="F15" s="983">
        <f>'P&amp;L'!J95</f>
        <v>6180518.5192101244</v>
      </c>
      <c r="G15" s="983">
        <f>'P&amp;L'!K95</f>
        <v>5797988.5137382112</v>
      </c>
      <c r="H15" s="983">
        <f>'P&amp;L'!L95</f>
        <v>6240242.941259006</v>
      </c>
      <c r="I15" s="983">
        <f>'P&amp;L'!M95</f>
        <v>6942545.4394315369</v>
      </c>
      <c r="J15" s="983">
        <f>'P&amp;L'!N95</f>
        <v>7186652.6585015543</v>
      </c>
      <c r="K15" s="983">
        <f>'P&amp;L'!O95</f>
        <v>7039678.860657407</v>
      </c>
      <c r="L15" s="983">
        <f>'P&amp;L'!P95</f>
        <v>7183323.3612821419</v>
      </c>
      <c r="M15" s="983">
        <f>'P&amp;L'!Q95</f>
        <v>7424469.2054265719</v>
      </c>
      <c r="N15" s="983">
        <f>'P&amp;L'!R95</f>
        <v>7669795.5957469596</v>
      </c>
      <c r="O15" s="983">
        <f>'P&amp;L'!S95</f>
        <v>7811116.9081747485</v>
      </c>
      <c r="P15" s="983">
        <f>'P&amp;L'!T95</f>
        <v>9039286.5045535136</v>
      </c>
      <c r="Q15" s="984">
        <f t="shared" si="0"/>
        <v>60201670.405253507</v>
      </c>
      <c r="R15" s="970"/>
      <c r="S15" s="970"/>
      <c r="T15" s="970"/>
      <c r="U15" s="970"/>
      <c r="V15" s="970"/>
      <c r="W15" s="970"/>
      <c r="X15" s="970"/>
      <c r="Y15" s="970"/>
      <c r="Z15" s="970"/>
      <c r="AA15" s="970"/>
      <c r="AB15" s="970"/>
    </row>
    <row r="16" spans="1:28" ht="14.5">
      <c r="A16" s="974"/>
      <c r="B16" s="979" t="s">
        <v>360</v>
      </c>
      <c r="C16" s="980">
        <f>'P&amp;L'!G104</f>
        <v>0</v>
      </c>
      <c r="D16" s="980">
        <f>'P&amp;L'!H104</f>
        <v>0</v>
      </c>
      <c r="E16" s="980">
        <f>'P&amp;L'!I104</f>
        <v>0</v>
      </c>
      <c r="F16" s="980">
        <f>'P&amp;L'!J104</f>
        <v>0</v>
      </c>
      <c r="G16" s="980">
        <f>'P&amp;L'!K104</f>
        <v>0</v>
      </c>
      <c r="H16" s="980">
        <f>'P&amp;L'!L104</f>
        <v>0</v>
      </c>
      <c r="I16" s="980">
        <f>'P&amp;L'!M104</f>
        <v>0</v>
      </c>
      <c r="J16" s="980">
        <f>'P&amp;L'!N104</f>
        <v>0</v>
      </c>
      <c r="K16" s="980">
        <f>'P&amp;L'!O104</f>
        <v>0</v>
      </c>
      <c r="L16" s="980">
        <f>'P&amp;L'!P104</f>
        <v>0</v>
      </c>
      <c r="M16" s="980">
        <f>'P&amp;L'!Q104</f>
        <v>0</v>
      </c>
      <c r="N16" s="980">
        <f>'P&amp;L'!R104</f>
        <v>0</v>
      </c>
      <c r="O16" s="980">
        <f>'P&amp;L'!S104</f>
        <v>0</v>
      </c>
      <c r="P16" s="980">
        <f>'P&amp;L'!T104</f>
        <v>0</v>
      </c>
      <c r="Q16" s="981">
        <f t="shared" si="0"/>
        <v>0</v>
      </c>
      <c r="R16" s="970"/>
      <c r="S16" s="970"/>
      <c r="T16" s="970"/>
      <c r="U16" s="970"/>
      <c r="V16" s="970"/>
      <c r="W16" s="970"/>
      <c r="X16" s="970"/>
      <c r="Y16" s="970"/>
      <c r="Z16" s="970"/>
      <c r="AA16" s="970"/>
      <c r="AB16" s="970"/>
    </row>
    <row r="17" spans="1:28" ht="14.5">
      <c r="A17" s="974"/>
      <c r="Q17" s="985"/>
      <c r="R17" s="970"/>
      <c r="S17" s="970"/>
      <c r="T17" s="970"/>
      <c r="U17" s="970"/>
      <c r="V17" s="970"/>
      <c r="W17" s="970"/>
      <c r="X17" s="970"/>
      <c r="Y17" s="970"/>
      <c r="Z17" s="970"/>
      <c r="AA17" s="970"/>
      <c r="AB17" s="970"/>
    </row>
    <row r="18" spans="1:28" ht="14.5">
      <c r="A18" s="974"/>
      <c r="B18" s="974"/>
      <c r="C18" s="974"/>
      <c r="D18" s="974"/>
      <c r="E18" s="974"/>
      <c r="F18" s="974"/>
      <c r="G18" s="974"/>
      <c r="H18" s="974"/>
      <c r="I18" s="974"/>
      <c r="J18" s="974"/>
      <c r="K18" s="974"/>
      <c r="L18" s="974"/>
      <c r="M18" s="974"/>
      <c r="N18" s="974"/>
      <c r="O18" s="974"/>
      <c r="P18" s="974"/>
      <c r="Q18" s="974"/>
      <c r="R18" s="970"/>
      <c r="S18" s="970"/>
      <c r="T18" s="970"/>
      <c r="U18" s="970"/>
      <c r="V18" s="970"/>
      <c r="W18" s="970"/>
      <c r="X18" s="970"/>
      <c r="Y18" s="970"/>
      <c r="Z18" s="970"/>
      <c r="AA18" s="970"/>
      <c r="AB18" s="970"/>
    </row>
    <row r="19" spans="1:28" ht="14.5">
      <c r="A19" s="974"/>
      <c r="B19" s="978"/>
      <c r="C19" s="976" t="s">
        <v>150</v>
      </c>
      <c r="D19" s="976" t="s">
        <v>151</v>
      </c>
      <c r="E19" s="976" t="s">
        <v>152</v>
      </c>
      <c r="F19" s="976" t="s">
        <v>153</v>
      </c>
      <c r="G19" s="976" t="s">
        <v>154</v>
      </c>
      <c r="H19" s="976" t="s">
        <v>155</v>
      </c>
      <c r="I19" s="976" t="s">
        <v>201</v>
      </c>
      <c r="J19" s="976" t="s">
        <v>202</v>
      </c>
      <c r="K19" s="976" t="s">
        <v>203</v>
      </c>
      <c r="L19" s="976" t="s">
        <v>204</v>
      </c>
      <c r="M19" s="976" t="s">
        <v>205</v>
      </c>
      <c r="N19" s="976" t="s">
        <v>206</v>
      </c>
      <c r="O19" s="976" t="s">
        <v>207</v>
      </c>
      <c r="P19" s="976" t="s">
        <v>208</v>
      </c>
      <c r="Q19" s="974"/>
      <c r="R19" s="970"/>
      <c r="S19" s="970"/>
      <c r="T19" s="970"/>
      <c r="U19" s="970"/>
      <c r="V19" s="970"/>
      <c r="W19" s="970"/>
      <c r="X19" s="970"/>
      <c r="Y19" s="970"/>
      <c r="Z19" s="970"/>
      <c r="AA19" s="970"/>
      <c r="AB19" s="970"/>
    </row>
    <row r="20" spans="1:28" ht="14.5">
      <c r="A20" s="974"/>
      <c r="B20" s="978" t="s">
        <v>1786</v>
      </c>
      <c r="C20" s="974"/>
      <c r="D20" s="974"/>
      <c r="E20" s="974"/>
      <c r="F20" s="974"/>
      <c r="G20" s="974"/>
      <c r="H20" s="974"/>
      <c r="I20" s="974"/>
      <c r="J20" s="974"/>
      <c r="K20" s="974"/>
      <c r="L20" s="974"/>
      <c r="M20" s="974"/>
      <c r="N20" s="974"/>
      <c r="O20" s="974"/>
      <c r="P20" s="974"/>
      <c r="Q20" s="986"/>
      <c r="R20" s="970"/>
      <c r="S20" s="970"/>
      <c r="T20" s="970"/>
      <c r="U20" s="970"/>
      <c r="V20" s="970"/>
      <c r="W20" s="970"/>
      <c r="X20" s="970"/>
      <c r="Y20" s="970"/>
      <c r="Z20" s="970"/>
      <c r="AA20" s="970"/>
      <c r="AB20" s="970"/>
    </row>
    <row r="21" spans="1:28" ht="14.5">
      <c r="A21" s="974"/>
      <c r="B21" s="987" t="s">
        <v>493</v>
      </c>
      <c r="C21" s="988"/>
      <c r="D21" s="988"/>
      <c r="E21" s="988"/>
      <c r="F21" s="988"/>
      <c r="G21" s="988"/>
      <c r="H21" s="988"/>
      <c r="I21" s="988"/>
      <c r="J21" s="988"/>
      <c r="K21" s="988"/>
      <c r="L21" s="988"/>
      <c r="M21" s="988"/>
      <c r="N21" s="988"/>
      <c r="O21" s="989"/>
      <c r="P21" s="989"/>
      <c r="Q21" s="990"/>
      <c r="R21" s="970"/>
      <c r="S21" s="970"/>
      <c r="T21" s="970"/>
      <c r="U21" s="970"/>
      <c r="V21" s="970"/>
      <c r="W21" s="970"/>
      <c r="X21" s="970"/>
      <c r="Y21" s="970"/>
      <c r="Z21" s="970"/>
      <c r="AA21" s="970"/>
      <c r="AB21" s="970"/>
    </row>
    <row r="22" spans="1:28" ht="15.75" customHeight="1">
      <c r="A22" s="974"/>
      <c r="B22" s="979" t="s">
        <v>496</v>
      </c>
      <c r="C22" s="980">
        <f>'Balance Sheet'!F15</f>
        <v>0</v>
      </c>
      <c r="D22" s="980">
        <f>'Balance Sheet'!G15</f>
        <v>0</v>
      </c>
      <c r="E22" s="980">
        <f>'Balance Sheet'!H15</f>
        <v>452228.39999999851</v>
      </c>
      <c r="F22" s="980">
        <f>'Balance Sheet'!I15</f>
        <v>3547612.2446639407</v>
      </c>
      <c r="G22" s="980">
        <f>'Balance Sheet'!J15</f>
        <v>4198009.6988230934</v>
      </c>
      <c r="H22" s="980">
        <f>'Balance Sheet'!K15</f>
        <v>4940308.1692356858</v>
      </c>
      <c r="I22" s="980">
        <f>'Balance Sheet'!L15</f>
        <v>5834329.3693275601</v>
      </c>
      <c r="J22" s="980">
        <f>'Balance Sheet'!M15</f>
        <v>6721793.0886639655</v>
      </c>
      <c r="K22" s="980">
        <f>'Balance Sheet'!N15</f>
        <v>7581231.6077445392</v>
      </c>
      <c r="L22" s="980">
        <f>'Balance Sheet'!O15</f>
        <v>8470809.0022907909</v>
      </c>
      <c r="M22" s="980">
        <f>'Balance Sheet'!P15</f>
        <v>9410067.1527464427</v>
      </c>
      <c r="N22" s="980">
        <f>'Balance Sheet'!Q15</f>
        <v>10399885.011250651</v>
      </c>
      <c r="O22" s="980">
        <f>'Balance Sheet'!R15</f>
        <v>13003995.047798254</v>
      </c>
      <c r="P22" s="980">
        <f>'Balance Sheet'!S15</f>
        <v>15855322.960011873</v>
      </c>
      <c r="Q22" s="990"/>
      <c r="R22" s="970"/>
      <c r="S22" s="970"/>
      <c r="T22" s="970"/>
      <c r="U22" s="970"/>
      <c r="V22" s="970"/>
      <c r="W22" s="970"/>
      <c r="X22" s="970"/>
      <c r="Y22" s="970"/>
      <c r="Z22" s="970"/>
      <c r="AA22" s="970"/>
      <c r="AB22" s="970"/>
    </row>
    <row r="23" spans="1:28" ht="15.75" customHeight="1">
      <c r="A23" s="974"/>
      <c r="B23" s="987" t="s">
        <v>497</v>
      </c>
      <c r="C23" s="988"/>
      <c r="D23" s="988"/>
      <c r="E23" s="988"/>
      <c r="F23" s="988"/>
      <c r="G23" s="988"/>
      <c r="H23" s="988"/>
      <c r="I23" s="988"/>
      <c r="J23" s="988"/>
      <c r="K23" s="988"/>
      <c r="L23" s="988"/>
      <c r="M23" s="988"/>
      <c r="N23" s="988"/>
      <c r="O23" s="989"/>
      <c r="P23" s="989"/>
      <c r="Q23" s="990"/>
      <c r="R23" s="970"/>
      <c r="S23" s="970"/>
      <c r="T23" s="970"/>
      <c r="U23" s="970"/>
      <c r="V23" s="970"/>
      <c r="W23" s="970"/>
      <c r="X23" s="970"/>
      <c r="Y23" s="970"/>
      <c r="Z23" s="970"/>
      <c r="AA23" s="970"/>
      <c r="AB23" s="970"/>
    </row>
    <row r="24" spans="1:28" ht="15.75" customHeight="1">
      <c r="A24" s="974"/>
      <c r="B24" s="979" t="s">
        <v>503</v>
      </c>
      <c r="C24" s="980">
        <f>'Balance Sheet'!F23</f>
        <v>0</v>
      </c>
      <c r="D24" s="980">
        <f>'Balance Sheet'!G23</f>
        <v>0</v>
      </c>
      <c r="E24" s="980">
        <f>'Balance Sheet'!H23</f>
        <v>20580525</v>
      </c>
      <c r="F24" s="980">
        <f>'Balance Sheet'!I23</f>
        <v>19592448.75</v>
      </c>
      <c r="G24" s="980">
        <f>'Balance Sheet'!J23</f>
        <v>18604372.5</v>
      </c>
      <c r="H24" s="980">
        <f>'Balance Sheet'!K23</f>
        <v>17616296.25</v>
      </c>
      <c r="I24" s="980">
        <f>'Balance Sheet'!L23</f>
        <v>16628220</v>
      </c>
      <c r="J24" s="980">
        <f>'Balance Sheet'!M23</f>
        <v>15640143.75</v>
      </c>
      <c r="K24" s="980">
        <f>'Balance Sheet'!N23</f>
        <v>14652067.5</v>
      </c>
      <c r="L24" s="980">
        <f>'Balance Sheet'!O23</f>
        <v>13663991.25</v>
      </c>
      <c r="M24" s="980">
        <f>'Balance Sheet'!P23</f>
        <v>12675915</v>
      </c>
      <c r="N24" s="980">
        <f>'Balance Sheet'!Q23</f>
        <v>11687838.75</v>
      </c>
      <c r="O24" s="980">
        <f>'Balance Sheet'!R23</f>
        <v>10699762.5</v>
      </c>
      <c r="P24" s="980">
        <f>'Balance Sheet'!S23</f>
        <v>9711686.25</v>
      </c>
      <c r="Q24" s="990"/>
      <c r="R24" s="970"/>
      <c r="S24" s="970"/>
      <c r="T24" s="970"/>
      <c r="U24" s="970"/>
      <c r="V24" s="970"/>
      <c r="W24" s="970"/>
      <c r="X24" s="970"/>
      <c r="Y24" s="970"/>
      <c r="Z24" s="970"/>
      <c r="AA24" s="970"/>
      <c r="AB24" s="970"/>
    </row>
    <row r="25" spans="1:28" ht="15.75" customHeight="1">
      <c r="A25" s="974"/>
      <c r="B25" s="982" t="s">
        <v>504</v>
      </c>
      <c r="C25" s="983">
        <f t="shared" ref="C25:P25" si="3">C22+C24</f>
        <v>0</v>
      </c>
      <c r="D25" s="983">
        <f t="shared" si="3"/>
        <v>0</v>
      </c>
      <c r="E25" s="983">
        <f t="shared" si="3"/>
        <v>21032753.399999999</v>
      </c>
      <c r="F25" s="983">
        <f t="shared" si="3"/>
        <v>23140060.994663939</v>
      </c>
      <c r="G25" s="983">
        <f t="shared" si="3"/>
        <v>22802382.198823094</v>
      </c>
      <c r="H25" s="983">
        <f t="shared" si="3"/>
        <v>22556604.419235684</v>
      </c>
      <c r="I25" s="983">
        <f t="shared" si="3"/>
        <v>22462549.36932756</v>
      </c>
      <c r="J25" s="983">
        <f t="shared" si="3"/>
        <v>22361936.838663965</v>
      </c>
      <c r="K25" s="983">
        <f t="shared" si="3"/>
        <v>22233299.107744537</v>
      </c>
      <c r="L25" s="983">
        <f t="shared" si="3"/>
        <v>22134800.252290793</v>
      </c>
      <c r="M25" s="983">
        <f t="shared" si="3"/>
        <v>22085982.152746443</v>
      </c>
      <c r="N25" s="983">
        <f t="shared" si="3"/>
        <v>22087723.761250652</v>
      </c>
      <c r="O25" s="983">
        <f t="shared" si="3"/>
        <v>23703757.547798254</v>
      </c>
      <c r="P25" s="983">
        <f t="shared" si="3"/>
        <v>25567009.210011873</v>
      </c>
      <c r="Q25" s="991"/>
      <c r="R25" s="970"/>
      <c r="S25" s="970"/>
      <c r="T25" s="970"/>
      <c r="U25" s="970"/>
      <c r="V25" s="970"/>
      <c r="W25" s="970"/>
      <c r="X25" s="970"/>
      <c r="Y25" s="970"/>
      <c r="Z25" s="970"/>
      <c r="AA25" s="970"/>
      <c r="AB25" s="970"/>
    </row>
    <row r="26" spans="1:28" ht="15.75" customHeight="1">
      <c r="A26" s="974"/>
      <c r="B26" s="987" t="s">
        <v>507</v>
      </c>
      <c r="C26" s="988"/>
      <c r="D26" s="988"/>
      <c r="E26" s="988"/>
      <c r="F26" s="988"/>
      <c r="G26" s="988"/>
      <c r="H26" s="988"/>
      <c r="I26" s="988"/>
      <c r="J26" s="988"/>
      <c r="K26" s="988"/>
      <c r="L26" s="988"/>
      <c r="M26" s="988"/>
      <c r="N26" s="988"/>
      <c r="O26" s="988"/>
      <c r="P26" s="988"/>
      <c r="Q26" s="990"/>
      <c r="R26" s="970"/>
      <c r="S26" s="970"/>
      <c r="T26" s="970"/>
      <c r="U26" s="970"/>
      <c r="V26" s="970"/>
      <c r="W26" s="970"/>
      <c r="X26" s="970"/>
      <c r="Y26" s="970"/>
      <c r="Z26" s="970"/>
      <c r="AA26" s="970"/>
      <c r="AB26" s="970"/>
    </row>
    <row r="27" spans="1:28" ht="15.75" customHeight="1">
      <c r="A27" s="974"/>
      <c r="B27" s="979" t="s">
        <v>1787</v>
      </c>
      <c r="C27" s="980">
        <f>'Balance Sheet'!F34</f>
        <v>0</v>
      </c>
      <c r="D27" s="980">
        <f>'Balance Sheet'!G34</f>
        <v>0</v>
      </c>
      <c r="E27" s="980">
        <f>'Balance Sheet'!H34</f>
        <v>850000</v>
      </c>
      <c r="F27" s="980">
        <f>'Balance Sheet'!I34</f>
        <v>2208966.6838006848</v>
      </c>
      <c r="G27" s="980">
        <f>'Balance Sheet'!J34</f>
        <v>2283338.965754359</v>
      </c>
      <c r="H27" s="980">
        <f>'Balance Sheet'!K34</f>
        <v>2315199.5569002177</v>
      </c>
      <c r="I27" s="980">
        <f>'Balance Sheet'!L34</f>
        <v>2341102.6015588962</v>
      </c>
      <c r="J27" s="980">
        <f>'Balance Sheet'!M34</f>
        <v>2363307.2609398011</v>
      </c>
      <c r="K27" s="980">
        <f>'Balance Sheet'!N34</f>
        <v>2432618.03528101</v>
      </c>
      <c r="L27" s="980">
        <f>'Balance Sheet'!O34</f>
        <v>2469026.8800322679</v>
      </c>
      <c r="M27" s="980">
        <f>'Balance Sheet'!P34</f>
        <v>2495244.9347838564</v>
      </c>
      <c r="N27" s="980">
        <f>'Balance Sheet'!Q34</f>
        <v>937777.27726032503</v>
      </c>
      <c r="O27" s="980">
        <f>'Balance Sheet'!R34</f>
        <v>973134.30387680512</v>
      </c>
      <c r="P27" s="980">
        <f>'Balance Sheet'!S34</f>
        <v>949776.5676944498</v>
      </c>
      <c r="Q27" s="990"/>
      <c r="R27" s="970"/>
      <c r="S27" s="970"/>
      <c r="T27" s="970"/>
      <c r="U27" s="970"/>
      <c r="V27" s="970"/>
      <c r="W27" s="970"/>
      <c r="X27" s="970"/>
      <c r="Y27" s="970"/>
      <c r="Z27" s="970"/>
      <c r="AA27" s="970"/>
      <c r="AB27" s="970"/>
    </row>
    <row r="28" spans="1:28" ht="15.75" customHeight="1">
      <c r="A28" s="974"/>
      <c r="B28" s="987" t="s">
        <v>512</v>
      </c>
      <c r="C28" s="988"/>
      <c r="D28" s="988"/>
      <c r="E28" s="988"/>
      <c r="F28" s="988"/>
      <c r="G28" s="988"/>
      <c r="H28" s="988"/>
      <c r="I28" s="988"/>
      <c r="J28" s="988"/>
      <c r="K28" s="988"/>
      <c r="L28" s="988"/>
      <c r="M28" s="988"/>
      <c r="N28" s="988"/>
      <c r="O28" s="988"/>
      <c r="P28" s="988"/>
      <c r="Q28" s="990"/>
      <c r="R28" s="970"/>
      <c r="S28" s="970"/>
      <c r="T28" s="970"/>
      <c r="U28" s="970"/>
      <c r="V28" s="970"/>
      <c r="W28" s="970"/>
      <c r="X28" s="970"/>
      <c r="Y28" s="970"/>
      <c r="Z28" s="970"/>
      <c r="AA28" s="970"/>
      <c r="AB28" s="970"/>
    </row>
    <row r="29" spans="1:28" ht="15.75" customHeight="1">
      <c r="A29" s="974"/>
      <c r="B29" s="979" t="s">
        <v>1788</v>
      </c>
      <c r="C29" s="980">
        <f>'Balance Sheet'!F38</f>
        <v>0</v>
      </c>
      <c r="D29" s="980">
        <f>'Balance Sheet'!G38</f>
        <v>0</v>
      </c>
      <c r="E29" s="980">
        <f>'Balance Sheet'!H38</f>
        <v>12675915</v>
      </c>
      <c r="F29" s="980">
        <f>'Balance Sheet'!I38</f>
        <v>11091425.625</v>
      </c>
      <c r="G29" s="980">
        <f>'Balance Sheet'!J38</f>
        <v>9506936.25</v>
      </c>
      <c r="H29" s="980">
        <f>'Balance Sheet'!K38</f>
        <v>7922446.875</v>
      </c>
      <c r="I29" s="980">
        <f>'Balance Sheet'!L38</f>
        <v>6337957.5</v>
      </c>
      <c r="J29" s="980">
        <f>'Balance Sheet'!M38</f>
        <v>4753468.125</v>
      </c>
      <c r="K29" s="980">
        <f>'Balance Sheet'!N38</f>
        <v>3168978.75</v>
      </c>
      <c r="L29" s="980">
        <f>'Balance Sheet'!O38</f>
        <v>1584489.375</v>
      </c>
      <c r="M29" s="980">
        <f>'Balance Sheet'!P38</f>
        <v>0</v>
      </c>
      <c r="N29" s="980">
        <f>'Balance Sheet'!Q38</f>
        <v>0</v>
      </c>
      <c r="O29" s="980">
        <f>'Balance Sheet'!R38</f>
        <v>0</v>
      </c>
      <c r="P29" s="980">
        <f>'Balance Sheet'!S38</f>
        <v>0</v>
      </c>
      <c r="Q29" s="990"/>
      <c r="R29" s="970"/>
      <c r="S29" s="970"/>
      <c r="T29" s="970"/>
      <c r="U29" s="970"/>
      <c r="V29" s="970"/>
      <c r="W29" s="970"/>
      <c r="X29" s="970"/>
      <c r="Y29" s="970"/>
      <c r="Z29" s="970"/>
      <c r="AA29" s="970"/>
      <c r="AB29" s="970"/>
    </row>
    <row r="30" spans="1:28" ht="15.75" customHeight="1">
      <c r="A30" s="974"/>
      <c r="B30" s="982" t="s">
        <v>514</v>
      </c>
      <c r="C30" s="983">
        <f t="shared" ref="C30:P30" si="4">C27+C29</f>
        <v>0</v>
      </c>
      <c r="D30" s="983">
        <f t="shared" si="4"/>
        <v>0</v>
      </c>
      <c r="E30" s="983">
        <f t="shared" si="4"/>
        <v>13525915</v>
      </c>
      <c r="F30" s="983">
        <f t="shared" si="4"/>
        <v>13300392.308800684</v>
      </c>
      <c r="G30" s="983">
        <f t="shared" si="4"/>
        <v>11790275.21575436</v>
      </c>
      <c r="H30" s="983">
        <f t="shared" si="4"/>
        <v>10237646.431900218</v>
      </c>
      <c r="I30" s="983">
        <f t="shared" si="4"/>
        <v>8679060.1015588958</v>
      </c>
      <c r="J30" s="983">
        <f t="shared" si="4"/>
        <v>7116775.3859398011</v>
      </c>
      <c r="K30" s="983">
        <f t="shared" si="4"/>
        <v>5601596.78528101</v>
      </c>
      <c r="L30" s="983">
        <f t="shared" si="4"/>
        <v>4053516.2550322679</v>
      </c>
      <c r="M30" s="983">
        <f t="shared" si="4"/>
        <v>2495244.9347838564</v>
      </c>
      <c r="N30" s="983">
        <f t="shared" si="4"/>
        <v>937777.27726032503</v>
      </c>
      <c r="O30" s="983">
        <f t="shared" si="4"/>
        <v>973134.30387680512</v>
      </c>
      <c r="P30" s="983">
        <f t="shared" si="4"/>
        <v>949776.5676944498</v>
      </c>
      <c r="Q30" s="991"/>
      <c r="R30" s="970"/>
      <c r="S30" s="970"/>
      <c r="T30" s="970"/>
      <c r="U30" s="970"/>
      <c r="V30" s="970"/>
      <c r="W30" s="970"/>
      <c r="X30" s="970"/>
      <c r="Y30" s="970"/>
      <c r="Z30" s="970"/>
      <c r="AA30" s="970"/>
      <c r="AB30" s="970"/>
    </row>
    <row r="31" spans="1:28" ht="15.75" customHeight="1">
      <c r="A31" s="974"/>
      <c r="B31" s="992"/>
      <c r="C31" s="993"/>
      <c r="D31" s="993"/>
      <c r="E31" s="993"/>
      <c r="F31" s="993"/>
      <c r="G31" s="993"/>
      <c r="H31" s="993"/>
      <c r="I31" s="993"/>
      <c r="J31" s="993"/>
      <c r="K31" s="993"/>
      <c r="L31" s="993"/>
      <c r="M31" s="993"/>
      <c r="N31" s="993"/>
      <c r="O31" s="993"/>
      <c r="P31" s="993"/>
      <c r="Q31" s="994"/>
      <c r="R31" s="970"/>
      <c r="S31" s="970"/>
      <c r="T31" s="970"/>
      <c r="U31" s="970"/>
      <c r="V31" s="970"/>
      <c r="W31" s="970"/>
      <c r="X31" s="970"/>
      <c r="Y31" s="970"/>
      <c r="Z31" s="970"/>
      <c r="AA31" s="970"/>
      <c r="AB31" s="970"/>
    </row>
    <row r="32" spans="1:28" ht="15.75" customHeight="1">
      <c r="A32" s="970"/>
      <c r="B32" s="982" t="s">
        <v>1789</v>
      </c>
      <c r="C32" s="983">
        <f>'Balance Sheet'!F45</f>
        <v>0</v>
      </c>
      <c r="D32" s="983">
        <f>'Balance Sheet'!G45</f>
        <v>0</v>
      </c>
      <c r="E32" s="983">
        <f>'Balance Sheet'!H45</f>
        <v>7506838.4000000004</v>
      </c>
      <c r="F32" s="983">
        <f>'Balance Sheet'!I45</f>
        <v>9839668.6858632565</v>
      </c>
      <c r="G32" s="983">
        <f>'Balance Sheet'!J45</f>
        <v>11012106.983068733</v>
      </c>
      <c r="H32" s="983">
        <f>'Balance Sheet'!K45</f>
        <v>12318957.987335462</v>
      </c>
      <c r="I32" s="983">
        <f>'Balance Sheet'!L45</f>
        <v>13783489.267768661</v>
      </c>
      <c r="J32" s="983">
        <f>'Balance Sheet'!M45</f>
        <v>15245161.452724159</v>
      </c>
      <c r="K32" s="983">
        <f>'Balance Sheet'!N45</f>
        <v>16631702.322463522</v>
      </c>
      <c r="L32" s="983">
        <f>'Balance Sheet'!O45</f>
        <v>18081283.997258518</v>
      </c>
      <c r="M32" s="983">
        <f>'Balance Sheet'!P45</f>
        <v>19590737.217962582</v>
      </c>
      <c r="N32" s="983">
        <f>'Balance Sheet'!Q45</f>
        <v>21149946.483990319</v>
      </c>
      <c r="O32" s="983">
        <f>'Balance Sheet'!R45</f>
        <v>22730623.243921448</v>
      </c>
      <c r="P32" s="983">
        <f>'Balance Sheet'!S45</f>
        <v>24617232.642317418</v>
      </c>
      <c r="Q32" s="991"/>
      <c r="R32" s="970"/>
      <c r="S32" s="970"/>
      <c r="T32" s="970"/>
      <c r="U32" s="970"/>
      <c r="V32" s="970"/>
      <c r="W32" s="970"/>
      <c r="X32" s="970"/>
      <c r="Y32" s="970"/>
      <c r="Z32" s="970"/>
      <c r="AA32" s="970"/>
      <c r="AB32" s="970"/>
    </row>
    <row r="33" spans="1:28" ht="15.75" customHeight="1">
      <c r="A33" s="970"/>
      <c r="B33" s="995"/>
      <c r="C33" s="996"/>
      <c r="D33" s="997">
        <f t="shared" ref="D33:P33" si="5">D25-D30-D32</f>
        <v>0</v>
      </c>
      <c r="E33" s="997">
        <f t="shared" si="5"/>
        <v>0</v>
      </c>
      <c r="F33" s="997">
        <f t="shared" si="5"/>
        <v>0</v>
      </c>
      <c r="G33" s="997">
        <f t="shared" si="5"/>
        <v>0</v>
      </c>
      <c r="H33" s="997">
        <f t="shared" si="5"/>
        <v>0</v>
      </c>
      <c r="I33" s="997">
        <f t="shared" si="5"/>
        <v>0</v>
      </c>
      <c r="J33" s="997">
        <f t="shared" si="5"/>
        <v>0</v>
      </c>
      <c r="K33" s="997">
        <f t="shared" si="5"/>
        <v>0</v>
      </c>
      <c r="L33" s="997">
        <f t="shared" si="5"/>
        <v>0</v>
      </c>
      <c r="M33" s="997">
        <f t="shared" si="5"/>
        <v>0</v>
      </c>
      <c r="N33" s="997">
        <f t="shared" si="5"/>
        <v>0</v>
      </c>
      <c r="O33" s="997">
        <f t="shared" si="5"/>
        <v>0</v>
      </c>
      <c r="P33" s="997">
        <f t="shared" si="5"/>
        <v>0</v>
      </c>
      <c r="Q33" s="974"/>
      <c r="R33" s="970"/>
      <c r="S33" s="970"/>
      <c r="T33" s="970"/>
      <c r="U33" s="970"/>
      <c r="V33" s="970"/>
      <c r="W33" s="970"/>
      <c r="X33" s="970"/>
      <c r="Y33" s="970"/>
      <c r="Z33" s="970"/>
      <c r="AA33" s="970"/>
      <c r="AB33" s="970"/>
    </row>
    <row r="34" spans="1:28" ht="15.75" customHeight="1">
      <c r="A34" s="970"/>
      <c r="B34" s="970"/>
      <c r="C34" s="974"/>
      <c r="D34" s="974"/>
      <c r="E34" s="974"/>
      <c r="F34" s="974"/>
      <c r="G34" s="974"/>
      <c r="H34" s="974"/>
      <c r="I34" s="974"/>
      <c r="J34" s="974"/>
      <c r="K34" s="974"/>
      <c r="L34" s="974"/>
      <c r="M34" s="974"/>
      <c r="N34" s="974"/>
      <c r="O34" s="974"/>
      <c r="P34" s="974"/>
      <c r="Q34" s="974"/>
      <c r="R34" s="970"/>
      <c r="S34" s="970"/>
      <c r="T34" s="970"/>
      <c r="U34" s="970"/>
      <c r="V34" s="970"/>
      <c r="W34" s="970"/>
      <c r="X34" s="970"/>
      <c r="Y34" s="970"/>
      <c r="Z34" s="970"/>
      <c r="AA34" s="970"/>
      <c r="AB34" s="970"/>
    </row>
    <row r="35" spans="1:28" ht="15.75" customHeight="1">
      <c r="A35" s="970"/>
      <c r="B35" s="978"/>
      <c r="C35" s="976" t="s">
        <v>150</v>
      </c>
      <c r="D35" s="976" t="s">
        <v>151</v>
      </c>
      <c r="E35" s="976" t="s">
        <v>152</v>
      </c>
      <c r="F35" s="976" t="s">
        <v>153</v>
      </c>
      <c r="G35" s="976" t="s">
        <v>154</v>
      </c>
      <c r="H35" s="976" t="s">
        <v>155</v>
      </c>
      <c r="I35" s="976" t="s">
        <v>201</v>
      </c>
      <c r="J35" s="976" t="s">
        <v>202</v>
      </c>
      <c r="K35" s="976" t="s">
        <v>203</v>
      </c>
      <c r="L35" s="976" t="s">
        <v>204</v>
      </c>
      <c r="M35" s="976" t="s">
        <v>205</v>
      </c>
      <c r="N35" s="976" t="s">
        <v>206</v>
      </c>
      <c r="O35" s="976" t="s">
        <v>207</v>
      </c>
      <c r="P35" s="976" t="s">
        <v>208</v>
      </c>
      <c r="Q35" s="998"/>
      <c r="R35" s="970"/>
      <c r="S35" s="970"/>
      <c r="T35" s="970"/>
      <c r="U35" s="970"/>
      <c r="V35" s="970"/>
      <c r="W35" s="970"/>
      <c r="X35" s="970"/>
      <c r="Y35" s="970"/>
      <c r="Z35" s="970"/>
      <c r="AA35" s="970"/>
      <c r="AB35" s="970"/>
    </row>
    <row r="36" spans="1:28" ht="15.75" customHeight="1">
      <c r="A36" s="970"/>
      <c r="B36" s="978" t="s">
        <v>1790</v>
      </c>
      <c r="C36" s="978"/>
      <c r="D36" s="978"/>
      <c r="E36" s="978"/>
      <c r="F36" s="978"/>
      <c r="G36" s="978"/>
      <c r="H36" s="978"/>
      <c r="I36" s="978"/>
      <c r="J36" s="978"/>
      <c r="K36" s="978"/>
      <c r="L36" s="978"/>
      <c r="M36" s="978"/>
      <c r="N36" s="978"/>
      <c r="O36" s="978"/>
      <c r="P36" s="978"/>
      <c r="Q36" s="978"/>
      <c r="R36" s="970"/>
      <c r="S36" s="970"/>
      <c r="T36" s="970"/>
      <c r="U36" s="970"/>
      <c r="V36" s="970"/>
      <c r="W36" s="970"/>
      <c r="X36" s="970"/>
      <c r="Y36" s="970"/>
      <c r="Z36" s="970"/>
      <c r="AA36" s="970"/>
      <c r="AB36" s="970"/>
    </row>
    <row r="37" spans="1:28" ht="15.75" customHeight="1">
      <c r="A37" s="970"/>
      <c r="B37" s="970"/>
      <c r="C37" s="974"/>
      <c r="D37" s="974"/>
      <c r="E37" s="974"/>
      <c r="F37" s="974"/>
      <c r="G37" s="974"/>
      <c r="H37" s="974"/>
      <c r="I37" s="974"/>
      <c r="J37" s="974"/>
      <c r="K37" s="974"/>
      <c r="L37" s="974"/>
      <c r="M37" s="974"/>
      <c r="N37" s="974"/>
      <c r="O37" s="974"/>
      <c r="P37" s="974"/>
      <c r="Q37" s="974"/>
      <c r="R37" s="970"/>
      <c r="S37" s="970"/>
      <c r="T37" s="970"/>
      <c r="U37" s="970"/>
      <c r="V37" s="970"/>
      <c r="W37" s="970"/>
      <c r="X37" s="970"/>
      <c r="Y37" s="970"/>
      <c r="Z37" s="970"/>
      <c r="AA37" s="970"/>
      <c r="AB37" s="970"/>
    </row>
    <row r="38" spans="1:28" ht="15.75" customHeight="1">
      <c r="A38" s="970"/>
      <c r="B38" s="995" t="s">
        <v>340</v>
      </c>
      <c r="C38" s="997">
        <f>Cashflow!D10</f>
        <v>0</v>
      </c>
      <c r="D38" s="997">
        <f>Cashflow!E10</f>
        <v>0</v>
      </c>
      <c r="E38" s="997">
        <f>Cashflow!F10</f>
        <v>0</v>
      </c>
      <c r="F38" s="997">
        <f>Cashflow!G10</f>
        <v>452228.39999999851</v>
      </c>
      <c r="G38" s="997">
        <f>Cashflow!H10</f>
        <v>1724785.5788420234</v>
      </c>
      <c r="H38" s="997">
        <f>Cashflow!I10</f>
        <v>2184190.0265896698</v>
      </c>
      <c r="I38" s="997">
        <f>Cashflow!J10</f>
        <v>2729888.0048414734</v>
      </c>
      <c r="J38" s="997">
        <f>Cashflow!K10</f>
        <v>3408438.9677277789</v>
      </c>
      <c r="K38" s="997">
        <f>Cashflow!L10</f>
        <v>4135811.3744280911</v>
      </c>
      <c r="L38" s="997">
        <f>Cashflow!M10</f>
        <v>4833789.0215595746</v>
      </c>
      <c r="M38" s="997">
        <f>Cashflow!N10</f>
        <v>5560495.5688160015</v>
      </c>
      <c r="N38" s="997">
        <f>Cashflow!O10</f>
        <v>6335431.2849013144</v>
      </c>
      <c r="O38" s="997">
        <f>Cashflow!P10</f>
        <v>7159432.279050706</v>
      </c>
      <c r="P38" s="997">
        <f>Cashflow!Q10</f>
        <v>9596186.910685651</v>
      </c>
      <c r="Q38" s="974"/>
      <c r="R38" s="970"/>
      <c r="S38" s="970"/>
      <c r="T38" s="970"/>
      <c r="U38" s="970"/>
      <c r="V38" s="970"/>
      <c r="W38" s="970"/>
      <c r="X38" s="970"/>
      <c r="Y38" s="970"/>
      <c r="Z38" s="970"/>
      <c r="AA38" s="970"/>
      <c r="AB38" s="970"/>
    </row>
    <row r="39" spans="1:28" ht="15.75" customHeight="1">
      <c r="A39" s="970"/>
      <c r="B39" s="995"/>
      <c r="C39" s="996"/>
      <c r="D39" s="996"/>
      <c r="E39" s="996"/>
      <c r="F39" s="996"/>
      <c r="G39" s="996"/>
      <c r="H39" s="996"/>
      <c r="I39" s="996"/>
      <c r="J39" s="996"/>
      <c r="K39" s="996"/>
      <c r="L39" s="996"/>
      <c r="M39" s="996"/>
      <c r="N39" s="996"/>
      <c r="O39" s="996"/>
      <c r="P39" s="996"/>
      <c r="Q39" s="974"/>
      <c r="R39" s="970"/>
      <c r="S39" s="970"/>
      <c r="T39" s="970"/>
      <c r="U39" s="970"/>
      <c r="V39" s="970"/>
      <c r="W39" s="970"/>
      <c r="X39" s="970"/>
      <c r="Y39" s="970"/>
      <c r="Z39" s="970"/>
      <c r="AA39" s="970"/>
      <c r="AB39" s="970"/>
    </row>
    <row r="40" spans="1:28" ht="15.75" customHeight="1">
      <c r="A40" s="970"/>
      <c r="B40" s="995" t="s">
        <v>1791</v>
      </c>
      <c r="C40" s="997">
        <f>Cashflow!D23</f>
        <v>0</v>
      </c>
      <c r="D40" s="997">
        <f>Cashflow!E23</f>
        <v>0</v>
      </c>
      <c r="E40" s="997">
        <f>Cashflow!F23</f>
        <v>22496298.09</v>
      </c>
      <c r="F40" s="997">
        <f>Cashflow!G23</f>
        <v>18772333.414999999</v>
      </c>
      <c r="G40" s="997">
        <f>Cashflow!H23</f>
        <v>19676502.288939998</v>
      </c>
      <c r="H40" s="997">
        <f>Cashflow!I23</f>
        <v>20615521.882462904</v>
      </c>
      <c r="I40" s="997">
        <f>Cashflow!J23</f>
        <v>21808634.554464001</v>
      </c>
      <c r="J40" s="997">
        <f>Cashflow!K23</f>
        <v>22300756.692269798</v>
      </c>
      <c r="K40" s="997">
        <f>Cashflow!L23</f>
        <v>22807316.061739061</v>
      </c>
      <c r="L40" s="997">
        <f>Cashflow!M23</f>
        <v>23328737.619009934</v>
      </c>
      <c r="M40" s="997">
        <f>Cashflow!N23</f>
        <v>23865458.864884399</v>
      </c>
      <c r="N40" s="997">
        <f>Cashflow!O23</f>
        <v>24417930.216067705</v>
      </c>
      <c r="O40" s="997">
        <f>Cashflow!P23</f>
        <v>24986615.387417436</v>
      </c>
      <c r="P40" s="997">
        <f>Cashflow!Q23</f>
        <v>25571991.785529338</v>
      </c>
      <c r="Q40" s="974"/>
      <c r="R40" s="970"/>
      <c r="S40" s="970"/>
      <c r="T40" s="970"/>
      <c r="U40" s="970"/>
      <c r="V40" s="970"/>
      <c r="W40" s="970"/>
      <c r="X40" s="970"/>
      <c r="Y40" s="970"/>
      <c r="Z40" s="970"/>
      <c r="AA40" s="970"/>
      <c r="AB40" s="970"/>
    </row>
    <row r="41" spans="1:28" ht="15.75" customHeight="1">
      <c r="A41" s="970"/>
      <c r="B41" s="995"/>
      <c r="C41" s="996"/>
      <c r="D41" s="996"/>
      <c r="E41" s="996"/>
      <c r="F41" s="996"/>
      <c r="G41" s="996"/>
      <c r="H41" s="996"/>
      <c r="I41" s="996"/>
      <c r="J41" s="996"/>
      <c r="K41" s="996"/>
      <c r="L41" s="996"/>
      <c r="M41" s="996"/>
      <c r="N41" s="996"/>
      <c r="O41" s="996"/>
      <c r="P41" s="996"/>
      <c r="Q41" s="974"/>
      <c r="R41" s="970"/>
      <c r="S41" s="970"/>
      <c r="T41" s="970"/>
      <c r="U41" s="970"/>
      <c r="V41" s="970"/>
      <c r="W41" s="970"/>
      <c r="X41" s="970"/>
      <c r="Y41" s="970"/>
      <c r="Z41" s="970"/>
      <c r="AA41" s="970"/>
      <c r="AB41" s="970"/>
    </row>
    <row r="42" spans="1:28" ht="15.75" customHeight="1">
      <c r="A42" s="970"/>
      <c r="B42" s="995" t="s">
        <v>1792</v>
      </c>
      <c r="C42" s="999">
        <f>Cashflow!D35</f>
        <v>0</v>
      </c>
      <c r="D42" s="999">
        <f>Cashflow!E35</f>
        <v>0</v>
      </c>
      <c r="E42" s="999">
        <f>Cashflow!F35</f>
        <v>-22044069.690000001</v>
      </c>
      <c r="F42" s="999">
        <f>Cashflow!G35</f>
        <v>-16403049.654136742</v>
      </c>
      <c r="G42" s="999">
        <f>Cashflow!H35</f>
        <v>-19204257.246734519</v>
      </c>
      <c r="H42" s="999">
        <f>Cashflow!I35</f>
        <v>-20011021.488196172</v>
      </c>
      <c r="I42" s="999">
        <f>Cashflow!J35</f>
        <v>-21054061.399030805</v>
      </c>
      <c r="J42" s="999">
        <f>Cashflow!K35</f>
        <v>-21549042.632314298</v>
      </c>
      <c r="K42" s="999">
        <f>Cashflow!L35</f>
        <v>-22130733.316999696</v>
      </c>
      <c r="L42" s="999">
        <f>Cashflow!M35</f>
        <v>-22589114.06921494</v>
      </c>
      <c r="M42" s="999">
        <f>Cashflow!N35</f>
        <v>-23065963.769180335</v>
      </c>
      <c r="N42" s="999">
        <f>Cashflow!O35</f>
        <v>-23568679.075039968</v>
      </c>
      <c r="O42" s="999">
        <f>Cashflow!P35</f>
        <v>-22531407.377486311</v>
      </c>
      <c r="P42" s="999">
        <f>Cashflow!Q35</f>
        <v>-22810851.137133364</v>
      </c>
      <c r="Q42" s="974"/>
      <c r="R42" s="970"/>
      <c r="S42" s="970"/>
      <c r="T42" s="970"/>
      <c r="U42" s="970"/>
      <c r="V42" s="970"/>
      <c r="W42" s="970"/>
      <c r="X42" s="970"/>
      <c r="Y42" s="970"/>
      <c r="Z42" s="970"/>
      <c r="AA42" s="970"/>
      <c r="AB42" s="970"/>
    </row>
    <row r="43" spans="1:28" ht="15.75" customHeight="1">
      <c r="A43" s="970"/>
      <c r="B43" s="995"/>
      <c r="C43" s="996"/>
      <c r="D43" s="996"/>
      <c r="E43" s="996"/>
      <c r="F43" s="996"/>
      <c r="G43" s="996"/>
      <c r="H43" s="996"/>
      <c r="I43" s="996"/>
      <c r="J43" s="996"/>
      <c r="K43" s="996"/>
      <c r="L43" s="996"/>
      <c r="M43" s="996"/>
      <c r="N43" s="996"/>
      <c r="O43" s="996"/>
      <c r="P43" s="996"/>
      <c r="Q43" s="974"/>
      <c r="R43" s="970"/>
      <c r="S43" s="970"/>
      <c r="T43" s="970"/>
      <c r="U43" s="970"/>
      <c r="V43" s="970"/>
      <c r="W43" s="970"/>
      <c r="X43" s="970"/>
      <c r="Y43" s="970"/>
      <c r="Z43" s="970"/>
      <c r="AA43" s="970"/>
      <c r="AB43" s="970"/>
    </row>
    <row r="44" spans="1:28" ht="15.75" customHeight="1">
      <c r="A44" s="970"/>
      <c r="B44" s="995" t="s">
        <v>1793</v>
      </c>
      <c r="C44" s="997">
        <f>Cashflow!D36</f>
        <v>0</v>
      </c>
      <c r="D44" s="997">
        <f>Cashflow!E36</f>
        <v>0</v>
      </c>
      <c r="E44" s="997">
        <f>Cashflow!F36</f>
        <v>0</v>
      </c>
      <c r="F44" s="997">
        <f>Cashflow!G36</f>
        <v>-1096726.5820212327</v>
      </c>
      <c r="G44" s="997">
        <f>Cashflow!H36</f>
        <v>-12840.59445783266</v>
      </c>
      <c r="H44" s="997">
        <f>Cashflow!I36</f>
        <v>-58802.416014928283</v>
      </c>
      <c r="I44" s="997">
        <f>Cashflow!J36</f>
        <v>-76022.192546891019</v>
      </c>
      <c r="J44" s="997">
        <f>Cashflow!K36</f>
        <v>-24341.653255187935</v>
      </c>
      <c r="K44" s="997">
        <f>Cashflow!L36</f>
        <v>21394.902392118325</v>
      </c>
      <c r="L44" s="997">
        <f>Cashflow!M36</f>
        <v>-12917.002538567729</v>
      </c>
      <c r="M44" s="997">
        <f>Cashflow!N36</f>
        <v>-24559.379618751002</v>
      </c>
      <c r="N44" s="997">
        <f>Cashflow!O36</f>
        <v>-25250.146878345986</v>
      </c>
      <c r="O44" s="997">
        <f>Cashflow!P36</f>
        <v>-18453.378296178591</v>
      </c>
      <c r="P44" s="997">
        <f>Cashflow!Q36</f>
        <v>-78752.097485271166</v>
      </c>
      <c r="Q44" s="974"/>
      <c r="R44" s="970"/>
      <c r="S44" s="970"/>
      <c r="T44" s="970"/>
      <c r="U44" s="970"/>
      <c r="V44" s="970"/>
      <c r="W44" s="970"/>
      <c r="X44" s="970"/>
      <c r="Y44" s="970"/>
      <c r="Z44" s="970"/>
      <c r="AA44" s="970"/>
      <c r="AB44" s="970"/>
    </row>
    <row r="45" spans="1:28" ht="15.75" customHeight="1">
      <c r="A45" s="970"/>
      <c r="B45" s="995"/>
      <c r="C45" s="996"/>
      <c r="D45" s="996"/>
      <c r="E45" s="996"/>
      <c r="F45" s="996"/>
      <c r="G45" s="996"/>
      <c r="H45" s="996"/>
      <c r="I45" s="996"/>
      <c r="J45" s="996"/>
      <c r="K45" s="996"/>
      <c r="L45" s="996"/>
      <c r="M45" s="996"/>
      <c r="N45" s="996"/>
      <c r="O45" s="996"/>
      <c r="P45" s="996"/>
      <c r="Q45" s="974"/>
      <c r="R45" s="970"/>
      <c r="S45" s="970"/>
      <c r="T45" s="970"/>
      <c r="U45" s="970"/>
      <c r="V45" s="970"/>
      <c r="W45" s="970"/>
      <c r="X45" s="970"/>
      <c r="Y45" s="970"/>
      <c r="Z45" s="970"/>
      <c r="AA45" s="970"/>
      <c r="AB45" s="970"/>
    </row>
    <row r="46" spans="1:28" ht="15.75" customHeight="1">
      <c r="A46" s="970"/>
      <c r="B46" s="995" t="s">
        <v>1794</v>
      </c>
      <c r="C46" s="1000">
        <f t="shared" ref="C46:P46" si="6">C40+C42+C44</f>
        <v>0</v>
      </c>
      <c r="D46" s="1000">
        <f t="shared" si="6"/>
        <v>0</v>
      </c>
      <c r="E46" s="1000">
        <f t="shared" si="6"/>
        <v>452228.39999999851</v>
      </c>
      <c r="F46" s="1000">
        <f t="shared" si="6"/>
        <v>1272557.1788420249</v>
      </c>
      <c r="G46" s="1000">
        <f t="shared" si="6"/>
        <v>459404.44774764637</v>
      </c>
      <c r="H46" s="1000">
        <f t="shared" si="6"/>
        <v>545697.97825180378</v>
      </c>
      <c r="I46" s="1000">
        <f t="shared" si="6"/>
        <v>678550.96288630553</v>
      </c>
      <c r="J46" s="1000">
        <f t="shared" si="6"/>
        <v>727372.40670031216</v>
      </c>
      <c r="K46" s="1000">
        <f t="shared" si="6"/>
        <v>697977.64713148319</v>
      </c>
      <c r="L46" s="1000">
        <f t="shared" si="6"/>
        <v>726706.54725642654</v>
      </c>
      <c r="M46" s="1000">
        <f t="shared" si="6"/>
        <v>774935.71608531277</v>
      </c>
      <c r="N46" s="1000">
        <f t="shared" si="6"/>
        <v>824000.99414939142</v>
      </c>
      <c r="O46" s="1000">
        <f t="shared" si="6"/>
        <v>2436754.631634946</v>
      </c>
      <c r="P46" s="1000">
        <f t="shared" si="6"/>
        <v>2682388.5509107029</v>
      </c>
      <c r="Q46" s="974"/>
      <c r="R46" s="970"/>
      <c r="S46" s="970"/>
      <c r="T46" s="970"/>
      <c r="U46" s="970"/>
      <c r="V46" s="970"/>
      <c r="W46" s="970"/>
      <c r="X46" s="970"/>
      <c r="Y46" s="970"/>
      <c r="Z46" s="970"/>
      <c r="AA46" s="970"/>
      <c r="AB46" s="970"/>
    </row>
    <row r="47" spans="1:28" ht="15.75" customHeight="1">
      <c r="A47" s="970"/>
      <c r="B47" s="995"/>
      <c r="C47" s="996"/>
      <c r="D47" s="996"/>
      <c r="E47" s="996"/>
      <c r="F47" s="996"/>
      <c r="G47" s="996"/>
      <c r="H47" s="996"/>
      <c r="I47" s="996"/>
      <c r="J47" s="996"/>
      <c r="K47" s="996"/>
      <c r="L47" s="996"/>
      <c r="M47" s="996"/>
      <c r="N47" s="996"/>
      <c r="O47" s="996"/>
      <c r="P47" s="996"/>
      <c r="Q47" s="974"/>
      <c r="R47" s="970"/>
      <c r="S47" s="970"/>
      <c r="T47" s="970"/>
      <c r="U47" s="970"/>
      <c r="V47" s="970"/>
      <c r="W47" s="970"/>
      <c r="X47" s="970"/>
      <c r="Y47" s="970"/>
      <c r="Z47" s="970"/>
      <c r="AA47" s="970"/>
      <c r="AB47" s="970"/>
    </row>
    <row r="48" spans="1:28" ht="15.75" customHeight="1">
      <c r="A48" s="970"/>
      <c r="B48" s="995" t="s">
        <v>365</v>
      </c>
      <c r="C48" s="1000">
        <f t="shared" ref="C48:P48" si="7">C38+C46</f>
        <v>0</v>
      </c>
      <c r="D48" s="1000">
        <f t="shared" si="7"/>
        <v>0</v>
      </c>
      <c r="E48" s="1000">
        <f t="shared" si="7"/>
        <v>452228.39999999851</v>
      </c>
      <c r="F48" s="1000">
        <f t="shared" si="7"/>
        <v>1724785.5788420234</v>
      </c>
      <c r="G48" s="1000">
        <f t="shared" si="7"/>
        <v>2184190.0265896698</v>
      </c>
      <c r="H48" s="1000">
        <f t="shared" si="7"/>
        <v>2729888.0048414734</v>
      </c>
      <c r="I48" s="1000">
        <f t="shared" si="7"/>
        <v>3408438.9677277789</v>
      </c>
      <c r="J48" s="1000">
        <f t="shared" si="7"/>
        <v>4135811.3744280911</v>
      </c>
      <c r="K48" s="1000">
        <f t="shared" si="7"/>
        <v>4833789.0215595746</v>
      </c>
      <c r="L48" s="1000">
        <f t="shared" si="7"/>
        <v>5560495.5688160015</v>
      </c>
      <c r="M48" s="1000">
        <f t="shared" si="7"/>
        <v>6335431.2849013144</v>
      </c>
      <c r="N48" s="1000">
        <f t="shared" si="7"/>
        <v>7159432.279050706</v>
      </c>
      <c r="O48" s="1000">
        <f t="shared" si="7"/>
        <v>9596186.910685651</v>
      </c>
      <c r="P48" s="1000">
        <f t="shared" si="7"/>
        <v>12278575.461596355</v>
      </c>
      <c r="Q48" s="974"/>
      <c r="R48" s="970"/>
      <c r="S48" s="970"/>
      <c r="T48" s="970"/>
      <c r="U48" s="970"/>
      <c r="V48" s="970"/>
      <c r="W48" s="970"/>
      <c r="X48" s="970"/>
      <c r="Y48" s="970"/>
      <c r="Z48" s="970"/>
      <c r="AA48" s="970"/>
      <c r="AB48" s="970"/>
    </row>
    <row r="49" spans="1:28" ht="15.75" customHeight="1">
      <c r="A49" s="970"/>
      <c r="B49" s="979" t="s">
        <v>197</v>
      </c>
      <c r="C49" s="1001">
        <f>'P&amp;L'!G108</f>
        <v>0</v>
      </c>
      <c r="D49" s="997" t="str">
        <f>Cashflow!E67</f>
        <v/>
      </c>
      <c r="E49" s="997" t="str">
        <f>Cashflow!F67</f>
        <v/>
      </c>
      <c r="F49" s="1002">
        <f>Cashflow!G67</f>
        <v>3.7480650108967009</v>
      </c>
      <c r="G49" s="1002">
        <f>Cashflow!H67</f>
        <v>3.0466904338978202</v>
      </c>
      <c r="H49" s="1002">
        <f>Cashflow!I67</f>
        <v>3.3189553617167831</v>
      </c>
      <c r="I49" s="1002">
        <f>Cashflow!J67</f>
        <v>3.7480418669249009</v>
      </c>
      <c r="J49" s="1002">
        <f>Cashflow!K67</f>
        <v>4.046953904892197</v>
      </c>
      <c r="K49" s="1002">
        <f>Cashflow!L67</f>
        <v>4.1874723826887088</v>
      </c>
      <c r="L49" s="1002">
        <f>Cashflow!M67</f>
        <v>4.4574720293004884</v>
      </c>
      <c r="M49" s="1002">
        <f>Cashflow!N67</f>
        <v>4.8337591413140704</v>
      </c>
      <c r="N49" s="1002">
        <f>Cashflow!O67</f>
        <v>5.2771194419729879</v>
      </c>
      <c r="O49" s="1002" t="str">
        <f>Cashflow!P67</f>
        <v/>
      </c>
      <c r="P49" s="1002" t="str">
        <f>Cashflow!Q67</f>
        <v/>
      </c>
      <c r="Q49" s="974"/>
      <c r="R49" s="970"/>
      <c r="S49" s="970"/>
      <c r="T49" s="970"/>
      <c r="U49" s="970"/>
      <c r="V49" s="970"/>
      <c r="W49" s="970"/>
      <c r="X49" s="970"/>
      <c r="Y49" s="970"/>
      <c r="Z49" s="970"/>
      <c r="AA49" s="970"/>
      <c r="AB49" s="970"/>
    </row>
    <row r="50" spans="1:28" ht="15.75" customHeight="1">
      <c r="A50" s="970"/>
      <c r="B50" s="970"/>
      <c r="C50" s="974"/>
      <c r="D50" s="974"/>
      <c r="E50" s="974"/>
      <c r="F50" s="974"/>
      <c r="G50" s="974"/>
      <c r="H50" s="974"/>
      <c r="I50" s="974"/>
      <c r="J50" s="974"/>
      <c r="K50" s="974"/>
      <c r="L50" s="974"/>
      <c r="M50" s="974"/>
      <c r="N50" s="974"/>
      <c r="O50" s="974"/>
      <c r="P50" s="974"/>
      <c r="Q50" s="974"/>
      <c r="R50" s="970"/>
      <c r="S50" s="970"/>
      <c r="T50" s="970"/>
      <c r="U50" s="970"/>
      <c r="V50" s="970"/>
      <c r="W50" s="970"/>
      <c r="X50" s="970"/>
      <c r="Y50" s="970"/>
      <c r="Z50" s="970"/>
      <c r="AA50" s="970"/>
      <c r="AB50" s="970"/>
    </row>
    <row r="51" spans="1:28" ht="15.75" customHeight="1">
      <c r="A51" s="970"/>
      <c r="B51" s="970"/>
      <c r="C51" s="974"/>
      <c r="D51" s="974"/>
      <c r="E51" s="974"/>
      <c r="F51" s="974"/>
      <c r="G51" s="974"/>
      <c r="H51" s="974"/>
      <c r="I51" s="974"/>
      <c r="J51" s="974"/>
      <c r="K51" s="974"/>
      <c r="L51" s="974"/>
      <c r="M51" s="974"/>
      <c r="N51" s="974"/>
      <c r="O51" s="974"/>
      <c r="P51" s="974"/>
      <c r="Q51" s="974"/>
      <c r="R51" s="970"/>
      <c r="S51" s="970"/>
      <c r="T51" s="970"/>
      <c r="U51" s="970"/>
      <c r="V51" s="970"/>
      <c r="W51" s="970"/>
      <c r="X51" s="970"/>
      <c r="Y51" s="970"/>
      <c r="Z51" s="970"/>
      <c r="AA51" s="970"/>
      <c r="AB51" s="970"/>
    </row>
    <row r="52" spans="1:28" ht="15.75" customHeight="1">
      <c r="A52" s="970"/>
      <c r="B52" s="970"/>
      <c r="C52" s="974"/>
      <c r="D52" s="974"/>
      <c r="E52" s="974"/>
      <c r="F52" s="974"/>
      <c r="G52" s="974"/>
      <c r="H52" s="974"/>
      <c r="I52" s="974"/>
      <c r="J52" s="974"/>
      <c r="K52" s="974"/>
      <c r="L52" s="974"/>
      <c r="M52" s="974"/>
      <c r="N52" s="974"/>
      <c r="O52" s="974"/>
      <c r="P52" s="974"/>
      <c r="Q52" s="974"/>
      <c r="R52" s="970"/>
      <c r="S52" s="970"/>
      <c r="T52" s="970"/>
      <c r="U52" s="970"/>
      <c r="V52" s="970"/>
      <c r="W52" s="970"/>
      <c r="X52" s="970"/>
      <c r="Y52" s="970"/>
      <c r="Z52" s="970"/>
      <c r="AA52" s="970"/>
      <c r="AB52" s="970"/>
    </row>
    <row r="53" spans="1:28" ht="15.75" customHeight="1">
      <c r="A53" s="970"/>
      <c r="B53" s="970"/>
      <c r="C53" s="974"/>
      <c r="D53" s="974"/>
      <c r="E53" s="974"/>
      <c r="F53" s="974"/>
      <c r="G53" s="974"/>
      <c r="H53" s="974"/>
      <c r="I53" s="974"/>
      <c r="J53" s="974"/>
      <c r="K53" s="974"/>
      <c r="L53" s="974"/>
      <c r="M53" s="974"/>
      <c r="N53" s="974"/>
      <c r="O53" s="974"/>
      <c r="P53" s="974"/>
      <c r="Q53" s="974"/>
      <c r="R53" s="970"/>
      <c r="S53" s="970"/>
      <c r="T53" s="970"/>
      <c r="U53" s="970"/>
      <c r="V53" s="970"/>
      <c r="W53" s="970"/>
      <c r="X53" s="970"/>
      <c r="Y53" s="970"/>
      <c r="Z53" s="970"/>
      <c r="AA53" s="970"/>
      <c r="AB53" s="970"/>
    </row>
    <row r="54" spans="1:28" ht="15.75" customHeight="1">
      <c r="A54" s="970"/>
      <c r="B54" s="970"/>
      <c r="C54" s="974"/>
      <c r="D54" s="974"/>
      <c r="E54" s="974"/>
      <c r="F54" s="974"/>
      <c r="G54" s="974"/>
      <c r="H54" s="974"/>
      <c r="I54" s="974"/>
      <c r="J54" s="974"/>
      <c r="K54" s="974"/>
      <c r="L54" s="974"/>
      <c r="M54" s="974"/>
      <c r="N54" s="974"/>
      <c r="O54" s="974"/>
      <c r="P54" s="974"/>
      <c r="Q54" s="974"/>
      <c r="R54" s="970"/>
      <c r="S54" s="970"/>
      <c r="T54" s="970"/>
      <c r="U54" s="970"/>
      <c r="V54" s="970"/>
      <c r="W54" s="970"/>
      <c r="X54" s="970"/>
      <c r="Y54" s="970"/>
      <c r="Z54" s="970"/>
      <c r="AA54" s="970"/>
      <c r="AB54" s="970"/>
    </row>
    <row r="55" spans="1:28" ht="15.75" customHeight="1">
      <c r="A55" s="970"/>
      <c r="B55" s="970"/>
      <c r="C55" s="974"/>
      <c r="D55" s="974"/>
      <c r="E55" s="974"/>
      <c r="F55" s="974"/>
      <c r="G55" s="974"/>
      <c r="H55" s="974"/>
      <c r="I55" s="974"/>
      <c r="J55" s="974"/>
      <c r="K55" s="974"/>
      <c r="L55" s="974"/>
      <c r="M55" s="974"/>
      <c r="N55" s="974"/>
      <c r="O55" s="974"/>
      <c r="P55" s="974"/>
      <c r="Q55" s="974"/>
      <c r="R55" s="970"/>
      <c r="S55" s="970"/>
      <c r="T55" s="970"/>
      <c r="U55" s="970"/>
      <c r="V55" s="970"/>
      <c r="W55" s="970"/>
      <c r="X55" s="970"/>
      <c r="Y55" s="970"/>
      <c r="Z55" s="970"/>
      <c r="AA55" s="970"/>
      <c r="AB55" s="970"/>
    </row>
    <row r="56" spans="1:28" ht="15.75" customHeight="1">
      <c r="A56" s="970"/>
      <c r="B56" s="970"/>
      <c r="C56" s="974"/>
      <c r="D56" s="974"/>
      <c r="E56" s="974"/>
      <c r="F56" s="974"/>
      <c r="G56" s="974"/>
      <c r="H56" s="974"/>
      <c r="I56" s="974"/>
      <c r="J56" s="974"/>
      <c r="K56" s="974"/>
      <c r="L56" s="974"/>
      <c r="M56" s="974"/>
      <c r="N56" s="974"/>
      <c r="O56" s="974"/>
      <c r="P56" s="974"/>
      <c r="Q56" s="974"/>
      <c r="R56" s="970"/>
      <c r="S56" s="970"/>
      <c r="T56" s="970"/>
      <c r="U56" s="970"/>
      <c r="V56" s="970"/>
      <c r="W56" s="970"/>
      <c r="X56" s="970"/>
      <c r="Y56" s="970"/>
      <c r="Z56" s="970"/>
      <c r="AA56" s="970"/>
      <c r="AB56" s="970"/>
    </row>
    <row r="57" spans="1:28" ht="15.75" customHeight="1">
      <c r="A57" s="970"/>
      <c r="B57" s="970"/>
      <c r="C57" s="974"/>
      <c r="D57" s="974"/>
      <c r="E57" s="974"/>
      <c r="F57" s="974"/>
      <c r="G57" s="974"/>
      <c r="H57" s="974"/>
      <c r="I57" s="974"/>
      <c r="J57" s="974"/>
      <c r="K57" s="974"/>
      <c r="L57" s="974"/>
      <c r="M57" s="974"/>
      <c r="N57" s="974"/>
      <c r="O57" s="974"/>
      <c r="P57" s="974"/>
      <c r="Q57" s="974"/>
      <c r="R57" s="970"/>
      <c r="S57" s="970"/>
      <c r="T57" s="970"/>
      <c r="U57" s="970"/>
      <c r="V57" s="970"/>
      <c r="W57" s="970"/>
      <c r="X57" s="970"/>
      <c r="Y57" s="970"/>
      <c r="Z57" s="970"/>
      <c r="AA57" s="970"/>
      <c r="AB57" s="970"/>
    </row>
    <row r="58" spans="1:28" ht="15.75" customHeight="1">
      <c r="A58" s="970"/>
      <c r="B58" s="970"/>
      <c r="C58" s="974"/>
      <c r="D58" s="974"/>
      <c r="E58" s="974"/>
      <c r="F58" s="974"/>
      <c r="G58" s="974"/>
      <c r="H58" s="974"/>
      <c r="I58" s="974"/>
      <c r="J58" s="974"/>
      <c r="K58" s="974"/>
      <c r="L58" s="974"/>
      <c r="M58" s="974"/>
      <c r="N58" s="974"/>
      <c r="O58" s="974"/>
      <c r="P58" s="974"/>
      <c r="Q58" s="974"/>
      <c r="R58" s="970"/>
      <c r="S58" s="970"/>
      <c r="T58" s="970"/>
      <c r="U58" s="970"/>
      <c r="V58" s="970"/>
      <c r="W58" s="970"/>
      <c r="X58" s="970"/>
      <c r="Y58" s="970"/>
      <c r="Z58" s="970"/>
      <c r="AA58" s="970"/>
      <c r="AB58" s="970"/>
    </row>
    <row r="59" spans="1:28" ht="15.75" customHeight="1">
      <c r="A59" s="970"/>
      <c r="B59" s="970"/>
      <c r="C59" s="974"/>
      <c r="D59" s="974"/>
      <c r="E59" s="974"/>
      <c r="F59" s="974"/>
      <c r="G59" s="974"/>
      <c r="H59" s="974"/>
      <c r="I59" s="974"/>
      <c r="J59" s="974"/>
      <c r="K59" s="974"/>
      <c r="L59" s="974"/>
      <c r="M59" s="974"/>
      <c r="N59" s="974"/>
      <c r="O59" s="974"/>
      <c r="P59" s="974"/>
      <c r="Q59" s="974"/>
      <c r="R59" s="970"/>
      <c r="S59" s="970"/>
      <c r="T59" s="970"/>
      <c r="U59" s="970"/>
      <c r="V59" s="970"/>
      <c r="W59" s="970"/>
      <c r="X59" s="970"/>
      <c r="Y59" s="970"/>
      <c r="Z59" s="970"/>
      <c r="AA59" s="970"/>
      <c r="AB59" s="970"/>
    </row>
    <row r="60" spans="1:28" ht="15.75" customHeight="1">
      <c r="A60" s="970"/>
      <c r="B60" s="970"/>
      <c r="C60" s="974"/>
      <c r="D60" s="974"/>
      <c r="E60" s="974"/>
      <c r="F60" s="974"/>
      <c r="G60" s="974"/>
      <c r="H60" s="974"/>
      <c r="I60" s="974"/>
      <c r="J60" s="974"/>
      <c r="K60" s="974"/>
      <c r="L60" s="974"/>
      <c r="M60" s="974"/>
      <c r="N60" s="974"/>
      <c r="O60" s="974"/>
      <c r="P60" s="974"/>
      <c r="Q60" s="974"/>
      <c r="R60" s="970"/>
      <c r="S60" s="970"/>
      <c r="T60" s="970"/>
      <c r="U60" s="970"/>
      <c r="V60" s="970"/>
      <c r="W60" s="970"/>
      <c r="X60" s="970"/>
      <c r="Y60" s="970"/>
      <c r="Z60" s="970"/>
      <c r="AA60" s="970"/>
      <c r="AB60" s="970"/>
    </row>
    <row r="61" spans="1:28" ht="15.75" customHeight="1">
      <c r="A61" s="970"/>
      <c r="B61" s="970"/>
      <c r="C61" s="974"/>
      <c r="D61" s="974"/>
      <c r="E61" s="974"/>
      <c r="F61" s="974"/>
      <c r="G61" s="974"/>
      <c r="H61" s="974"/>
      <c r="I61" s="974"/>
      <c r="J61" s="974"/>
      <c r="K61" s="974"/>
      <c r="L61" s="974"/>
      <c r="M61" s="974"/>
      <c r="N61" s="974"/>
      <c r="O61" s="974"/>
      <c r="P61" s="974"/>
      <c r="Q61" s="974"/>
      <c r="R61" s="970"/>
      <c r="S61" s="970"/>
      <c r="T61" s="970"/>
      <c r="U61" s="970"/>
      <c r="V61" s="970"/>
      <c r="W61" s="970"/>
      <c r="X61" s="970"/>
      <c r="Y61" s="970"/>
      <c r="Z61" s="970"/>
      <c r="AA61" s="970"/>
      <c r="AB61" s="970"/>
    </row>
    <row r="62" spans="1:28" ht="15.75" customHeight="1">
      <c r="A62" s="970"/>
      <c r="B62" s="970"/>
      <c r="C62" s="974"/>
      <c r="D62" s="974"/>
      <c r="E62" s="974"/>
      <c r="F62" s="974"/>
      <c r="G62" s="974"/>
      <c r="H62" s="974"/>
      <c r="I62" s="974"/>
      <c r="J62" s="974"/>
      <c r="K62" s="974"/>
      <c r="L62" s="974"/>
      <c r="M62" s="974"/>
      <c r="N62" s="974"/>
      <c r="O62" s="974"/>
      <c r="P62" s="974"/>
      <c r="Q62" s="974"/>
      <c r="R62" s="970"/>
      <c r="S62" s="970"/>
      <c r="T62" s="970"/>
      <c r="U62" s="970"/>
      <c r="V62" s="970"/>
      <c r="W62" s="970"/>
      <c r="X62" s="970"/>
      <c r="Y62" s="970"/>
      <c r="Z62" s="970"/>
      <c r="AA62" s="970"/>
      <c r="AB62" s="970"/>
    </row>
    <row r="63" spans="1:28" ht="15.75" customHeight="1">
      <c r="A63" s="970"/>
      <c r="B63" s="970"/>
      <c r="C63" s="974"/>
      <c r="D63" s="974"/>
      <c r="E63" s="974"/>
      <c r="F63" s="974"/>
      <c r="G63" s="974"/>
      <c r="H63" s="974"/>
      <c r="I63" s="974"/>
      <c r="J63" s="974"/>
      <c r="K63" s="974"/>
      <c r="L63" s="974"/>
      <c r="M63" s="974"/>
      <c r="N63" s="974"/>
      <c r="O63" s="974"/>
      <c r="P63" s="974"/>
      <c r="Q63" s="974"/>
      <c r="R63" s="970"/>
      <c r="S63" s="970"/>
      <c r="T63" s="970"/>
      <c r="U63" s="970"/>
      <c r="V63" s="970"/>
      <c r="W63" s="970"/>
      <c r="X63" s="970"/>
      <c r="Y63" s="970"/>
      <c r="Z63" s="970"/>
      <c r="AA63" s="970"/>
      <c r="AB63" s="970"/>
    </row>
    <row r="64" spans="1:28" ht="15.75" customHeight="1">
      <c r="A64" s="970"/>
      <c r="B64" s="970"/>
      <c r="C64" s="974"/>
      <c r="D64" s="974"/>
      <c r="E64" s="974"/>
      <c r="F64" s="974"/>
      <c r="G64" s="974"/>
      <c r="H64" s="974"/>
      <c r="I64" s="974"/>
      <c r="J64" s="974"/>
      <c r="K64" s="974"/>
      <c r="L64" s="974"/>
      <c r="M64" s="974"/>
      <c r="N64" s="974"/>
      <c r="O64" s="974"/>
      <c r="P64" s="974"/>
      <c r="Q64" s="974"/>
      <c r="R64" s="970"/>
      <c r="S64" s="970"/>
      <c r="T64" s="970"/>
      <c r="U64" s="970"/>
      <c r="V64" s="970"/>
      <c r="W64" s="970"/>
      <c r="X64" s="970"/>
      <c r="Y64" s="970"/>
      <c r="Z64" s="970"/>
      <c r="AA64" s="970"/>
      <c r="AB64" s="970"/>
    </row>
    <row r="65" spans="1:28" ht="15.75" customHeight="1">
      <c r="A65" s="970"/>
      <c r="B65" s="970"/>
      <c r="C65" s="974"/>
      <c r="D65" s="974"/>
      <c r="E65" s="974"/>
      <c r="F65" s="974"/>
      <c r="G65" s="974"/>
      <c r="H65" s="974"/>
      <c r="I65" s="974"/>
      <c r="J65" s="974"/>
      <c r="K65" s="974"/>
      <c r="L65" s="974"/>
      <c r="M65" s="974"/>
      <c r="N65" s="974"/>
      <c r="O65" s="974"/>
      <c r="P65" s="974"/>
      <c r="Q65" s="974"/>
      <c r="R65" s="970"/>
      <c r="S65" s="970"/>
      <c r="T65" s="970"/>
      <c r="U65" s="970"/>
      <c r="V65" s="970"/>
      <c r="W65" s="970"/>
      <c r="X65" s="970"/>
      <c r="Y65" s="970"/>
      <c r="Z65" s="970"/>
      <c r="AA65" s="970"/>
      <c r="AB65" s="970"/>
    </row>
    <row r="66" spans="1:28" ht="15.75" customHeight="1">
      <c r="A66" s="970"/>
      <c r="B66" s="970"/>
      <c r="C66" s="974"/>
      <c r="D66" s="974"/>
      <c r="E66" s="974"/>
      <c r="F66" s="974"/>
      <c r="G66" s="974"/>
      <c r="H66" s="974"/>
      <c r="I66" s="974"/>
      <c r="J66" s="974"/>
      <c r="K66" s="974"/>
      <c r="L66" s="974"/>
      <c r="M66" s="974"/>
      <c r="N66" s="974"/>
      <c r="O66" s="974"/>
      <c r="P66" s="974"/>
      <c r="Q66" s="974"/>
      <c r="R66" s="970"/>
      <c r="S66" s="970"/>
      <c r="T66" s="970"/>
      <c r="U66" s="970"/>
      <c r="V66" s="970"/>
      <c r="W66" s="970"/>
      <c r="X66" s="970"/>
      <c r="Y66" s="970"/>
      <c r="Z66" s="970"/>
      <c r="AA66" s="970"/>
      <c r="AB66" s="970"/>
    </row>
    <row r="67" spans="1:28" ht="15.75" customHeight="1">
      <c r="A67" s="970"/>
      <c r="B67" s="970"/>
      <c r="C67" s="974"/>
      <c r="D67" s="974"/>
      <c r="E67" s="974"/>
      <c r="F67" s="974"/>
      <c r="G67" s="974"/>
      <c r="H67" s="974"/>
      <c r="I67" s="974"/>
      <c r="J67" s="974"/>
      <c r="K67" s="974"/>
      <c r="L67" s="974"/>
      <c r="M67" s="974"/>
      <c r="N67" s="974"/>
      <c r="O67" s="974"/>
      <c r="P67" s="974"/>
      <c r="Q67" s="974"/>
      <c r="R67" s="970"/>
      <c r="S67" s="970"/>
      <c r="T67" s="970"/>
      <c r="U67" s="970"/>
      <c r="V67" s="970"/>
      <c r="W67" s="970"/>
      <c r="X67" s="970"/>
      <c r="Y67" s="970"/>
      <c r="Z67" s="970"/>
      <c r="AA67" s="970"/>
      <c r="AB67" s="970"/>
    </row>
    <row r="68" spans="1:28" ht="15.75" customHeight="1">
      <c r="A68" s="970"/>
      <c r="B68" s="970"/>
      <c r="C68" s="974"/>
      <c r="D68" s="974"/>
      <c r="E68" s="974"/>
      <c r="F68" s="974"/>
      <c r="G68" s="974"/>
      <c r="H68" s="974"/>
      <c r="I68" s="974"/>
      <c r="J68" s="974"/>
      <c r="K68" s="974"/>
      <c r="L68" s="974"/>
      <c r="M68" s="974"/>
      <c r="N68" s="974"/>
      <c r="O68" s="974"/>
      <c r="P68" s="974"/>
      <c r="Q68" s="974"/>
      <c r="R68" s="970"/>
      <c r="S68" s="970"/>
      <c r="T68" s="970"/>
      <c r="U68" s="970"/>
      <c r="V68" s="970"/>
      <c r="W68" s="970"/>
      <c r="X68" s="970"/>
      <c r="Y68" s="970"/>
      <c r="Z68" s="970"/>
      <c r="AA68" s="970"/>
      <c r="AB68" s="970"/>
    </row>
    <row r="69" spans="1:28" ht="15.75" customHeight="1">
      <c r="A69" s="970"/>
      <c r="B69" s="970"/>
      <c r="C69" s="974"/>
      <c r="D69" s="974"/>
      <c r="E69" s="974"/>
      <c r="F69" s="974"/>
      <c r="G69" s="974"/>
      <c r="H69" s="974"/>
      <c r="I69" s="974"/>
      <c r="J69" s="974"/>
      <c r="K69" s="974"/>
      <c r="L69" s="974"/>
      <c r="M69" s="974"/>
      <c r="N69" s="974"/>
      <c r="O69" s="974"/>
      <c r="P69" s="974"/>
      <c r="Q69" s="974"/>
      <c r="R69" s="970"/>
      <c r="S69" s="970"/>
      <c r="T69" s="970"/>
      <c r="U69" s="970"/>
      <c r="V69" s="970"/>
      <c r="W69" s="970"/>
      <c r="X69" s="970"/>
      <c r="Y69" s="970"/>
      <c r="Z69" s="970"/>
      <c r="AA69" s="970"/>
      <c r="AB69" s="970"/>
    </row>
    <row r="70" spans="1:28" ht="15.75" customHeight="1">
      <c r="A70" s="970"/>
      <c r="B70" s="970"/>
      <c r="C70" s="974"/>
      <c r="D70" s="974"/>
      <c r="E70" s="974"/>
      <c r="F70" s="974"/>
      <c r="G70" s="974"/>
      <c r="H70" s="974"/>
      <c r="I70" s="974"/>
      <c r="J70" s="974"/>
      <c r="K70" s="974"/>
      <c r="L70" s="974"/>
      <c r="M70" s="974"/>
      <c r="N70" s="974"/>
      <c r="O70" s="974"/>
      <c r="P70" s="974"/>
      <c r="Q70" s="974"/>
      <c r="R70" s="970"/>
      <c r="S70" s="970"/>
      <c r="T70" s="970"/>
      <c r="U70" s="970"/>
      <c r="V70" s="970"/>
      <c r="W70" s="970"/>
      <c r="X70" s="970"/>
      <c r="Y70" s="970"/>
      <c r="Z70" s="970"/>
      <c r="AA70" s="970"/>
      <c r="AB70" s="970"/>
    </row>
    <row r="71" spans="1:28" ht="15.75" customHeight="1">
      <c r="A71" s="970"/>
      <c r="B71" s="970"/>
      <c r="C71" s="974"/>
      <c r="D71" s="974"/>
      <c r="E71" s="974"/>
      <c r="F71" s="974"/>
      <c r="G71" s="974"/>
      <c r="H71" s="974"/>
      <c r="I71" s="974"/>
      <c r="J71" s="974"/>
      <c r="K71" s="974"/>
      <c r="L71" s="974"/>
      <c r="M71" s="974"/>
      <c r="N71" s="974"/>
      <c r="O71" s="974"/>
      <c r="P71" s="974"/>
      <c r="Q71" s="974"/>
      <c r="R71" s="970"/>
      <c r="S71" s="970"/>
      <c r="T71" s="970"/>
      <c r="U71" s="970"/>
      <c r="V71" s="970"/>
      <c r="W71" s="970"/>
      <c r="X71" s="970"/>
      <c r="Y71" s="970"/>
      <c r="Z71" s="970"/>
      <c r="AA71" s="970"/>
      <c r="AB71" s="970"/>
    </row>
    <row r="72" spans="1:28" ht="15.75" customHeight="1">
      <c r="A72" s="970"/>
      <c r="B72" s="970"/>
      <c r="C72" s="974"/>
      <c r="D72" s="974"/>
      <c r="E72" s="974"/>
      <c r="F72" s="974"/>
      <c r="G72" s="974"/>
      <c r="H72" s="974"/>
      <c r="I72" s="974"/>
      <c r="J72" s="974"/>
      <c r="K72" s="974"/>
      <c r="L72" s="974"/>
      <c r="M72" s="974"/>
      <c r="N72" s="974"/>
      <c r="O72" s="974"/>
      <c r="P72" s="974"/>
      <c r="Q72" s="974"/>
      <c r="R72" s="970"/>
      <c r="S72" s="970"/>
      <c r="T72" s="970"/>
      <c r="U72" s="970"/>
      <c r="V72" s="970"/>
      <c r="W72" s="970"/>
      <c r="X72" s="970"/>
      <c r="Y72" s="970"/>
      <c r="Z72" s="970"/>
      <c r="AA72" s="970"/>
      <c r="AB72" s="970"/>
    </row>
    <row r="73" spans="1:28" ht="15.75" customHeight="1">
      <c r="A73" s="970"/>
      <c r="B73" s="970"/>
      <c r="C73" s="974"/>
      <c r="D73" s="974"/>
      <c r="E73" s="974"/>
      <c r="F73" s="974"/>
      <c r="G73" s="974"/>
      <c r="H73" s="974"/>
      <c r="I73" s="974"/>
      <c r="J73" s="974"/>
      <c r="K73" s="974"/>
      <c r="L73" s="974"/>
      <c r="M73" s="974"/>
      <c r="N73" s="974"/>
      <c r="O73" s="974"/>
      <c r="P73" s="974"/>
      <c r="Q73" s="974"/>
      <c r="R73" s="970"/>
      <c r="S73" s="970"/>
      <c r="T73" s="970"/>
      <c r="U73" s="970"/>
      <c r="V73" s="970"/>
      <c r="W73" s="970"/>
      <c r="X73" s="970"/>
      <c r="Y73" s="970"/>
      <c r="Z73" s="970"/>
      <c r="AA73" s="970"/>
      <c r="AB73" s="970"/>
    </row>
    <row r="74" spans="1:28" ht="15.75" customHeight="1">
      <c r="A74" s="970"/>
      <c r="B74" s="970"/>
      <c r="C74" s="974"/>
      <c r="D74" s="974"/>
      <c r="E74" s="974"/>
      <c r="F74" s="974"/>
      <c r="G74" s="974"/>
      <c r="H74" s="974"/>
      <c r="I74" s="974"/>
      <c r="J74" s="974"/>
      <c r="K74" s="974"/>
      <c r="L74" s="974"/>
      <c r="M74" s="974"/>
      <c r="N74" s="974"/>
      <c r="O74" s="974"/>
      <c r="P74" s="974"/>
      <c r="Q74" s="974"/>
      <c r="R74" s="970"/>
      <c r="S74" s="970"/>
      <c r="T74" s="970"/>
      <c r="U74" s="970"/>
      <c r="V74" s="970"/>
      <c r="W74" s="970"/>
      <c r="X74" s="970"/>
      <c r="Y74" s="970"/>
      <c r="Z74" s="970"/>
      <c r="AA74" s="970"/>
      <c r="AB74" s="970"/>
    </row>
    <row r="75" spans="1:28" ht="15.75" customHeight="1">
      <c r="A75" s="970"/>
      <c r="B75" s="970"/>
      <c r="C75" s="974"/>
      <c r="D75" s="974"/>
      <c r="E75" s="974"/>
      <c r="F75" s="974"/>
      <c r="G75" s="974"/>
      <c r="H75" s="974"/>
      <c r="I75" s="974"/>
      <c r="J75" s="974"/>
      <c r="K75" s="974"/>
      <c r="L75" s="974"/>
      <c r="M75" s="974"/>
      <c r="N75" s="974"/>
      <c r="O75" s="974"/>
      <c r="P75" s="974"/>
      <c r="Q75" s="974"/>
      <c r="R75" s="970"/>
      <c r="S75" s="970"/>
      <c r="T75" s="970"/>
      <c r="U75" s="970"/>
      <c r="V75" s="970"/>
      <c r="W75" s="970"/>
      <c r="X75" s="970"/>
      <c r="Y75" s="970"/>
      <c r="Z75" s="970"/>
      <c r="AA75" s="970"/>
      <c r="AB75" s="970"/>
    </row>
    <row r="76" spans="1:28" ht="15.75" customHeight="1">
      <c r="A76" s="970"/>
      <c r="B76" s="970"/>
      <c r="C76" s="974"/>
      <c r="D76" s="974"/>
      <c r="E76" s="974"/>
      <c r="F76" s="974"/>
      <c r="G76" s="974"/>
      <c r="H76" s="974"/>
      <c r="I76" s="974"/>
      <c r="J76" s="974"/>
      <c r="K76" s="974"/>
      <c r="L76" s="974"/>
      <c r="M76" s="974"/>
      <c r="N76" s="974"/>
      <c r="O76" s="974"/>
      <c r="P76" s="974"/>
      <c r="Q76" s="974"/>
      <c r="R76" s="970"/>
      <c r="S76" s="970"/>
      <c r="T76" s="970"/>
      <c r="U76" s="970"/>
      <c r="V76" s="970"/>
      <c r="W76" s="970"/>
      <c r="X76" s="970"/>
      <c r="Y76" s="970"/>
      <c r="Z76" s="970"/>
      <c r="AA76" s="970"/>
      <c r="AB76" s="970"/>
    </row>
    <row r="77" spans="1:28" ht="15.75" customHeight="1">
      <c r="A77" s="970"/>
      <c r="B77" s="970"/>
      <c r="C77" s="974"/>
      <c r="D77" s="974"/>
      <c r="E77" s="974"/>
      <c r="F77" s="974"/>
      <c r="G77" s="974"/>
      <c r="H77" s="974"/>
      <c r="I77" s="974"/>
      <c r="J77" s="974"/>
      <c r="K77" s="974"/>
      <c r="L77" s="974"/>
      <c r="M77" s="974"/>
      <c r="N77" s="974"/>
      <c r="O77" s="974"/>
      <c r="P77" s="974"/>
      <c r="Q77" s="974"/>
      <c r="R77" s="970"/>
      <c r="S77" s="970"/>
      <c r="T77" s="970"/>
      <c r="U77" s="970"/>
      <c r="V77" s="970"/>
      <c r="W77" s="970"/>
      <c r="X77" s="970"/>
      <c r="Y77" s="970"/>
      <c r="Z77" s="970"/>
      <c r="AA77" s="970"/>
      <c r="AB77" s="970"/>
    </row>
    <row r="78" spans="1:28" ht="15.75" customHeight="1">
      <c r="A78" s="970"/>
      <c r="B78" s="970"/>
      <c r="C78" s="974"/>
      <c r="D78" s="974"/>
      <c r="E78" s="974"/>
      <c r="F78" s="974"/>
      <c r="G78" s="974"/>
      <c r="H78" s="974"/>
      <c r="I78" s="974"/>
      <c r="J78" s="974"/>
      <c r="K78" s="974"/>
      <c r="L78" s="974"/>
      <c r="M78" s="974"/>
      <c r="N78" s="974"/>
      <c r="O78" s="974"/>
      <c r="P78" s="974"/>
      <c r="Q78" s="974"/>
      <c r="R78" s="970"/>
      <c r="S78" s="970"/>
      <c r="T78" s="970"/>
      <c r="U78" s="970"/>
      <c r="V78" s="970"/>
      <c r="W78" s="970"/>
      <c r="X78" s="970"/>
      <c r="Y78" s="970"/>
      <c r="Z78" s="970"/>
      <c r="AA78" s="970"/>
      <c r="AB78" s="970"/>
    </row>
    <row r="79" spans="1:28" ht="15.75" customHeight="1">
      <c r="A79" s="970"/>
      <c r="B79" s="970"/>
      <c r="C79" s="974"/>
      <c r="D79" s="974"/>
      <c r="E79" s="974"/>
      <c r="F79" s="974"/>
      <c r="G79" s="974"/>
      <c r="H79" s="974"/>
      <c r="I79" s="974"/>
      <c r="J79" s="974"/>
      <c r="K79" s="974"/>
      <c r="L79" s="974"/>
      <c r="M79" s="974"/>
      <c r="N79" s="974"/>
      <c r="O79" s="974"/>
      <c r="P79" s="974"/>
      <c r="Q79" s="974"/>
      <c r="R79" s="970"/>
      <c r="S79" s="970"/>
      <c r="T79" s="970"/>
      <c r="U79" s="970"/>
      <c r="V79" s="970"/>
      <c r="W79" s="970"/>
      <c r="X79" s="970"/>
      <c r="Y79" s="970"/>
      <c r="Z79" s="970"/>
      <c r="AA79" s="970"/>
      <c r="AB79" s="970"/>
    </row>
    <row r="80" spans="1:28" ht="15.75" customHeight="1">
      <c r="A80" s="970"/>
      <c r="B80" s="970"/>
      <c r="C80" s="974"/>
      <c r="D80" s="974"/>
      <c r="E80" s="974"/>
      <c r="F80" s="974"/>
      <c r="G80" s="974"/>
      <c r="H80" s="974"/>
      <c r="I80" s="974"/>
      <c r="J80" s="974"/>
      <c r="K80" s="974"/>
      <c r="L80" s="974"/>
      <c r="M80" s="974"/>
      <c r="N80" s="974"/>
      <c r="O80" s="974"/>
      <c r="P80" s="974"/>
      <c r="Q80" s="974"/>
      <c r="R80" s="970"/>
      <c r="S80" s="970"/>
      <c r="T80" s="970"/>
      <c r="U80" s="970"/>
      <c r="V80" s="970"/>
      <c r="W80" s="970"/>
      <c r="X80" s="970"/>
      <c r="Y80" s="970"/>
      <c r="Z80" s="970"/>
      <c r="AA80" s="970"/>
      <c r="AB80" s="970"/>
    </row>
    <row r="81" spans="1:28" ht="15.75" customHeight="1">
      <c r="A81" s="970"/>
      <c r="B81" s="970"/>
      <c r="C81" s="974"/>
      <c r="D81" s="974"/>
      <c r="E81" s="974"/>
      <c r="F81" s="974"/>
      <c r="G81" s="974"/>
      <c r="H81" s="974"/>
      <c r="I81" s="974"/>
      <c r="J81" s="974"/>
      <c r="K81" s="974"/>
      <c r="L81" s="974"/>
      <c r="M81" s="974"/>
      <c r="N81" s="974"/>
      <c r="O81" s="974"/>
      <c r="P81" s="974"/>
      <c r="Q81" s="974"/>
      <c r="R81" s="970"/>
      <c r="S81" s="970"/>
      <c r="T81" s="970"/>
      <c r="U81" s="970"/>
      <c r="V81" s="970"/>
      <c r="W81" s="970"/>
      <c r="X81" s="970"/>
      <c r="Y81" s="970"/>
      <c r="Z81" s="970"/>
      <c r="AA81" s="970"/>
      <c r="AB81" s="970"/>
    </row>
    <row r="82" spans="1:28" ht="15.75" customHeight="1">
      <c r="A82" s="970"/>
      <c r="B82" s="970"/>
      <c r="C82" s="974"/>
      <c r="D82" s="974"/>
      <c r="E82" s="974"/>
      <c r="F82" s="974"/>
      <c r="G82" s="974"/>
      <c r="H82" s="974"/>
      <c r="I82" s="974"/>
      <c r="J82" s="974"/>
      <c r="K82" s="974"/>
      <c r="L82" s="974"/>
      <c r="M82" s="974"/>
      <c r="N82" s="974"/>
      <c r="O82" s="974"/>
      <c r="P82" s="974"/>
      <c r="Q82" s="974"/>
      <c r="R82" s="970"/>
      <c r="S82" s="970"/>
      <c r="T82" s="970"/>
      <c r="U82" s="970"/>
      <c r="V82" s="970"/>
      <c r="W82" s="970"/>
      <c r="X82" s="970"/>
      <c r="Y82" s="970"/>
      <c r="Z82" s="970"/>
      <c r="AA82" s="970"/>
      <c r="AB82" s="970"/>
    </row>
    <row r="83" spans="1:28" ht="15.75" customHeight="1">
      <c r="A83" s="970"/>
      <c r="B83" s="970"/>
      <c r="C83" s="974"/>
      <c r="D83" s="974"/>
      <c r="E83" s="974"/>
      <c r="F83" s="974"/>
      <c r="G83" s="974"/>
      <c r="H83" s="974"/>
      <c r="I83" s="974"/>
      <c r="J83" s="974"/>
      <c r="K83" s="974"/>
      <c r="L83" s="974"/>
      <c r="M83" s="974"/>
      <c r="N83" s="974"/>
      <c r="O83" s="974"/>
      <c r="P83" s="974"/>
      <c r="Q83" s="974"/>
      <c r="R83" s="970"/>
      <c r="S83" s="970"/>
      <c r="T83" s="970"/>
      <c r="U83" s="970"/>
      <c r="V83" s="970"/>
      <c r="W83" s="970"/>
      <c r="X83" s="970"/>
      <c r="Y83" s="970"/>
      <c r="Z83" s="970"/>
      <c r="AA83" s="970"/>
      <c r="AB83" s="970"/>
    </row>
    <row r="84" spans="1:28" ht="15.75" customHeight="1">
      <c r="A84" s="970"/>
      <c r="B84" s="970"/>
      <c r="C84" s="974"/>
      <c r="D84" s="974"/>
      <c r="E84" s="974"/>
      <c r="F84" s="974"/>
      <c r="G84" s="974"/>
      <c r="H84" s="974"/>
      <c r="I84" s="974"/>
      <c r="J84" s="974"/>
      <c r="K84" s="974"/>
      <c r="L84" s="974"/>
      <c r="M84" s="974"/>
      <c r="N84" s="974"/>
      <c r="O84" s="974"/>
      <c r="P84" s="974"/>
      <c r="Q84" s="974"/>
      <c r="R84" s="970"/>
      <c r="S84" s="970"/>
      <c r="T84" s="970"/>
      <c r="U84" s="970"/>
      <c r="V84" s="970"/>
      <c r="W84" s="970"/>
      <c r="X84" s="970"/>
      <c r="Y84" s="970"/>
      <c r="Z84" s="970"/>
      <c r="AA84" s="970"/>
      <c r="AB84" s="970"/>
    </row>
    <row r="85" spans="1:28" ht="15.75" customHeight="1">
      <c r="A85" s="970"/>
      <c r="B85" s="970"/>
      <c r="C85" s="974"/>
      <c r="D85" s="974"/>
      <c r="E85" s="974"/>
      <c r="F85" s="974"/>
      <c r="G85" s="974"/>
      <c r="H85" s="974"/>
      <c r="I85" s="974"/>
      <c r="J85" s="974"/>
      <c r="K85" s="974"/>
      <c r="L85" s="974"/>
      <c r="M85" s="974"/>
      <c r="N85" s="974"/>
      <c r="O85" s="974"/>
      <c r="P85" s="974"/>
      <c r="Q85" s="974"/>
      <c r="R85" s="970"/>
      <c r="S85" s="970"/>
      <c r="T85" s="970"/>
      <c r="U85" s="970"/>
      <c r="V85" s="970"/>
      <c r="W85" s="970"/>
      <c r="X85" s="970"/>
      <c r="Y85" s="970"/>
      <c r="Z85" s="970"/>
      <c r="AA85" s="970"/>
      <c r="AB85" s="970"/>
    </row>
    <row r="86" spans="1:28" ht="15.75" customHeight="1">
      <c r="A86" s="970"/>
      <c r="B86" s="970"/>
      <c r="C86" s="974"/>
      <c r="D86" s="974"/>
      <c r="E86" s="974"/>
      <c r="F86" s="974"/>
      <c r="G86" s="974"/>
      <c r="H86" s="974"/>
      <c r="I86" s="974"/>
      <c r="J86" s="974"/>
      <c r="K86" s="974"/>
      <c r="L86" s="974"/>
      <c r="M86" s="974"/>
      <c r="N86" s="974"/>
      <c r="O86" s="974"/>
      <c r="P86" s="974"/>
      <c r="Q86" s="974"/>
      <c r="R86" s="970"/>
      <c r="S86" s="970"/>
      <c r="T86" s="970"/>
      <c r="U86" s="970"/>
      <c r="V86" s="970"/>
      <c r="W86" s="970"/>
      <c r="X86" s="970"/>
      <c r="Y86" s="970"/>
      <c r="Z86" s="970"/>
      <c r="AA86" s="970"/>
      <c r="AB86" s="970"/>
    </row>
    <row r="87" spans="1:28" ht="15.75" customHeight="1">
      <c r="A87" s="970"/>
      <c r="B87" s="970"/>
      <c r="C87" s="974"/>
      <c r="D87" s="974"/>
      <c r="E87" s="974"/>
      <c r="F87" s="974"/>
      <c r="G87" s="974"/>
      <c r="H87" s="974"/>
      <c r="I87" s="974"/>
      <c r="J87" s="974"/>
      <c r="K87" s="974"/>
      <c r="L87" s="974"/>
      <c r="M87" s="974"/>
      <c r="N87" s="974"/>
      <c r="O87" s="974"/>
      <c r="P87" s="974"/>
      <c r="Q87" s="974"/>
      <c r="R87" s="970"/>
      <c r="S87" s="970"/>
      <c r="T87" s="970"/>
      <c r="U87" s="970"/>
      <c r="V87" s="970"/>
      <c r="W87" s="970"/>
      <c r="X87" s="970"/>
      <c r="Y87" s="970"/>
      <c r="Z87" s="970"/>
      <c r="AA87" s="970"/>
      <c r="AB87" s="970"/>
    </row>
    <row r="88" spans="1:28" ht="15.75" customHeight="1">
      <c r="A88" s="970"/>
      <c r="B88" s="970"/>
      <c r="C88" s="974"/>
      <c r="D88" s="974"/>
      <c r="E88" s="974"/>
      <c r="F88" s="974"/>
      <c r="G88" s="974"/>
      <c r="H88" s="974"/>
      <c r="I88" s="974"/>
      <c r="J88" s="974"/>
      <c r="K88" s="974"/>
      <c r="L88" s="974"/>
      <c r="M88" s="974"/>
      <c r="N88" s="974"/>
      <c r="O88" s="974"/>
      <c r="P88" s="974"/>
      <c r="Q88" s="974"/>
      <c r="R88" s="970"/>
      <c r="S88" s="970"/>
      <c r="T88" s="970"/>
      <c r="U88" s="970"/>
      <c r="V88" s="970"/>
      <c r="W88" s="970"/>
      <c r="X88" s="970"/>
      <c r="Y88" s="970"/>
      <c r="Z88" s="970"/>
      <c r="AA88" s="970"/>
      <c r="AB88" s="970"/>
    </row>
    <row r="89" spans="1:28" ht="15.75" customHeight="1">
      <c r="A89" s="970"/>
      <c r="B89" s="970"/>
      <c r="C89" s="974"/>
      <c r="D89" s="974"/>
      <c r="E89" s="974"/>
      <c r="F89" s="974"/>
      <c r="G89" s="974"/>
      <c r="H89" s="974"/>
      <c r="I89" s="974"/>
      <c r="J89" s="974"/>
      <c r="K89" s="974"/>
      <c r="L89" s="974"/>
      <c r="M89" s="974"/>
      <c r="N89" s="974"/>
      <c r="O89" s="974"/>
      <c r="P89" s="974"/>
      <c r="Q89" s="974"/>
      <c r="R89" s="970"/>
      <c r="S89" s="970"/>
      <c r="T89" s="970"/>
      <c r="U89" s="970"/>
      <c r="V89" s="970"/>
      <c r="W89" s="970"/>
      <c r="X89" s="970"/>
      <c r="Y89" s="970"/>
      <c r="Z89" s="970"/>
      <c r="AA89" s="970"/>
      <c r="AB89" s="970"/>
    </row>
    <row r="90" spans="1:28" ht="15.75" customHeight="1">
      <c r="A90" s="970"/>
      <c r="B90" s="970"/>
      <c r="C90" s="974"/>
      <c r="D90" s="974"/>
      <c r="E90" s="974"/>
      <c r="F90" s="974"/>
      <c r="G90" s="974"/>
      <c r="H90" s="974"/>
      <c r="I90" s="974"/>
      <c r="J90" s="974"/>
      <c r="K90" s="974"/>
      <c r="L90" s="974"/>
      <c r="M90" s="974"/>
      <c r="N90" s="974"/>
      <c r="O90" s="974"/>
      <c r="P90" s="974"/>
      <c r="Q90" s="974"/>
      <c r="R90" s="970"/>
      <c r="S90" s="970"/>
      <c r="T90" s="970"/>
      <c r="U90" s="970"/>
      <c r="V90" s="970"/>
      <c r="W90" s="970"/>
      <c r="X90" s="970"/>
      <c r="Y90" s="970"/>
      <c r="Z90" s="970"/>
      <c r="AA90" s="970"/>
      <c r="AB90" s="970"/>
    </row>
    <row r="91" spans="1:28" ht="15.75" customHeight="1">
      <c r="A91" s="970"/>
      <c r="B91" s="970"/>
      <c r="C91" s="974"/>
      <c r="D91" s="974"/>
      <c r="E91" s="974"/>
      <c r="F91" s="974"/>
      <c r="G91" s="974"/>
      <c r="H91" s="974"/>
      <c r="I91" s="974"/>
      <c r="J91" s="974"/>
      <c r="K91" s="974"/>
      <c r="L91" s="974"/>
      <c r="M91" s="974"/>
      <c r="N91" s="974"/>
      <c r="O91" s="974"/>
      <c r="P91" s="974"/>
      <c r="Q91" s="974"/>
      <c r="R91" s="970"/>
      <c r="S91" s="970"/>
      <c r="T91" s="970"/>
      <c r="U91" s="970"/>
      <c r="V91" s="970"/>
      <c r="W91" s="970"/>
      <c r="X91" s="970"/>
      <c r="Y91" s="970"/>
      <c r="Z91" s="970"/>
      <c r="AA91" s="970"/>
      <c r="AB91" s="970"/>
    </row>
    <row r="92" spans="1:28" ht="15.75" customHeight="1">
      <c r="A92" s="970"/>
      <c r="B92" s="970"/>
      <c r="C92" s="974"/>
      <c r="D92" s="974"/>
      <c r="E92" s="974"/>
      <c r="F92" s="974"/>
      <c r="G92" s="974"/>
      <c r="H92" s="974"/>
      <c r="I92" s="974"/>
      <c r="J92" s="974"/>
      <c r="K92" s="974"/>
      <c r="L92" s="974"/>
      <c r="M92" s="974"/>
      <c r="N92" s="974"/>
      <c r="O92" s="974"/>
      <c r="P92" s="974"/>
      <c r="Q92" s="974"/>
      <c r="R92" s="970"/>
      <c r="S92" s="970"/>
      <c r="T92" s="970"/>
      <c r="U92" s="970"/>
      <c r="V92" s="970"/>
      <c r="W92" s="970"/>
      <c r="X92" s="970"/>
      <c r="Y92" s="970"/>
      <c r="Z92" s="970"/>
      <c r="AA92" s="970"/>
      <c r="AB92" s="970"/>
    </row>
    <row r="93" spans="1:28" ht="15.75" customHeight="1">
      <c r="A93" s="970"/>
      <c r="B93" s="970"/>
      <c r="C93" s="974"/>
      <c r="D93" s="974"/>
      <c r="E93" s="974"/>
      <c r="F93" s="974"/>
      <c r="G93" s="974"/>
      <c r="H93" s="974"/>
      <c r="I93" s="974"/>
      <c r="J93" s="974"/>
      <c r="K93" s="974"/>
      <c r="L93" s="974"/>
      <c r="M93" s="974"/>
      <c r="N93" s="974"/>
      <c r="O93" s="974"/>
      <c r="P93" s="974"/>
      <c r="Q93" s="974"/>
      <c r="R93" s="970"/>
      <c r="S93" s="970"/>
      <c r="T93" s="970"/>
      <c r="U93" s="970"/>
      <c r="V93" s="970"/>
      <c r="W93" s="970"/>
      <c r="X93" s="970"/>
      <c r="Y93" s="970"/>
      <c r="Z93" s="970"/>
      <c r="AA93" s="970"/>
      <c r="AB93" s="970"/>
    </row>
    <row r="94" spans="1:28" ht="15.75" customHeight="1">
      <c r="A94" s="970"/>
      <c r="B94" s="970"/>
      <c r="C94" s="974"/>
      <c r="D94" s="974"/>
      <c r="E94" s="974"/>
      <c r="F94" s="974"/>
      <c r="G94" s="974"/>
      <c r="H94" s="974"/>
      <c r="I94" s="974"/>
      <c r="J94" s="974"/>
      <c r="K94" s="974"/>
      <c r="L94" s="974"/>
      <c r="M94" s="974"/>
      <c r="N94" s="974"/>
      <c r="O94" s="974"/>
      <c r="P94" s="974"/>
      <c r="Q94" s="974"/>
      <c r="R94" s="970"/>
      <c r="S94" s="970"/>
      <c r="T94" s="970"/>
      <c r="U94" s="970"/>
      <c r="V94" s="970"/>
      <c r="W94" s="970"/>
      <c r="X94" s="970"/>
      <c r="Y94" s="970"/>
      <c r="Z94" s="970"/>
      <c r="AA94" s="970"/>
      <c r="AB94" s="970"/>
    </row>
    <row r="95" spans="1:28" ht="15.75" customHeight="1">
      <c r="A95" s="970"/>
      <c r="B95" s="970"/>
      <c r="C95" s="974"/>
      <c r="D95" s="974"/>
      <c r="E95" s="974"/>
      <c r="F95" s="974"/>
      <c r="G95" s="974"/>
      <c r="H95" s="974"/>
      <c r="I95" s="974"/>
      <c r="J95" s="974"/>
      <c r="K95" s="974"/>
      <c r="L95" s="974"/>
      <c r="M95" s="974"/>
      <c r="N95" s="974"/>
      <c r="O95" s="974"/>
      <c r="P95" s="974"/>
      <c r="Q95" s="974"/>
      <c r="R95" s="970"/>
      <c r="S95" s="970"/>
      <c r="T95" s="970"/>
      <c r="U95" s="970"/>
      <c r="V95" s="970"/>
      <c r="W95" s="970"/>
      <c r="X95" s="970"/>
      <c r="Y95" s="970"/>
      <c r="Z95" s="970"/>
      <c r="AA95" s="970"/>
      <c r="AB95" s="970"/>
    </row>
    <row r="96" spans="1:28" ht="15.75" customHeight="1">
      <c r="A96" s="970"/>
      <c r="B96" s="970"/>
      <c r="C96" s="974"/>
      <c r="D96" s="974"/>
      <c r="E96" s="974"/>
      <c r="F96" s="974"/>
      <c r="G96" s="974"/>
      <c r="H96" s="974"/>
      <c r="I96" s="974"/>
      <c r="J96" s="974"/>
      <c r="K96" s="974"/>
      <c r="L96" s="974"/>
      <c r="M96" s="974"/>
      <c r="N96" s="974"/>
      <c r="O96" s="974"/>
      <c r="P96" s="974"/>
      <c r="Q96" s="974"/>
      <c r="R96" s="970"/>
      <c r="S96" s="970"/>
      <c r="T96" s="970"/>
      <c r="U96" s="970"/>
      <c r="V96" s="970"/>
      <c r="W96" s="970"/>
      <c r="X96" s="970"/>
      <c r="Y96" s="970"/>
      <c r="Z96" s="970"/>
      <c r="AA96" s="970"/>
      <c r="AB96" s="970"/>
    </row>
    <row r="97" spans="1:28" ht="15.75" customHeight="1">
      <c r="A97" s="970"/>
      <c r="B97" s="970"/>
      <c r="C97" s="974"/>
      <c r="D97" s="974"/>
      <c r="E97" s="974"/>
      <c r="F97" s="974"/>
      <c r="G97" s="974"/>
      <c r="H97" s="974"/>
      <c r="I97" s="974"/>
      <c r="J97" s="974"/>
      <c r="K97" s="974"/>
      <c r="L97" s="974"/>
      <c r="M97" s="974"/>
      <c r="N97" s="974"/>
      <c r="O97" s="974"/>
      <c r="P97" s="974"/>
      <c r="Q97" s="974"/>
      <c r="R97" s="970"/>
      <c r="S97" s="970"/>
      <c r="T97" s="970"/>
      <c r="U97" s="970"/>
      <c r="V97" s="970"/>
      <c r="W97" s="970"/>
      <c r="X97" s="970"/>
      <c r="Y97" s="970"/>
      <c r="Z97" s="970"/>
      <c r="AA97" s="970"/>
      <c r="AB97" s="970"/>
    </row>
    <row r="98" spans="1:28" ht="15.75" customHeight="1">
      <c r="A98" s="970"/>
      <c r="B98" s="970"/>
      <c r="C98" s="974"/>
      <c r="D98" s="974"/>
      <c r="E98" s="974"/>
      <c r="F98" s="974"/>
      <c r="G98" s="974"/>
      <c r="H98" s="974"/>
      <c r="I98" s="974"/>
      <c r="J98" s="974"/>
      <c r="K98" s="974"/>
      <c r="L98" s="974"/>
      <c r="M98" s="974"/>
      <c r="N98" s="974"/>
      <c r="O98" s="974"/>
      <c r="P98" s="974"/>
      <c r="Q98" s="974"/>
      <c r="R98" s="970"/>
      <c r="S98" s="970"/>
      <c r="T98" s="970"/>
      <c r="U98" s="970"/>
      <c r="V98" s="970"/>
      <c r="W98" s="970"/>
      <c r="X98" s="970"/>
      <c r="Y98" s="970"/>
      <c r="Z98" s="970"/>
      <c r="AA98" s="970"/>
      <c r="AB98" s="970"/>
    </row>
    <row r="99" spans="1:28" ht="15.75" customHeight="1">
      <c r="A99" s="970"/>
      <c r="B99" s="970"/>
      <c r="C99" s="974"/>
      <c r="D99" s="974"/>
      <c r="E99" s="974"/>
      <c r="F99" s="974"/>
      <c r="G99" s="974"/>
      <c r="H99" s="974"/>
      <c r="I99" s="974"/>
      <c r="J99" s="974"/>
      <c r="K99" s="974"/>
      <c r="L99" s="974"/>
      <c r="M99" s="974"/>
      <c r="N99" s="974"/>
      <c r="O99" s="974"/>
      <c r="P99" s="974"/>
      <c r="Q99" s="974"/>
      <c r="R99" s="970"/>
      <c r="S99" s="970"/>
      <c r="T99" s="970"/>
      <c r="U99" s="970"/>
      <c r="V99" s="970"/>
      <c r="W99" s="970"/>
      <c r="X99" s="970"/>
      <c r="Y99" s="970"/>
      <c r="Z99" s="970"/>
      <c r="AA99" s="970"/>
      <c r="AB99" s="970"/>
    </row>
    <row r="100" spans="1:28" ht="15.75" customHeight="1">
      <c r="A100" s="970"/>
      <c r="B100" s="970"/>
      <c r="C100" s="974"/>
      <c r="D100" s="974"/>
      <c r="E100" s="974"/>
      <c r="F100" s="974"/>
      <c r="G100" s="974"/>
      <c r="H100" s="974"/>
      <c r="I100" s="974"/>
      <c r="J100" s="974"/>
      <c r="K100" s="974"/>
      <c r="L100" s="974"/>
      <c r="M100" s="974"/>
      <c r="N100" s="974"/>
      <c r="O100" s="974"/>
      <c r="P100" s="974"/>
      <c r="Q100" s="974"/>
      <c r="R100" s="970"/>
      <c r="S100" s="970"/>
      <c r="T100" s="970"/>
      <c r="U100" s="970"/>
      <c r="V100" s="970"/>
      <c r="W100" s="970"/>
      <c r="X100" s="970"/>
      <c r="Y100" s="970"/>
      <c r="Z100" s="970"/>
      <c r="AA100" s="970"/>
      <c r="AB100" s="970"/>
    </row>
    <row r="101" spans="1:28" ht="15.75" customHeight="1">
      <c r="A101" s="970"/>
      <c r="B101" s="970"/>
      <c r="C101" s="974"/>
      <c r="D101" s="974"/>
      <c r="E101" s="974"/>
      <c r="F101" s="974"/>
      <c r="G101" s="974"/>
      <c r="H101" s="974"/>
      <c r="I101" s="974"/>
      <c r="J101" s="974"/>
      <c r="K101" s="974"/>
      <c r="L101" s="974"/>
      <c r="M101" s="974"/>
      <c r="N101" s="974"/>
      <c r="O101" s="974"/>
      <c r="P101" s="974"/>
      <c r="Q101" s="974"/>
      <c r="R101" s="970"/>
      <c r="S101" s="970"/>
      <c r="T101" s="970"/>
      <c r="U101" s="970"/>
      <c r="V101" s="970"/>
      <c r="W101" s="970"/>
      <c r="X101" s="970"/>
      <c r="Y101" s="970"/>
      <c r="Z101" s="970"/>
      <c r="AA101" s="970"/>
      <c r="AB101" s="970"/>
    </row>
    <row r="102" spans="1:28" ht="15.75" customHeight="1">
      <c r="A102" s="970"/>
      <c r="B102" s="970"/>
      <c r="C102" s="974"/>
      <c r="D102" s="974"/>
      <c r="E102" s="974"/>
      <c r="F102" s="974"/>
      <c r="G102" s="974"/>
      <c r="H102" s="974"/>
      <c r="I102" s="974"/>
      <c r="J102" s="974"/>
      <c r="K102" s="974"/>
      <c r="L102" s="974"/>
      <c r="M102" s="974"/>
      <c r="N102" s="974"/>
      <c r="O102" s="974"/>
      <c r="P102" s="974"/>
      <c r="Q102" s="974"/>
      <c r="R102" s="970"/>
      <c r="S102" s="970"/>
      <c r="T102" s="970"/>
      <c r="U102" s="970"/>
      <c r="V102" s="970"/>
      <c r="W102" s="970"/>
      <c r="X102" s="970"/>
      <c r="Y102" s="970"/>
      <c r="Z102" s="970"/>
      <c r="AA102" s="970"/>
      <c r="AB102" s="970"/>
    </row>
    <row r="103" spans="1:28" ht="15.75" customHeight="1">
      <c r="A103" s="970"/>
      <c r="B103" s="970"/>
      <c r="C103" s="974"/>
      <c r="D103" s="974"/>
      <c r="E103" s="974"/>
      <c r="F103" s="974"/>
      <c r="G103" s="974"/>
      <c r="H103" s="974"/>
      <c r="I103" s="974"/>
      <c r="J103" s="974"/>
      <c r="K103" s="974"/>
      <c r="L103" s="974"/>
      <c r="M103" s="974"/>
      <c r="N103" s="974"/>
      <c r="O103" s="974"/>
      <c r="P103" s="974"/>
      <c r="Q103" s="974"/>
      <c r="R103" s="970"/>
      <c r="S103" s="970"/>
      <c r="T103" s="970"/>
      <c r="U103" s="970"/>
      <c r="V103" s="970"/>
      <c r="W103" s="970"/>
      <c r="X103" s="970"/>
      <c r="Y103" s="970"/>
      <c r="Z103" s="970"/>
      <c r="AA103" s="970"/>
      <c r="AB103" s="970"/>
    </row>
    <row r="104" spans="1:28" ht="15.75" customHeight="1">
      <c r="A104" s="970"/>
      <c r="B104" s="970"/>
      <c r="C104" s="974"/>
      <c r="D104" s="974"/>
      <c r="E104" s="974"/>
      <c r="F104" s="974"/>
      <c r="G104" s="974"/>
      <c r="H104" s="974"/>
      <c r="I104" s="974"/>
      <c r="J104" s="974"/>
      <c r="K104" s="974"/>
      <c r="L104" s="974"/>
      <c r="M104" s="974"/>
      <c r="N104" s="974"/>
      <c r="O104" s="974"/>
      <c r="P104" s="974"/>
      <c r="Q104" s="974"/>
      <c r="R104" s="970"/>
      <c r="S104" s="970"/>
      <c r="T104" s="970"/>
      <c r="U104" s="970"/>
      <c r="V104" s="970"/>
      <c r="W104" s="970"/>
      <c r="X104" s="970"/>
      <c r="Y104" s="970"/>
      <c r="Z104" s="970"/>
      <c r="AA104" s="970"/>
      <c r="AB104" s="970"/>
    </row>
    <row r="105" spans="1:28" ht="15.75" customHeight="1">
      <c r="A105" s="970"/>
      <c r="B105" s="970"/>
      <c r="C105" s="974"/>
      <c r="D105" s="974"/>
      <c r="E105" s="974"/>
      <c r="F105" s="974"/>
      <c r="G105" s="974"/>
      <c r="H105" s="974"/>
      <c r="I105" s="974"/>
      <c r="J105" s="974"/>
      <c r="K105" s="974"/>
      <c r="L105" s="974"/>
      <c r="M105" s="974"/>
      <c r="N105" s="974"/>
      <c r="O105" s="974"/>
      <c r="P105" s="974"/>
      <c r="Q105" s="974"/>
      <c r="R105" s="970"/>
      <c r="S105" s="970"/>
      <c r="T105" s="970"/>
      <c r="U105" s="970"/>
      <c r="V105" s="970"/>
      <c r="W105" s="970"/>
      <c r="X105" s="970"/>
      <c r="Y105" s="970"/>
      <c r="Z105" s="970"/>
      <c r="AA105" s="970"/>
      <c r="AB105" s="970"/>
    </row>
    <row r="106" spans="1:28" ht="15.75" customHeight="1">
      <c r="A106" s="970"/>
      <c r="B106" s="970"/>
      <c r="C106" s="974"/>
      <c r="D106" s="974"/>
      <c r="E106" s="974"/>
      <c r="F106" s="974"/>
      <c r="G106" s="974"/>
      <c r="H106" s="974"/>
      <c r="I106" s="974"/>
      <c r="J106" s="974"/>
      <c r="K106" s="974"/>
      <c r="L106" s="974"/>
      <c r="M106" s="974"/>
      <c r="N106" s="974"/>
      <c r="O106" s="974"/>
      <c r="P106" s="974"/>
      <c r="Q106" s="974"/>
      <c r="R106" s="970"/>
      <c r="S106" s="970"/>
      <c r="T106" s="970"/>
      <c r="U106" s="970"/>
      <c r="V106" s="970"/>
      <c r="W106" s="970"/>
      <c r="X106" s="970"/>
      <c r="Y106" s="970"/>
      <c r="Z106" s="970"/>
      <c r="AA106" s="970"/>
      <c r="AB106" s="970"/>
    </row>
    <row r="107" spans="1:28" ht="15.75" customHeight="1">
      <c r="A107" s="970"/>
      <c r="B107" s="970"/>
      <c r="C107" s="974"/>
      <c r="D107" s="974"/>
      <c r="E107" s="974"/>
      <c r="F107" s="974"/>
      <c r="G107" s="974"/>
      <c r="H107" s="974"/>
      <c r="I107" s="974"/>
      <c r="J107" s="974"/>
      <c r="K107" s="974"/>
      <c r="L107" s="974"/>
      <c r="M107" s="974"/>
      <c r="N107" s="974"/>
      <c r="O107" s="974"/>
      <c r="P107" s="974"/>
      <c r="Q107" s="974"/>
      <c r="R107" s="970"/>
      <c r="S107" s="970"/>
      <c r="T107" s="970"/>
      <c r="U107" s="970"/>
      <c r="V107" s="970"/>
      <c r="W107" s="970"/>
      <c r="X107" s="970"/>
      <c r="Y107" s="970"/>
      <c r="Z107" s="970"/>
      <c r="AA107" s="970"/>
      <c r="AB107" s="970"/>
    </row>
    <row r="108" spans="1:28" ht="15.75" customHeight="1">
      <c r="A108" s="970"/>
      <c r="B108" s="970"/>
      <c r="C108" s="974"/>
      <c r="D108" s="974"/>
      <c r="E108" s="974"/>
      <c r="F108" s="974"/>
      <c r="G108" s="974"/>
      <c r="H108" s="974"/>
      <c r="I108" s="974"/>
      <c r="J108" s="974"/>
      <c r="K108" s="974"/>
      <c r="L108" s="974"/>
      <c r="M108" s="974"/>
      <c r="N108" s="974"/>
      <c r="O108" s="974"/>
      <c r="P108" s="974"/>
      <c r="Q108" s="974"/>
      <c r="R108" s="970"/>
      <c r="S108" s="970"/>
      <c r="T108" s="970"/>
      <c r="U108" s="970"/>
      <c r="V108" s="970"/>
      <c r="W108" s="970"/>
      <c r="X108" s="970"/>
      <c r="Y108" s="970"/>
      <c r="Z108" s="970"/>
      <c r="AA108" s="970"/>
      <c r="AB108" s="970"/>
    </row>
    <row r="109" spans="1:28" ht="15.75" customHeight="1">
      <c r="A109" s="970"/>
      <c r="B109" s="970"/>
      <c r="C109" s="974"/>
      <c r="D109" s="974"/>
      <c r="E109" s="974"/>
      <c r="F109" s="974"/>
      <c r="G109" s="974"/>
      <c r="H109" s="974"/>
      <c r="I109" s="974"/>
      <c r="J109" s="974"/>
      <c r="K109" s="974"/>
      <c r="L109" s="974"/>
      <c r="M109" s="974"/>
      <c r="N109" s="974"/>
      <c r="O109" s="974"/>
      <c r="P109" s="974"/>
      <c r="Q109" s="974"/>
      <c r="R109" s="970"/>
      <c r="S109" s="970"/>
      <c r="T109" s="970"/>
      <c r="U109" s="970"/>
      <c r="V109" s="970"/>
      <c r="W109" s="970"/>
      <c r="X109" s="970"/>
      <c r="Y109" s="970"/>
      <c r="Z109" s="970"/>
      <c r="AA109" s="970"/>
      <c r="AB109" s="970"/>
    </row>
    <row r="110" spans="1:28" ht="15.75" customHeight="1">
      <c r="A110" s="970"/>
      <c r="B110" s="970"/>
      <c r="C110" s="974"/>
      <c r="D110" s="974"/>
      <c r="E110" s="974"/>
      <c r="F110" s="974"/>
      <c r="G110" s="974"/>
      <c r="H110" s="974"/>
      <c r="I110" s="974"/>
      <c r="J110" s="974"/>
      <c r="K110" s="974"/>
      <c r="L110" s="974"/>
      <c r="M110" s="974"/>
      <c r="N110" s="974"/>
      <c r="O110" s="974"/>
      <c r="P110" s="974"/>
      <c r="Q110" s="974"/>
      <c r="R110" s="970"/>
      <c r="S110" s="970"/>
      <c r="T110" s="970"/>
      <c r="U110" s="970"/>
      <c r="V110" s="970"/>
      <c r="W110" s="970"/>
      <c r="X110" s="970"/>
      <c r="Y110" s="970"/>
      <c r="Z110" s="970"/>
      <c r="AA110" s="970"/>
      <c r="AB110" s="970"/>
    </row>
    <row r="111" spans="1:28" ht="15.75" customHeight="1">
      <c r="A111" s="970"/>
      <c r="B111" s="970"/>
      <c r="C111" s="974"/>
      <c r="D111" s="974"/>
      <c r="E111" s="974"/>
      <c r="F111" s="974"/>
      <c r="G111" s="974"/>
      <c r="H111" s="974"/>
      <c r="I111" s="974"/>
      <c r="J111" s="974"/>
      <c r="K111" s="974"/>
      <c r="L111" s="974"/>
      <c r="M111" s="974"/>
      <c r="N111" s="974"/>
      <c r="O111" s="974"/>
      <c r="P111" s="974"/>
      <c r="Q111" s="974"/>
      <c r="R111" s="970"/>
      <c r="S111" s="970"/>
      <c r="T111" s="970"/>
      <c r="U111" s="970"/>
      <c r="V111" s="970"/>
      <c r="W111" s="970"/>
      <c r="X111" s="970"/>
      <c r="Y111" s="970"/>
      <c r="Z111" s="970"/>
      <c r="AA111" s="970"/>
      <c r="AB111" s="970"/>
    </row>
    <row r="112" spans="1:28" ht="15.75" customHeight="1">
      <c r="A112" s="970"/>
      <c r="B112" s="970"/>
      <c r="C112" s="974"/>
      <c r="D112" s="974"/>
      <c r="E112" s="974"/>
      <c r="F112" s="974"/>
      <c r="G112" s="974"/>
      <c r="H112" s="974"/>
      <c r="I112" s="974"/>
      <c r="J112" s="974"/>
      <c r="K112" s="974"/>
      <c r="L112" s="974"/>
      <c r="M112" s="974"/>
      <c r="N112" s="974"/>
      <c r="O112" s="974"/>
      <c r="P112" s="974"/>
      <c r="Q112" s="974"/>
      <c r="R112" s="970"/>
      <c r="S112" s="970"/>
      <c r="T112" s="970"/>
      <c r="U112" s="970"/>
      <c r="V112" s="970"/>
      <c r="W112" s="970"/>
      <c r="X112" s="970"/>
      <c r="Y112" s="970"/>
      <c r="Z112" s="970"/>
      <c r="AA112" s="970"/>
      <c r="AB112" s="970"/>
    </row>
    <row r="113" spans="1:28" ht="15.75" customHeight="1">
      <c r="A113" s="970"/>
      <c r="B113" s="970"/>
      <c r="C113" s="974"/>
      <c r="D113" s="974"/>
      <c r="E113" s="974"/>
      <c r="F113" s="974"/>
      <c r="G113" s="974"/>
      <c r="H113" s="974"/>
      <c r="I113" s="974"/>
      <c r="J113" s="974"/>
      <c r="K113" s="974"/>
      <c r="L113" s="974"/>
      <c r="M113" s="974"/>
      <c r="N113" s="974"/>
      <c r="O113" s="974"/>
      <c r="P113" s="974"/>
      <c r="Q113" s="974"/>
      <c r="R113" s="970"/>
      <c r="S113" s="970"/>
      <c r="T113" s="970"/>
      <c r="U113" s="970"/>
      <c r="V113" s="970"/>
      <c r="W113" s="970"/>
      <c r="X113" s="970"/>
      <c r="Y113" s="970"/>
      <c r="Z113" s="970"/>
      <c r="AA113" s="970"/>
      <c r="AB113" s="970"/>
    </row>
    <row r="114" spans="1:28" ht="15.75" customHeight="1">
      <c r="A114" s="970"/>
      <c r="B114" s="970"/>
      <c r="C114" s="974"/>
      <c r="D114" s="974"/>
      <c r="E114" s="974"/>
      <c r="F114" s="974"/>
      <c r="G114" s="974"/>
      <c r="H114" s="974"/>
      <c r="I114" s="974"/>
      <c r="J114" s="974"/>
      <c r="K114" s="974"/>
      <c r="L114" s="974"/>
      <c r="M114" s="974"/>
      <c r="N114" s="974"/>
      <c r="O114" s="974"/>
      <c r="P114" s="974"/>
      <c r="Q114" s="974"/>
      <c r="R114" s="970"/>
      <c r="S114" s="970"/>
      <c r="T114" s="970"/>
      <c r="U114" s="970"/>
      <c r="V114" s="970"/>
      <c r="W114" s="970"/>
      <c r="X114" s="970"/>
      <c r="Y114" s="970"/>
      <c r="Z114" s="970"/>
      <c r="AA114" s="970"/>
      <c r="AB114" s="970"/>
    </row>
    <row r="115" spans="1:28" ht="15.75" customHeight="1">
      <c r="A115" s="970"/>
      <c r="B115" s="970"/>
      <c r="C115" s="974"/>
      <c r="D115" s="974"/>
      <c r="E115" s="974"/>
      <c r="F115" s="974"/>
      <c r="G115" s="974"/>
      <c r="H115" s="974"/>
      <c r="I115" s="974"/>
      <c r="J115" s="974"/>
      <c r="K115" s="974"/>
      <c r="L115" s="974"/>
      <c r="M115" s="974"/>
      <c r="N115" s="974"/>
      <c r="O115" s="974"/>
      <c r="P115" s="974"/>
      <c r="Q115" s="974"/>
      <c r="R115" s="970"/>
      <c r="S115" s="970"/>
      <c r="T115" s="970"/>
      <c r="U115" s="970"/>
      <c r="V115" s="970"/>
      <c r="W115" s="970"/>
      <c r="X115" s="970"/>
      <c r="Y115" s="970"/>
      <c r="Z115" s="970"/>
      <c r="AA115" s="970"/>
      <c r="AB115" s="970"/>
    </row>
    <row r="116" spans="1:28" ht="15.75" customHeight="1">
      <c r="A116" s="970"/>
      <c r="B116" s="970"/>
      <c r="C116" s="974"/>
      <c r="D116" s="974"/>
      <c r="E116" s="974"/>
      <c r="F116" s="974"/>
      <c r="G116" s="974"/>
      <c r="H116" s="974"/>
      <c r="I116" s="974"/>
      <c r="J116" s="974"/>
      <c r="K116" s="974"/>
      <c r="L116" s="974"/>
      <c r="M116" s="974"/>
      <c r="N116" s="974"/>
      <c r="O116" s="974"/>
      <c r="P116" s="974"/>
      <c r="Q116" s="974"/>
      <c r="R116" s="970"/>
      <c r="S116" s="970"/>
      <c r="T116" s="970"/>
      <c r="U116" s="970"/>
      <c r="V116" s="970"/>
      <c r="W116" s="970"/>
      <c r="X116" s="970"/>
      <c r="Y116" s="970"/>
      <c r="Z116" s="970"/>
      <c r="AA116" s="970"/>
      <c r="AB116" s="970"/>
    </row>
    <row r="117" spans="1:28" ht="15.75" customHeight="1">
      <c r="A117" s="970"/>
      <c r="B117" s="970"/>
      <c r="C117" s="974"/>
      <c r="D117" s="974"/>
      <c r="E117" s="974"/>
      <c r="F117" s="974"/>
      <c r="G117" s="974"/>
      <c r="H117" s="974"/>
      <c r="I117" s="974"/>
      <c r="J117" s="974"/>
      <c r="K117" s="974"/>
      <c r="L117" s="974"/>
      <c r="M117" s="974"/>
      <c r="N117" s="974"/>
      <c r="O117" s="974"/>
      <c r="P117" s="974"/>
      <c r="Q117" s="974"/>
      <c r="R117" s="970"/>
      <c r="S117" s="970"/>
      <c r="T117" s="970"/>
      <c r="U117" s="970"/>
      <c r="V117" s="970"/>
      <c r="W117" s="970"/>
      <c r="X117" s="970"/>
      <c r="Y117" s="970"/>
      <c r="Z117" s="970"/>
      <c r="AA117" s="970"/>
      <c r="AB117" s="970"/>
    </row>
    <row r="118" spans="1:28" ht="15.75" customHeight="1">
      <c r="A118" s="970"/>
      <c r="B118" s="970"/>
      <c r="C118" s="974"/>
      <c r="D118" s="974"/>
      <c r="E118" s="974"/>
      <c r="F118" s="974"/>
      <c r="G118" s="974"/>
      <c r="H118" s="974"/>
      <c r="I118" s="974"/>
      <c r="J118" s="974"/>
      <c r="K118" s="974"/>
      <c r="L118" s="974"/>
      <c r="M118" s="974"/>
      <c r="N118" s="974"/>
      <c r="O118" s="974"/>
      <c r="P118" s="974"/>
      <c r="Q118" s="974"/>
      <c r="R118" s="970"/>
      <c r="S118" s="970"/>
      <c r="T118" s="970"/>
      <c r="U118" s="970"/>
      <c r="V118" s="970"/>
      <c r="W118" s="970"/>
      <c r="X118" s="970"/>
      <c r="Y118" s="970"/>
      <c r="Z118" s="970"/>
      <c r="AA118" s="970"/>
      <c r="AB118" s="970"/>
    </row>
    <row r="119" spans="1:28" ht="15.75" customHeight="1">
      <c r="A119" s="970"/>
      <c r="B119" s="970"/>
      <c r="C119" s="974"/>
      <c r="D119" s="974"/>
      <c r="E119" s="974"/>
      <c r="F119" s="974"/>
      <c r="G119" s="974"/>
      <c r="H119" s="974"/>
      <c r="I119" s="974"/>
      <c r="J119" s="974"/>
      <c r="K119" s="974"/>
      <c r="L119" s="974"/>
      <c r="M119" s="974"/>
      <c r="N119" s="974"/>
      <c r="O119" s="974"/>
      <c r="P119" s="974"/>
      <c r="Q119" s="974"/>
      <c r="R119" s="970"/>
      <c r="S119" s="970"/>
      <c r="T119" s="970"/>
      <c r="U119" s="970"/>
      <c r="V119" s="970"/>
      <c r="W119" s="970"/>
      <c r="X119" s="970"/>
      <c r="Y119" s="970"/>
      <c r="Z119" s="970"/>
      <c r="AA119" s="970"/>
      <c r="AB119" s="970"/>
    </row>
    <row r="120" spans="1:28" ht="15.75" customHeight="1">
      <c r="A120" s="970"/>
      <c r="B120" s="970"/>
      <c r="C120" s="974"/>
      <c r="D120" s="974"/>
      <c r="E120" s="974"/>
      <c r="F120" s="974"/>
      <c r="G120" s="974"/>
      <c r="H120" s="974"/>
      <c r="I120" s="974"/>
      <c r="J120" s="974"/>
      <c r="K120" s="974"/>
      <c r="L120" s="974"/>
      <c r="M120" s="974"/>
      <c r="N120" s="974"/>
      <c r="O120" s="974"/>
      <c r="P120" s="974"/>
      <c r="Q120" s="974"/>
      <c r="R120" s="970"/>
      <c r="S120" s="970"/>
      <c r="T120" s="970"/>
      <c r="U120" s="970"/>
      <c r="V120" s="970"/>
      <c r="W120" s="970"/>
      <c r="X120" s="970"/>
      <c r="Y120" s="970"/>
      <c r="Z120" s="970"/>
      <c r="AA120" s="970"/>
      <c r="AB120" s="970"/>
    </row>
    <row r="121" spans="1:28" ht="15.75" customHeight="1">
      <c r="A121" s="970"/>
      <c r="B121" s="970"/>
      <c r="C121" s="974"/>
      <c r="D121" s="974"/>
      <c r="E121" s="974"/>
      <c r="F121" s="974"/>
      <c r="G121" s="974"/>
      <c r="H121" s="974"/>
      <c r="I121" s="974"/>
      <c r="J121" s="974"/>
      <c r="K121" s="974"/>
      <c r="L121" s="974"/>
      <c r="M121" s="974"/>
      <c r="N121" s="974"/>
      <c r="O121" s="974"/>
      <c r="P121" s="974"/>
      <c r="Q121" s="974"/>
      <c r="R121" s="970"/>
      <c r="S121" s="970"/>
      <c r="T121" s="970"/>
      <c r="U121" s="970"/>
      <c r="V121" s="970"/>
      <c r="W121" s="970"/>
      <c r="X121" s="970"/>
      <c r="Y121" s="970"/>
      <c r="Z121" s="970"/>
      <c r="AA121" s="970"/>
      <c r="AB121" s="970"/>
    </row>
    <row r="122" spans="1:28" ht="15.75" customHeight="1">
      <c r="A122" s="970"/>
      <c r="B122" s="970"/>
      <c r="C122" s="974"/>
      <c r="D122" s="974"/>
      <c r="E122" s="974"/>
      <c r="F122" s="974"/>
      <c r="G122" s="974"/>
      <c r="H122" s="974"/>
      <c r="I122" s="974"/>
      <c r="J122" s="974"/>
      <c r="K122" s="974"/>
      <c r="L122" s="974"/>
      <c r="M122" s="974"/>
      <c r="N122" s="974"/>
      <c r="O122" s="974"/>
      <c r="P122" s="974"/>
      <c r="Q122" s="974"/>
      <c r="R122" s="970"/>
      <c r="S122" s="970"/>
      <c r="T122" s="970"/>
      <c r="U122" s="970"/>
      <c r="V122" s="970"/>
      <c r="W122" s="970"/>
      <c r="X122" s="970"/>
      <c r="Y122" s="970"/>
      <c r="Z122" s="970"/>
      <c r="AA122" s="970"/>
      <c r="AB122" s="970"/>
    </row>
    <row r="123" spans="1:28" ht="15.75" customHeight="1">
      <c r="A123" s="970"/>
      <c r="B123" s="970"/>
      <c r="C123" s="974"/>
      <c r="D123" s="974"/>
      <c r="E123" s="974"/>
      <c r="F123" s="974"/>
      <c r="G123" s="974"/>
      <c r="H123" s="974"/>
      <c r="I123" s="974"/>
      <c r="J123" s="974"/>
      <c r="K123" s="974"/>
      <c r="L123" s="974"/>
      <c r="M123" s="974"/>
      <c r="N123" s="974"/>
      <c r="O123" s="974"/>
      <c r="P123" s="974"/>
      <c r="Q123" s="974"/>
      <c r="R123" s="970"/>
      <c r="S123" s="970"/>
      <c r="T123" s="970"/>
      <c r="U123" s="970"/>
      <c r="V123" s="970"/>
      <c r="W123" s="970"/>
      <c r="X123" s="970"/>
      <c r="Y123" s="970"/>
      <c r="Z123" s="970"/>
      <c r="AA123" s="970"/>
      <c r="AB123" s="970"/>
    </row>
    <row r="124" spans="1:28" ht="15.75" customHeight="1">
      <c r="A124" s="970"/>
      <c r="B124" s="970"/>
      <c r="C124" s="974"/>
      <c r="D124" s="974"/>
      <c r="E124" s="974"/>
      <c r="F124" s="974"/>
      <c r="G124" s="974"/>
      <c r="H124" s="974"/>
      <c r="I124" s="974"/>
      <c r="J124" s="974"/>
      <c r="K124" s="974"/>
      <c r="L124" s="974"/>
      <c r="M124" s="974"/>
      <c r="N124" s="974"/>
      <c r="O124" s="974"/>
      <c r="P124" s="974"/>
      <c r="Q124" s="974"/>
      <c r="R124" s="970"/>
      <c r="S124" s="970"/>
      <c r="T124" s="970"/>
      <c r="U124" s="970"/>
      <c r="V124" s="970"/>
      <c r="W124" s="970"/>
      <c r="X124" s="970"/>
      <c r="Y124" s="970"/>
      <c r="Z124" s="970"/>
      <c r="AA124" s="970"/>
      <c r="AB124" s="970"/>
    </row>
    <row r="125" spans="1:28" ht="15.75" customHeight="1">
      <c r="A125" s="970"/>
      <c r="B125" s="970"/>
      <c r="C125" s="974"/>
      <c r="D125" s="974"/>
      <c r="E125" s="974"/>
      <c r="F125" s="974"/>
      <c r="G125" s="974"/>
      <c r="H125" s="974"/>
      <c r="I125" s="974"/>
      <c r="J125" s="974"/>
      <c r="K125" s="974"/>
      <c r="L125" s="974"/>
      <c r="M125" s="974"/>
      <c r="N125" s="974"/>
      <c r="O125" s="974"/>
      <c r="P125" s="974"/>
      <c r="Q125" s="974"/>
      <c r="R125" s="970"/>
      <c r="S125" s="970"/>
      <c r="T125" s="970"/>
      <c r="U125" s="970"/>
      <c r="V125" s="970"/>
      <c r="W125" s="970"/>
      <c r="X125" s="970"/>
      <c r="Y125" s="970"/>
      <c r="Z125" s="970"/>
      <c r="AA125" s="970"/>
      <c r="AB125" s="970"/>
    </row>
    <row r="126" spans="1:28" ht="15.75" customHeight="1">
      <c r="A126" s="970"/>
      <c r="B126" s="970"/>
      <c r="C126" s="974"/>
      <c r="D126" s="974"/>
      <c r="E126" s="974"/>
      <c r="F126" s="974"/>
      <c r="G126" s="974"/>
      <c r="H126" s="974"/>
      <c r="I126" s="974"/>
      <c r="J126" s="974"/>
      <c r="K126" s="974"/>
      <c r="L126" s="974"/>
      <c r="M126" s="974"/>
      <c r="N126" s="974"/>
      <c r="O126" s="974"/>
      <c r="P126" s="974"/>
      <c r="Q126" s="974"/>
      <c r="R126" s="970"/>
      <c r="S126" s="970"/>
      <c r="T126" s="970"/>
      <c r="U126" s="970"/>
      <c r="V126" s="970"/>
      <c r="W126" s="970"/>
      <c r="X126" s="970"/>
      <c r="Y126" s="970"/>
      <c r="Z126" s="970"/>
      <c r="AA126" s="970"/>
      <c r="AB126" s="970"/>
    </row>
    <row r="127" spans="1:28" ht="15.75" customHeight="1">
      <c r="A127" s="970"/>
      <c r="B127" s="970"/>
      <c r="C127" s="974"/>
      <c r="D127" s="974"/>
      <c r="E127" s="974"/>
      <c r="F127" s="974"/>
      <c r="G127" s="974"/>
      <c r="H127" s="974"/>
      <c r="I127" s="974"/>
      <c r="J127" s="974"/>
      <c r="K127" s="974"/>
      <c r="L127" s="974"/>
      <c r="M127" s="974"/>
      <c r="N127" s="974"/>
      <c r="O127" s="974"/>
      <c r="P127" s="974"/>
      <c r="Q127" s="974"/>
      <c r="R127" s="970"/>
      <c r="S127" s="970"/>
      <c r="T127" s="970"/>
      <c r="U127" s="970"/>
      <c r="V127" s="970"/>
      <c r="W127" s="970"/>
      <c r="X127" s="970"/>
      <c r="Y127" s="970"/>
      <c r="Z127" s="970"/>
      <c r="AA127" s="970"/>
      <c r="AB127" s="970"/>
    </row>
    <row r="128" spans="1:28" ht="15.75" customHeight="1">
      <c r="A128" s="970"/>
      <c r="B128" s="970"/>
      <c r="C128" s="974"/>
      <c r="D128" s="974"/>
      <c r="E128" s="974"/>
      <c r="F128" s="974"/>
      <c r="G128" s="974"/>
      <c r="H128" s="974"/>
      <c r="I128" s="974"/>
      <c r="J128" s="974"/>
      <c r="K128" s="974"/>
      <c r="L128" s="974"/>
      <c r="M128" s="974"/>
      <c r="N128" s="974"/>
      <c r="O128" s="974"/>
      <c r="P128" s="974"/>
      <c r="Q128" s="974"/>
      <c r="R128" s="970"/>
      <c r="S128" s="970"/>
      <c r="T128" s="970"/>
      <c r="U128" s="970"/>
      <c r="V128" s="970"/>
      <c r="W128" s="970"/>
      <c r="X128" s="970"/>
      <c r="Y128" s="970"/>
      <c r="Z128" s="970"/>
      <c r="AA128" s="970"/>
      <c r="AB128" s="970"/>
    </row>
    <row r="129" spans="1:28" ht="15.75" customHeight="1">
      <c r="A129" s="970"/>
      <c r="B129" s="970"/>
      <c r="C129" s="974"/>
      <c r="D129" s="974"/>
      <c r="E129" s="974"/>
      <c r="F129" s="974"/>
      <c r="G129" s="974"/>
      <c r="H129" s="974"/>
      <c r="I129" s="974"/>
      <c r="J129" s="974"/>
      <c r="K129" s="974"/>
      <c r="L129" s="974"/>
      <c r="M129" s="974"/>
      <c r="N129" s="974"/>
      <c r="O129" s="974"/>
      <c r="P129" s="974"/>
      <c r="Q129" s="974"/>
      <c r="R129" s="970"/>
      <c r="S129" s="970"/>
      <c r="T129" s="970"/>
      <c r="U129" s="970"/>
      <c r="V129" s="970"/>
      <c r="W129" s="970"/>
      <c r="X129" s="970"/>
      <c r="Y129" s="970"/>
      <c r="Z129" s="970"/>
      <c r="AA129" s="970"/>
      <c r="AB129" s="970"/>
    </row>
    <row r="130" spans="1:28" ht="15.75" customHeight="1">
      <c r="A130" s="970"/>
      <c r="B130" s="970"/>
      <c r="C130" s="974"/>
      <c r="D130" s="974"/>
      <c r="E130" s="974"/>
      <c r="F130" s="974"/>
      <c r="G130" s="974"/>
      <c r="H130" s="974"/>
      <c r="I130" s="974"/>
      <c r="J130" s="974"/>
      <c r="K130" s="974"/>
      <c r="L130" s="974"/>
      <c r="M130" s="974"/>
      <c r="N130" s="974"/>
      <c r="O130" s="974"/>
      <c r="P130" s="974"/>
      <c r="Q130" s="974"/>
      <c r="R130" s="970"/>
      <c r="S130" s="970"/>
      <c r="T130" s="970"/>
      <c r="U130" s="970"/>
      <c r="V130" s="970"/>
      <c r="W130" s="970"/>
      <c r="X130" s="970"/>
      <c r="Y130" s="970"/>
      <c r="Z130" s="970"/>
      <c r="AA130" s="970"/>
      <c r="AB130" s="970"/>
    </row>
    <row r="131" spans="1:28" ht="15.75" customHeight="1">
      <c r="A131" s="970"/>
      <c r="B131" s="970"/>
      <c r="C131" s="974"/>
      <c r="D131" s="974"/>
      <c r="E131" s="974"/>
      <c r="F131" s="974"/>
      <c r="G131" s="974"/>
      <c r="H131" s="974"/>
      <c r="I131" s="974"/>
      <c r="J131" s="974"/>
      <c r="K131" s="974"/>
      <c r="L131" s="974"/>
      <c r="M131" s="974"/>
      <c r="N131" s="974"/>
      <c r="O131" s="974"/>
      <c r="P131" s="974"/>
      <c r="Q131" s="974"/>
      <c r="R131" s="970"/>
      <c r="S131" s="970"/>
      <c r="T131" s="970"/>
      <c r="U131" s="970"/>
      <c r="V131" s="970"/>
      <c r="W131" s="970"/>
      <c r="X131" s="970"/>
      <c r="Y131" s="970"/>
      <c r="Z131" s="970"/>
      <c r="AA131" s="970"/>
      <c r="AB131" s="970"/>
    </row>
    <row r="132" spans="1:28" ht="15.75" customHeight="1">
      <c r="A132" s="970"/>
      <c r="B132" s="970"/>
      <c r="C132" s="974"/>
      <c r="D132" s="974"/>
      <c r="E132" s="974"/>
      <c r="F132" s="974"/>
      <c r="G132" s="974"/>
      <c r="H132" s="974"/>
      <c r="I132" s="974"/>
      <c r="J132" s="974"/>
      <c r="K132" s="974"/>
      <c r="L132" s="974"/>
      <c r="M132" s="974"/>
      <c r="N132" s="974"/>
      <c r="O132" s="974"/>
      <c r="P132" s="974"/>
      <c r="Q132" s="974"/>
      <c r="R132" s="970"/>
      <c r="S132" s="970"/>
      <c r="T132" s="970"/>
      <c r="U132" s="970"/>
      <c r="V132" s="970"/>
      <c r="W132" s="970"/>
      <c r="X132" s="970"/>
      <c r="Y132" s="970"/>
      <c r="Z132" s="970"/>
      <c r="AA132" s="970"/>
      <c r="AB132" s="970"/>
    </row>
    <row r="133" spans="1:28" ht="15.75" customHeight="1">
      <c r="A133" s="970"/>
      <c r="B133" s="970"/>
      <c r="C133" s="974"/>
      <c r="D133" s="974"/>
      <c r="E133" s="974"/>
      <c r="F133" s="974"/>
      <c r="G133" s="974"/>
      <c r="H133" s="974"/>
      <c r="I133" s="974"/>
      <c r="J133" s="974"/>
      <c r="K133" s="974"/>
      <c r="L133" s="974"/>
      <c r="M133" s="974"/>
      <c r="N133" s="974"/>
      <c r="O133" s="974"/>
      <c r="P133" s="974"/>
      <c r="Q133" s="974"/>
      <c r="R133" s="970"/>
      <c r="S133" s="970"/>
      <c r="T133" s="970"/>
      <c r="U133" s="970"/>
      <c r="V133" s="970"/>
      <c r="W133" s="970"/>
      <c r="X133" s="970"/>
      <c r="Y133" s="970"/>
      <c r="Z133" s="970"/>
      <c r="AA133" s="970"/>
      <c r="AB133" s="970"/>
    </row>
    <row r="134" spans="1:28" ht="15.75" customHeight="1">
      <c r="A134" s="970"/>
      <c r="B134" s="970"/>
      <c r="C134" s="974"/>
      <c r="D134" s="974"/>
      <c r="E134" s="974"/>
      <c r="F134" s="974"/>
      <c r="G134" s="974"/>
      <c r="H134" s="974"/>
      <c r="I134" s="974"/>
      <c r="J134" s="974"/>
      <c r="K134" s="974"/>
      <c r="L134" s="974"/>
      <c r="M134" s="974"/>
      <c r="N134" s="974"/>
      <c r="O134" s="974"/>
      <c r="P134" s="974"/>
      <c r="Q134" s="974"/>
      <c r="R134" s="970"/>
      <c r="S134" s="970"/>
      <c r="T134" s="970"/>
      <c r="U134" s="970"/>
      <c r="V134" s="970"/>
      <c r="W134" s="970"/>
      <c r="X134" s="970"/>
      <c r="Y134" s="970"/>
      <c r="Z134" s="970"/>
      <c r="AA134" s="970"/>
      <c r="AB134" s="970"/>
    </row>
    <row r="135" spans="1:28" ht="15.75" customHeight="1">
      <c r="A135" s="970"/>
      <c r="B135" s="970"/>
      <c r="C135" s="974"/>
      <c r="D135" s="974"/>
      <c r="E135" s="974"/>
      <c r="F135" s="974"/>
      <c r="G135" s="974"/>
      <c r="H135" s="974"/>
      <c r="I135" s="974"/>
      <c r="J135" s="974"/>
      <c r="K135" s="974"/>
      <c r="L135" s="974"/>
      <c r="M135" s="974"/>
      <c r="N135" s="974"/>
      <c r="O135" s="974"/>
      <c r="P135" s="974"/>
      <c r="Q135" s="974"/>
      <c r="R135" s="970"/>
      <c r="S135" s="970"/>
      <c r="T135" s="970"/>
      <c r="U135" s="970"/>
      <c r="V135" s="970"/>
      <c r="W135" s="970"/>
      <c r="X135" s="970"/>
      <c r="Y135" s="970"/>
      <c r="Z135" s="970"/>
      <c r="AA135" s="970"/>
      <c r="AB135" s="970"/>
    </row>
    <row r="136" spans="1:28" ht="15.75" customHeight="1">
      <c r="A136" s="970"/>
      <c r="B136" s="970"/>
      <c r="C136" s="974"/>
      <c r="D136" s="974"/>
      <c r="E136" s="974"/>
      <c r="F136" s="974"/>
      <c r="G136" s="974"/>
      <c r="H136" s="974"/>
      <c r="I136" s="974"/>
      <c r="J136" s="974"/>
      <c r="K136" s="974"/>
      <c r="L136" s="974"/>
      <c r="M136" s="974"/>
      <c r="N136" s="974"/>
      <c r="O136" s="974"/>
      <c r="P136" s="974"/>
      <c r="Q136" s="974"/>
      <c r="R136" s="970"/>
      <c r="S136" s="970"/>
      <c r="T136" s="970"/>
      <c r="U136" s="970"/>
      <c r="V136" s="970"/>
      <c r="W136" s="970"/>
      <c r="X136" s="970"/>
      <c r="Y136" s="970"/>
      <c r="Z136" s="970"/>
      <c r="AA136" s="970"/>
      <c r="AB136" s="970"/>
    </row>
    <row r="137" spans="1:28" ht="15.75" customHeight="1">
      <c r="A137" s="970"/>
      <c r="B137" s="970"/>
      <c r="C137" s="974"/>
      <c r="D137" s="974"/>
      <c r="E137" s="974"/>
      <c r="F137" s="974"/>
      <c r="G137" s="974"/>
      <c r="H137" s="974"/>
      <c r="I137" s="974"/>
      <c r="J137" s="974"/>
      <c r="K137" s="974"/>
      <c r="L137" s="974"/>
      <c r="M137" s="974"/>
      <c r="N137" s="974"/>
      <c r="O137" s="974"/>
      <c r="P137" s="974"/>
      <c r="Q137" s="974"/>
      <c r="R137" s="970"/>
      <c r="S137" s="970"/>
      <c r="T137" s="970"/>
      <c r="U137" s="970"/>
      <c r="V137" s="970"/>
      <c r="W137" s="970"/>
      <c r="X137" s="970"/>
      <c r="Y137" s="970"/>
      <c r="Z137" s="970"/>
      <c r="AA137" s="970"/>
      <c r="AB137" s="970"/>
    </row>
    <row r="138" spans="1:28" ht="15.75" customHeight="1">
      <c r="A138" s="970"/>
      <c r="B138" s="970"/>
      <c r="C138" s="974"/>
      <c r="D138" s="974"/>
      <c r="E138" s="974"/>
      <c r="F138" s="974"/>
      <c r="G138" s="974"/>
      <c r="H138" s="974"/>
      <c r="I138" s="974"/>
      <c r="J138" s="974"/>
      <c r="K138" s="974"/>
      <c r="L138" s="974"/>
      <c r="M138" s="974"/>
      <c r="N138" s="974"/>
      <c r="O138" s="974"/>
      <c r="P138" s="974"/>
      <c r="Q138" s="974"/>
      <c r="R138" s="970"/>
      <c r="S138" s="970"/>
      <c r="T138" s="970"/>
      <c r="U138" s="970"/>
      <c r="V138" s="970"/>
      <c r="W138" s="970"/>
      <c r="X138" s="970"/>
      <c r="Y138" s="970"/>
      <c r="Z138" s="970"/>
      <c r="AA138" s="970"/>
      <c r="AB138" s="970"/>
    </row>
    <row r="139" spans="1:28" ht="15.75" customHeight="1">
      <c r="A139" s="970"/>
      <c r="B139" s="970"/>
      <c r="C139" s="974"/>
      <c r="D139" s="974"/>
      <c r="E139" s="974"/>
      <c r="F139" s="974"/>
      <c r="G139" s="974"/>
      <c r="H139" s="974"/>
      <c r="I139" s="974"/>
      <c r="J139" s="974"/>
      <c r="K139" s="974"/>
      <c r="L139" s="974"/>
      <c r="M139" s="974"/>
      <c r="N139" s="974"/>
      <c r="O139" s="974"/>
      <c r="P139" s="974"/>
      <c r="Q139" s="974"/>
      <c r="R139" s="970"/>
      <c r="S139" s="970"/>
      <c r="T139" s="970"/>
      <c r="U139" s="970"/>
      <c r="V139" s="970"/>
      <c r="W139" s="970"/>
      <c r="X139" s="970"/>
      <c r="Y139" s="970"/>
      <c r="Z139" s="970"/>
      <c r="AA139" s="970"/>
      <c r="AB139" s="970"/>
    </row>
    <row r="140" spans="1:28" ht="15.75" customHeight="1">
      <c r="A140" s="970"/>
      <c r="B140" s="970"/>
      <c r="C140" s="974"/>
      <c r="D140" s="974"/>
      <c r="E140" s="974"/>
      <c r="F140" s="974"/>
      <c r="G140" s="974"/>
      <c r="H140" s="974"/>
      <c r="I140" s="974"/>
      <c r="J140" s="974"/>
      <c r="K140" s="974"/>
      <c r="L140" s="974"/>
      <c r="M140" s="974"/>
      <c r="N140" s="974"/>
      <c r="O140" s="974"/>
      <c r="P140" s="974"/>
      <c r="Q140" s="974"/>
      <c r="R140" s="970"/>
      <c r="S140" s="970"/>
      <c r="T140" s="970"/>
      <c r="U140" s="970"/>
      <c r="V140" s="970"/>
      <c r="W140" s="970"/>
      <c r="X140" s="970"/>
      <c r="Y140" s="970"/>
      <c r="Z140" s="970"/>
      <c r="AA140" s="970"/>
      <c r="AB140" s="970"/>
    </row>
    <row r="141" spans="1:28" ht="15.75" customHeight="1">
      <c r="A141" s="970"/>
      <c r="B141" s="970"/>
      <c r="C141" s="974"/>
      <c r="D141" s="974"/>
      <c r="E141" s="974"/>
      <c r="F141" s="974"/>
      <c r="G141" s="974"/>
      <c r="H141" s="974"/>
      <c r="I141" s="974"/>
      <c r="J141" s="974"/>
      <c r="K141" s="974"/>
      <c r="L141" s="974"/>
      <c r="M141" s="974"/>
      <c r="N141" s="974"/>
      <c r="O141" s="974"/>
      <c r="P141" s="974"/>
      <c r="Q141" s="974"/>
      <c r="R141" s="970"/>
      <c r="S141" s="970"/>
      <c r="T141" s="970"/>
      <c r="U141" s="970"/>
      <c r="V141" s="970"/>
      <c r="W141" s="970"/>
      <c r="X141" s="970"/>
      <c r="Y141" s="970"/>
      <c r="Z141" s="970"/>
      <c r="AA141" s="970"/>
      <c r="AB141" s="970"/>
    </row>
    <row r="142" spans="1:28" ht="15.75" customHeight="1">
      <c r="A142" s="970"/>
      <c r="B142" s="970"/>
      <c r="C142" s="974"/>
      <c r="D142" s="974"/>
      <c r="E142" s="974"/>
      <c r="F142" s="974"/>
      <c r="G142" s="974"/>
      <c r="H142" s="974"/>
      <c r="I142" s="974"/>
      <c r="J142" s="974"/>
      <c r="K142" s="974"/>
      <c r="L142" s="974"/>
      <c r="M142" s="974"/>
      <c r="N142" s="974"/>
      <c r="O142" s="974"/>
      <c r="P142" s="974"/>
      <c r="Q142" s="974"/>
      <c r="R142" s="970"/>
      <c r="S142" s="970"/>
      <c r="T142" s="970"/>
      <c r="U142" s="970"/>
      <c r="V142" s="970"/>
      <c r="W142" s="970"/>
      <c r="X142" s="970"/>
      <c r="Y142" s="970"/>
      <c r="Z142" s="970"/>
      <c r="AA142" s="970"/>
      <c r="AB142" s="970"/>
    </row>
    <row r="143" spans="1:28" ht="15.75" customHeight="1">
      <c r="A143" s="970"/>
      <c r="B143" s="970"/>
      <c r="C143" s="974"/>
      <c r="D143" s="974"/>
      <c r="E143" s="974"/>
      <c r="F143" s="974"/>
      <c r="G143" s="974"/>
      <c r="H143" s="974"/>
      <c r="I143" s="974"/>
      <c r="J143" s="974"/>
      <c r="K143" s="974"/>
      <c r="L143" s="974"/>
      <c r="M143" s="974"/>
      <c r="N143" s="974"/>
      <c r="O143" s="974"/>
      <c r="P143" s="974"/>
      <c r="Q143" s="974"/>
      <c r="R143" s="970"/>
      <c r="S143" s="970"/>
      <c r="T143" s="970"/>
      <c r="U143" s="970"/>
      <c r="V143" s="970"/>
      <c r="W143" s="970"/>
      <c r="X143" s="970"/>
      <c r="Y143" s="970"/>
      <c r="Z143" s="970"/>
      <c r="AA143" s="970"/>
      <c r="AB143" s="970"/>
    </row>
    <row r="144" spans="1:28" ht="15.75" customHeight="1">
      <c r="A144" s="970"/>
      <c r="B144" s="970"/>
      <c r="C144" s="974"/>
      <c r="D144" s="974"/>
      <c r="E144" s="974"/>
      <c r="F144" s="974"/>
      <c r="G144" s="974"/>
      <c r="H144" s="974"/>
      <c r="I144" s="974"/>
      <c r="J144" s="974"/>
      <c r="K144" s="974"/>
      <c r="L144" s="974"/>
      <c r="M144" s="974"/>
      <c r="N144" s="974"/>
      <c r="O144" s="974"/>
      <c r="P144" s="974"/>
      <c r="Q144" s="974"/>
      <c r="R144" s="970"/>
      <c r="S144" s="970"/>
      <c r="T144" s="970"/>
      <c r="U144" s="970"/>
      <c r="V144" s="970"/>
      <c r="W144" s="970"/>
      <c r="X144" s="970"/>
      <c r="Y144" s="970"/>
      <c r="Z144" s="970"/>
      <c r="AA144" s="970"/>
      <c r="AB144" s="970"/>
    </row>
    <row r="145" spans="1:28" ht="15.75" customHeight="1">
      <c r="A145" s="970"/>
      <c r="B145" s="970"/>
      <c r="C145" s="974"/>
      <c r="D145" s="974"/>
      <c r="E145" s="974"/>
      <c r="F145" s="974"/>
      <c r="G145" s="974"/>
      <c r="H145" s="974"/>
      <c r="I145" s="974"/>
      <c r="J145" s="974"/>
      <c r="K145" s="974"/>
      <c r="L145" s="974"/>
      <c r="M145" s="974"/>
      <c r="N145" s="974"/>
      <c r="O145" s="974"/>
      <c r="P145" s="974"/>
      <c r="Q145" s="974"/>
      <c r="R145" s="970"/>
      <c r="S145" s="970"/>
      <c r="T145" s="970"/>
      <c r="U145" s="970"/>
      <c r="V145" s="970"/>
      <c r="W145" s="970"/>
      <c r="X145" s="970"/>
      <c r="Y145" s="970"/>
      <c r="Z145" s="970"/>
      <c r="AA145" s="970"/>
      <c r="AB145" s="970"/>
    </row>
    <row r="146" spans="1:28" ht="15.75" customHeight="1">
      <c r="A146" s="970"/>
      <c r="B146" s="970"/>
      <c r="C146" s="974"/>
      <c r="D146" s="974"/>
      <c r="E146" s="974"/>
      <c r="F146" s="974"/>
      <c r="G146" s="974"/>
      <c r="H146" s="974"/>
      <c r="I146" s="974"/>
      <c r="J146" s="974"/>
      <c r="K146" s="974"/>
      <c r="L146" s="974"/>
      <c r="M146" s="974"/>
      <c r="N146" s="974"/>
      <c r="O146" s="974"/>
      <c r="P146" s="974"/>
      <c r="Q146" s="974"/>
      <c r="R146" s="970"/>
      <c r="S146" s="970"/>
      <c r="T146" s="970"/>
      <c r="U146" s="970"/>
      <c r="V146" s="970"/>
      <c r="W146" s="970"/>
      <c r="X146" s="970"/>
      <c r="Y146" s="970"/>
      <c r="Z146" s="970"/>
      <c r="AA146" s="970"/>
      <c r="AB146" s="970"/>
    </row>
    <row r="147" spans="1:28" ht="15.75" customHeight="1">
      <c r="A147" s="970"/>
      <c r="B147" s="970"/>
      <c r="C147" s="974"/>
      <c r="D147" s="974"/>
      <c r="E147" s="974"/>
      <c r="F147" s="974"/>
      <c r="G147" s="974"/>
      <c r="H147" s="974"/>
      <c r="I147" s="974"/>
      <c r="J147" s="974"/>
      <c r="K147" s="974"/>
      <c r="L147" s="974"/>
      <c r="M147" s="974"/>
      <c r="N147" s="974"/>
      <c r="O147" s="974"/>
      <c r="P147" s="974"/>
      <c r="Q147" s="974"/>
      <c r="R147" s="970"/>
      <c r="S147" s="970"/>
      <c r="T147" s="970"/>
      <c r="U147" s="970"/>
      <c r="V147" s="970"/>
      <c r="W147" s="970"/>
      <c r="X147" s="970"/>
      <c r="Y147" s="970"/>
      <c r="Z147" s="970"/>
      <c r="AA147" s="970"/>
      <c r="AB147" s="970"/>
    </row>
    <row r="148" spans="1:28" ht="15.75" customHeight="1">
      <c r="A148" s="970"/>
      <c r="B148" s="970"/>
      <c r="C148" s="974"/>
      <c r="D148" s="974"/>
      <c r="E148" s="974"/>
      <c r="F148" s="974"/>
      <c r="G148" s="974"/>
      <c r="H148" s="974"/>
      <c r="I148" s="974"/>
      <c r="J148" s="974"/>
      <c r="K148" s="974"/>
      <c r="L148" s="974"/>
      <c r="M148" s="974"/>
      <c r="N148" s="974"/>
      <c r="O148" s="974"/>
      <c r="P148" s="974"/>
      <c r="Q148" s="974"/>
      <c r="R148" s="970"/>
      <c r="S148" s="970"/>
      <c r="T148" s="970"/>
      <c r="U148" s="970"/>
      <c r="V148" s="970"/>
      <c r="W148" s="970"/>
      <c r="X148" s="970"/>
      <c r="Y148" s="970"/>
      <c r="Z148" s="970"/>
      <c r="AA148" s="970"/>
      <c r="AB148" s="970"/>
    </row>
    <row r="149" spans="1:28" ht="15.75" customHeight="1">
      <c r="A149" s="970"/>
      <c r="B149" s="970"/>
      <c r="C149" s="974"/>
      <c r="D149" s="974"/>
      <c r="E149" s="974"/>
      <c r="F149" s="974"/>
      <c r="G149" s="974"/>
      <c r="H149" s="974"/>
      <c r="I149" s="974"/>
      <c r="J149" s="974"/>
      <c r="K149" s="974"/>
      <c r="L149" s="974"/>
      <c r="M149" s="974"/>
      <c r="N149" s="974"/>
      <c r="O149" s="974"/>
      <c r="P149" s="974"/>
      <c r="Q149" s="974"/>
      <c r="R149" s="970"/>
      <c r="S149" s="970"/>
      <c r="T149" s="970"/>
      <c r="U149" s="970"/>
      <c r="V149" s="970"/>
      <c r="W149" s="970"/>
      <c r="X149" s="970"/>
      <c r="Y149" s="970"/>
      <c r="Z149" s="970"/>
      <c r="AA149" s="970"/>
      <c r="AB149" s="970"/>
    </row>
    <row r="150" spans="1:28" ht="15.75" customHeight="1">
      <c r="A150" s="970"/>
      <c r="B150" s="970"/>
      <c r="C150" s="974"/>
      <c r="D150" s="974"/>
      <c r="E150" s="974"/>
      <c r="F150" s="974"/>
      <c r="G150" s="974"/>
      <c r="H150" s="974"/>
      <c r="I150" s="974"/>
      <c r="J150" s="974"/>
      <c r="K150" s="974"/>
      <c r="L150" s="974"/>
      <c r="M150" s="974"/>
      <c r="N150" s="974"/>
      <c r="O150" s="974"/>
      <c r="P150" s="974"/>
      <c r="Q150" s="974"/>
      <c r="R150" s="970"/>
      <c r="S150" s="970"/>
      <c r="T150" s="970"/>
      <c r="U150" s="970"/>
      <c r="V150" s="970"/>
      <c r="W150" s="970"/>
      <c r="X150" s="970"/>
      <c r="Y150" s="970"/>
      <c r="Z150" s="970"/>
      <c r="AA150" s="970"/>
      <c r="AB150" s="970"/>
    </row>
    <row r="151" spans="1:28" ht="15.75" customHeight="1">
      <c r="A151" s="970"/>
      <c r="B151" s="970"/>
      <c r="C151" s="974"/>
      <c r="D151" s="974"/>
      <c r="E151" s="974"/>
      <c r="F151" s="974"/>
      <c r="G151" s="974"/>
      <c r="H151" s="974"/>
      <c r="I151" s="974"/>
      <c r="J151" s="974"/>
      <c r="K151" s="974"/>
      <c r="L151" s="974"/>
      <c r="M151" s="974"/>
      <c r="N151" s="974"/>
      <c r="O151" s="974"/>
      <c r="P151" s="974"/>
      <c r="Q151" s="974"/>
      <c r="R151" s="970"/>
      <c r="S151" s="970"/>
      <c r="T151" s="970"/>
      <c r="U151" s="970"/>
      <c r="V151" s="970"/>
      <c r="W151" s="970"/>
      <c r="X151" s="970"/>
      <c r="Y151" s="970"/>
      <c r="Z151" s="970"/>
      <c r="AA151" s="970"/>
      <c r="AB151" s="970"/>
    </row>
    <row r="152" spans="1:28" ht="15.75" customHeight="1">
      <c r="A152" s="970"/>
      <c r="B152" s="970"/>
      <c r="C152" s="974"/>
      <c r="D152" s="974"/>
      <c r="E152" s="974"/>
      <c r="F152" s="974"/>
      <c r="G152" s="974"/>
      <c r="H152" s="974"/>
      <c r="I152" s="974"/>
      <c r="J152" s="974"/>
      <c r="K152" s="974"/>
      <c r="L152" s="974"/>
      <c r="M152" s="974"/>
      <c r="N152" s="974"/>
      <c r="O152" s="974"/>
      <c r="P152" s="974"/>
      <c r="Q152" s="974"/>
      <c r="R152" s="970"/>
      <c r="S152" s="970"/>
      <c r="T152" s="970"/>
      <c r="U152" s="970"/>
      <c r="V152" s="970"/>
      <c r="W152" s="970"/>
      <c r="X152" s="970"/>
      <c r="Y152" s="970"/>
      <c r="Z152" s="970"/>
      <c r="AA152" s="970"/>
      <c r="AB152" s="970"/>
    </row>
    <row r="153" spans="1:28" ht="15.75" customHeight="1">
      <c r="A153" s="970"/>
      <c r="B153" s="970"/>
      <c r="C153" s="974"/>
      <c r="D153" s="974"/>
      <c r="E153" s="974"/>
      <c r="F153" s="974"/>
      <c r="G153" s="974"/>
      <c r="H153" s="974"/>
      <c r="I153" s="974"/>
      <c r="J153" s="974"/>
      <c r="K153" s="974"/>
      <c r="L153" s="974"/>
      <c r="M153" s="974"/>
      <c r="N153" s="974"/>
      <c r="O153" s="974"/>
      <c r="P153" s="974"/>
      <c r="Q153" s="974"/>
      <c r="R153" s="970"/>
      <c r="S153" s="970"/>
      <c r="T153" s="970"/>
      <c r="U153" s="970"/>
      <c r="V153" s="970"/>
      <c r="W153" s="970"/>
      <c r="X153" s="970"/>
      <c r="Y153" s="970"/>
      <c r="Z153" s="970"/>
      <c r="AA153" s="970"/>
      <c r="AB153" s="970"/>
    </row>
    <row r="154" spans="1:28" ht="15.75" customHeight="1">
      <c r="A154" s="970"/>
      <c r="B154" s="970"/>
      <c r="C154" s="974"/>
      <c r="D154" s="974"/>
      <c r="E154" s="974"/>
      <c r="F154" s="974"/>
      <c r="G154" s="974"/>
      <c r="H154" s="974"/>
      <c r="I154" s="974"/>
      <c r="J154" s="974"/>
      <c r="K154" s="974"/>
      <c r="L154" s="974"/>
      <c r="M154" s="974"/>
      <c r="N154" s="974"/>
      <c r="O154" s="974"/>
      <c r="P154" s="974"/>
      <c r="Q154" s="974"/>
      <c r="R154" s="970"/>
      <c r="S154" s="970"/>
      <c r="T154" s="970"/>
      <c r="U154" s="970"/>
      <c r="V154" s="970"/>
      <c r="W154" s="970"/>
      <c r="X154" s="970"/>
      <c r="Y154" s="970"/>
      <c r="Z154" s="970"/>
      <c r="AA154" s="970"/>
      <c r="AB154" s="970"/>
    </row>
    <row r="155" spans="1:28" ht="15.75" customHeight="1">
      <c r="A155" s="970"/>
      <c r="B155" s="970"/>
      <c r="C155" s="974"/>
      <c r="D155" s="974"/>
      <c r="E155" s="974"/>
      <c r="F155" s="974"/>
      <c r="G155" s="974"/>
      <c r="H155" s="974"/>
      <c r="I155" s="974"/>
      <c r="J155" s="974"/>
      <c r="K155" s="974"/>
      <c r="L155" s="974"/>
      <c r="M155" s="974"/>
      <c r="N155" s="974"/>
      <c r="O155" s="974"/>
      <c r="P155" s="974"/>
      <c r="Q155" s="974"/>
      <c r="R155" s="970"/>
      <c r="S155" s="970"/>
      <c r="T155" s="970"/>
      <c r="U155" s="970"/>
      <c r="V155" s="970"/>
      <c r="W155" s="970"/>
      <c r="X155" s="970"/>
      <c r="Y155" s="970"/>
      <c r="Z155" s="970"/>
      <c r="AA155" s="970"/>
      <c r="AB155" s="970"/>
    </row>
    <row r="156" spans="1:28" ht="15.75" customHeight="1">
      <c r="A156" s="970"/>
      <c r="B156" s="970"/>
      <c r="C156" s="974"/>
      <c r="D156" s="974"/>
      <c r="E156" s="974"/>
      <c r="F156" s="974"/>
      <c r="G156" s="974"/>
      <c r="H156" s="974"/>
      <c r="I156" s="974"/>
      <c r="J156" s="974"/>
      <c r="K156" s="974"/>
      <c r="L156" s="974"/>
      <c r="M156" s="974"/>
      <c r="N156" s="974"/>
      <c r="O156" s="974"/>
      <c r="P156" s="974"/>
      <c r="Q156" s="974"/>
      <c r="R156" s="970"/>
      <c r="S156" s="970"/>
      <c r="T156" s="970"/>
      <c r="U156" s="970"/>
      <c r="V156" s="970"/>
      <c r="W156" s="970"/>
      <c r="X156" s="970"/>
      <c r="Y156" s="970"/>
      <c r="Z156" s="970"/>
      <c r="AA156" s="970"/>
      <c r="AB156" s="970"/>
    </row>
    <row r="157" spans="1:28" ht="15.75" customHeight="1">
      <c r="A157" s="970"/>
      <c r="B157" s="970"/>
      <c r="C157" s="974"/>
      <c r="D157" s="974"/>
      <c r="E157" s="974"/>
      <c r="F157" s="974"/>
      <c r="G157" s="974"/>
      <c r="H157" s="974"/>
      <c r="I157" s="974"/>
      <c r="J157" s="974"/>
      <c r="K157" s="974"/>
      <c r="L157" s="974"/>
      <c r="M157" s="974"/>
      <c r="N157" s="974"/>
      <c r="O157" s="974"/>
      <c r="P157" s="974"/>
      <c r="Q157" s="974"/>
      <c r="R157" s="970"/>
      <c r="S157" s="970"/>
      <c r="T157" s="970"/>
      <c r="U157" s="970"/>
      <c r="V157" s="970"/>
      <c r="W157" s="970"/>
      <c r="X157" s="970"/>
      <c r="Y157" s="970"/>
      <c r="Z157" s="970"/>
      <c r="AA157" s="970"/>
      <c r="AB157" s="970"/>
    </row>
    <row r="158" spans="1:28" ht="15.75" customHeight="1">
      <c r="A158" s="970"/>
      <c r="B158" s="970"/>
      <c r="C158" s="974"/>
      <c r="D158" s="974"/>
      <c r="E158" s="974"/>
      <c r="F158" s="974"/>
      <c r="G158" s="974"/>
      <c r="H158" s="974"/>
      <c r="I158" s="974"/>
      <c r="J158" s="974"/>
      <c r="K158" s="974"/>
      <c r="L158" s="974"/>
      <c r="M158" s="974"/>
      <c r="N158" s="974"/>
      <c r="O158" s="974"/>
      <c r="P158" s="974"/>
      <c r="Q158" s="974"/>
      <c r="R158" s="970"/>
      <c r="S158" s="970"/>
      <c r="T158" s="970"/>
      <c r="U158" s="970"/>
      <c r="V158" s="970"/>
      <c r="W158" s="970"/>
      <c r="X158" s="970"/>
      <c r="Y158" s="970"/>
      <c r="Z158" s="970"/>
      <c r="AA158" s="970"/>
      <c r="AB158" s="970"/>
    </row>
    <row r="159" spans="1:28" ht="15.75" customHeight="1">
      <c r="A159" s="970"/>
      <c r="B159" s="970"/>
      <c r="C159" s="974"/>
      <c r="D159" s="974"/>
      <c r="E159" s="974"/>
      <c r="F159" s="974"/>
      <c r="G159" s="974"/>
      <c r="H159" s="974"/>
      <c r="I159" s="974"/>
      <c r="J159" s="974"/>
      <c r="K159" s="974"/>
      <c r="L159" s="974"/>
      <c r="M159" s="974"/>
      <c r="N159" s="974"/>
      <c r="O159" s="974"/>
      <c r="P159" s="974"/>
      <c r="Q159" s="974"/>
      <c r="R159" s="970"/>
      <c r="S159" s="970"/>
      <c r="T159" s="970"/>
      <c r="U159" s="970"/>
      <c r="V159" s="970"/>
      <c r="W159" s="970"/>
      <c r="X159" s="970"/>
      <c r="Y159" s="970"/>
      <c r="Z159" s="970"/>
      <c r="AA159" s="970"/>
      <c r="AB159" s="970"/>
    </row>
    <row r="160" spans="1:28" ht="15.75" customHeight="1">
      <c r="A160" s="970"/>
      <c r="B160" s="970"/>
      <c r="C160" s="974"/>
      <c r="D160" s="974"/>
      <c r="E160" s="974"/>
      <c r="F160" s="974"/>
      <c r="G160" s="974"/>
      <c r="H160" s="974"/>
      <c r="I160" s="974"/>
      <c r="J160" s="974"/>
      <c r="K160" s="974"/>
      <c r="L160" s="974"/>
      <c r="M160" s="974"/>
      <c r="N160" s="974"/>
      <c r="O160" s="974"/>
      <c r="P160" s="974"/>
      <c r="Q160" s="974"/>
      <c r="R160" s="970"/>
      <c r="S160" s="970"/>
      <c r="T160" s="970"/>
      <c r="U160" s="970"/>
      <c r="V160" s="970"/>
      <c r="W160" s="970"/>
      <c r="X160" s="970"/>
      <c r="Y160" s="970"/>
      <c r="Z160" s="970"/>
      <c r="AA160" s="970"/>
      <c r="AB160" s="970"/>
    </row>
    <row r="161" spans="1:28" ht="15.75" customHeight="1">
      <c r="A161" s="970"/>
      <c r="B161" s="970"/>
      <c r="C161" s="974"/>
      <c r="D161" s="974"/>
      <c r="E161" s="974"/>
      <c r="F161" s="974"/>
      <c r="G161" s="974"/>
      <c r="H161" s="974"/>
      <c r="I161" s="974"/>
      <c r="J161" s="974"/>
      <c r="K161" s="974"/>
      <c r="L161" s="974"/>
      <c r="M161" s="974"/>
      <c r="N161" s="974"/>
      <c r="O161" s="974"/>
      <c r="P161" s="974"/>
      <c r="Q161" s="974"/>
      <c r="R161" s="970"/>
      <c r="S161" s="970"/>
      <c r="T161" s="970"/>
      <c r="U161" s="970"/>
      <c r="V161" s="970"/>
      <c r="W161" s="970"/>
      <c r="X161" s="970"/>
      <c r="Y161" s="970"/>
      <c r="Z161" s="970"/>
      <c r="AA161" s="970"/>
      <c r="AB161" s="970"/>
    </row>
    <row r="162" spans="1:28" ht="15.75" customHeight="1">
      <c r="A162" s="970"/>
      <c r="B162" s="970"/>
      <c r="C162" s="974"/>
      <c r="D162" s="974"/>
      <c r="E162" s="974"/>
      <c r="F162" s="974"/>
      <c r="G162" s="974"/>
      <c r="H162" s="974"/>
      <c r="I162" s="974"/>
      <c r="J162" s="974"/>
      <c r="K162" s="974"/>
      <c r="L162" s="974"/>
      <c r="M162" s="974"/>
      <c r="N162" s="974"/>
      <c r="O162" s="974"/>
      <c r="P162" s="974"/>
      <c r="Q162" s="974"/>
      <c r="R162" s="970"/>
      <c r="S162" s="970"/>
      <c r="T162" s="970"/>
      <c r="U162" s="970"/>
      <c r="V162" s="970"/>
      <c r="W162" s="970"/>
      <c r="X162" s="970"/>
      <c r="Y162" s="970"/>
      <c r="Z162" s="970"/>
      <c r="AA162" s="970"/>
      <c r="AB162" s="970"/>
    </row>
    <row r="163" spans="1:28" ht="15.75" customHeight="1">
      <c r="A163" s="970"/>
      <c r="B163" s="970"/>
      <c r="C163" s="974"/>
      <c r="D163" s="974"/>
      <c r="E163" s="974"/>
      <c r="F163" s="974"/>
      <c r="G163" s="974"/>
      <c r="H163" s="974"/>
      <c r="I163" s="974"/>
      <c r="J163" s="974"/>
      <c r="K163" s="974"/>
      <c r="L163" s="974"/>
      <c r="M163" s="974"/>
      <c r="N163" s="974"/>
      <c r="O163" s="974"/>
      <c r="P163" s="974"/>
      <c r="Q163" s="974"/>
      <c r="R163" s="970"/>
      <c r="S163" s="970"/>
      <c r="T163" s="970"/>
      <c r="U163" s="970"/>
      <c r="V163" s="970"/>
      <c r="W163" s="970"/>
      <c r="X163" s="970"/>
      <c r="Y163" s="970"/>
      <c r="Z163" s="970"/>
      <c r="AA163" s="970"/>
      <c r="AB163" s="970"/>
    </row>
    <row r="164" spans="1:28" ht="15.75" customHeight="1">
      <c r="A164" s="970"/>
      <c r="B164" s="970"/>
      <c r="C164" s="974"/>
      <c r="D164" s="974"/>
      <c r="E164" s="974"/>
      <c r="F164" s="974"/>
      <c r="G164" s="974"/>
      <c r="H164" s="974"/>
      <c r="I164" s="974"/>
      <c r="J164" s="974"/>
      <c r="K164" s="974"/>
      <c r="L164" s="974"/>
      <c r="M164" s="974"/>
      <c r="N164" s="974"/>
      <c r="O164" s="974"/>
      <c r="P164" s="974"/>
      <c r="Q164" s="974"/>
      <c r="R164" s="970"/>
      <c r="S164" s="970"/>
      <c r="T164" s="970"/>
      <c r="U164" s="970"/>
      <c r="V164" s="970"/>
      <c r="W164" s="970"/>
      <c r="X164" s="970"/>
      <c r="Y164" s="970"/>
      <c r="Z164" s="970"/>
      <c r="AA164" s="970"/>
      <c r="AB164" s="970"/>
    </row>
    <row r="165" spans="1:28" ht="15.75" customHeight="1">
      <c r="A165" s="970"/>
      <c r="B165" s="970"/>
      <c r="C165" s="974"/>
      <c r="D165" s="974"/>
      <c r="E165" s="974"/>
      <c r="F165" s="974"/>
      <c r="G165" s="974"/>
      <c r="H165" s="974"/>
      <c r="I165" s="974"/>
      <c r="J165" s="974"/>
      <c r="K165" s="974"/>
      <c r="L165" s="974"/>
      <c r="M165" s="974"/>
      <c r="N165" s="974"/>
      <c r="O165" s="974"/>
      <c r="P165" s="974"/>
      <c r="Q165" s="974"/>
      <c r="R165" s="970"/>
      <c r="S165" s="970"/>
      <c r="T165" s="970"/>
      <c r="U165" s="970"/>
      <c r="V165" s="970"/>
      <c r="W165" s="970"/>
      <c r="X165" s="970"/>
      <c r="Y165" s="970"/>
      <c r="Z165" s="970"/>
      <c r="AA165" s="970"/>
      <c r="AB165" s="970"/>
    </row>
    <row r="166" spans="1:28" ht="15.75" customHeight="1">
      <c r="A166" s="970"/>
      <c r="B166" s="970"/>
      <c r="C166" s="974"/>
      <c r="D166" s="974"/>
      <c r="E166" s="974"/>
      <c r="F166" s="974"/>
      <c r="G166" s="974"/>
      <c r="H166" s="974"/>
      <c r="I166" s="974"/>
      <c r="J166" s="974"/>
      <c r="K166" s="974"/>
      <c r="L166" s="974"/>
      <c r="M166" s="974"/>
      <c r="N166" s="974"/>
      <c r="O166" s="974"/>
      <c r="P166" s="974"/>
      <c r="Q166" s="974"/>
      <c r="R166" s="970"/>
      <c r="S166" s="970"/>
      <c r="T166" s="970"/>
      <c r="U166" s="970"/>
      <c r="V166" s="970"/>
      <c r="W166" s="970"/>
      <c r="X166" s="970"/>
      <c r="Y166" s="970"/>
      <c r="Z166" s="970"/>
      <c r="AA166" s="970"/>
      <c r="AB166" s="970"/>
    </row>
    <row r="167" spans="1:28" ht="15.75" customHeight="1">
      <c r="A167" s="970"/>
      <c r="B167" s="970"/>
      <c r="C167" s="974"/>
      <c r="D167" s="974"/>
      <c r="E167" s="974"/>
      <c r="F167" s="974"/>
      <c r="G167" s="974"/>
      <c r="H167" s="974"/>
      <c r="I167" s="974"/>
      <c r="J167" s="974"/>
      <c r="K167" s="974"/>
      <c r="L167" s="974"/>
      <c r="M167" s="974"/>
      <c r="N167" s="974"/>
      <c r="O167" s="974"/>
      <c r="P167" s="974"/>
      <c r="Q167" s="974"/>
      <c r="R167" s="970"/>
      <c r="S167" s="970"/>
      <c r="T167" s="970"/>
      <c r="U167" s="970"/>
      <c r="V167" s="970"/>
      <c r="W167" s="970"/>
      <c r="X167" s="970"/>
      <c r="Y167" s="970"/>
      <c r="Z167" s="970"/>
      <c r="AA167" s="970"/>
      <c r="AB167" s="970"/>
    </row>
    <row r="168" spans="1:28" ht="15.75" customHeight="1">
      <c r="A168" s="970"/>
      <c r="B168" s="970"/>
      <c r="C168" s="974"/>
      <c r="D168" s="974"/>
      <c r="E168" s="974"/>
      <c r="F168" s="974"/>
      <c r="G168" s="974"/>
      <c r="H168" s="974"/>
      <c r="I168" s="974"/>
      <c r="J168" s="974"/>
      <c r="K168" s="974"/>
      <c r="L168" s="974"/>
      <c r="M168" s="974"/>
      <c r="N168" s="974"/>
      <c r="O168" s="974"/>
      <c r="P168" s="974"/>
      <c r="Q168" s="974"/>
      <c r="R168" s="970"/>
      <c r="S168" s="970"/>
      <c r="T168" s="970"/>
      <c r="U168" s="970"/>
      <c r="V168" s="970"/>
      <c r="W168" s="970"/>
      <c r="X168" s="970"/>
      <c r="Y168" s="970"/>
      <c r="Z168" s="970"/>
      <c r="AA168" s="970"/>
      <c r="AB168" s="970"/>
    </row>
    <row r="169" spans="1:28" ht="15.75" customHeight="1">
      <c r="A169" s="970"/>
      <c r="B169" s="970"/>
      <c r="C169" s="974"/>
      <c r="D169" s="974"/>
      <c r="E169" s="974"/>
      <c r="F169" s="974"/>
      <c r="G169" s="974"/>
      <c r="H169" s="974"/>
      <c r="I169" s="974"/>
      <c r="J169" s="974"/>
      <c r="K169" s="974"/>
      <c r="L169" s="974"/>
      <c r="M169" s="974"/>
      <c r="N169" s="974"/>
      <c r="O169" s="974"/>
      <c r="P169" s="974"/>
      <c r="Q169" s="974"/>
      <c r="R169" s="970"/>
      <c r="S169" s="970"/>
      <c r="T169" s="970"/>
      <c r="U169" s="970"/>
      <c r="V169" s="970"/>
      <c r="W169" s="970"/>
      <c r="X169" s="970"/>
      <c r="Y169" s="970"/>
      <c r="Z169" s="970"/>
      <c r="AA169" s="970"/>
      <c r="AB169" s="970"/>
    </row>
    <row r="170" spans="1:28" ht="15.75" customHeight="1">
      <c r="A170" s="970"/>
      <c r="B170" s="970"/>
      <c r="C170" s="974"/>
      <c r="D170" s="974"/>
      <c r="E170" s="974"/>
      <c r="F170" s="974"/>
      <c r="G170" s="974"/>
      <c r="H170" s="974"/>
      <c r="I170" s="974"/>
      <c r="J170" s="974"/>
      <c r="K170" s="974"/>
      <c r="L170" s="974"/>
      <c r="M170" s="974"/>
      <c r="N170" s="974"/>
      <c r="O170" s="974"/>
      <c r="P170" s="974"/>
      <c r="Q170" s="974"/>
      <c r="R170" s="970"/>
      <c r="S170" s="970"/>
      <c r="T170" s="970"/>
      <c r="U170" s="970"/>
      <c r="V170" s="970"/>
      <c r="W170" s="970"/>
      <c r="X170" s="970"/>
      <c r="Y170" s="970"/>
      <c r="Z170" s="970"/>
      <c r="AA170" s="970"/>
      <c r="AB170" s="970"/>
    </row>
    <row r="171" spans="1:28" ht="15.75" customHeight="1">
      <c r="A171" s="970"/>
      <c r="B171" s="970"/>
      <c r="C171" s="974"/>
      <c r="D171" s="974"/>
      <c r="E171" s="974"/>
      <c r="F171" s="974"/>
      <c r="G171" s="974"/>
      <c r="H171" s="974"/>
      <c r="I171" s="974"/>
      <c r="J171" s="974"/>
      <c r="K171" s="974"/>
      <c r="L171" s="974"/>
      <c r="M171" s="974"/>
      <c r="N171" s="974"/>
      <c r="O171" s="974"/>
      <c r="P171" s="974"/>
      <c r="Q171" s="974"/>
      <c r="R171" s="970"/>
      <c r="S171" s="970"/>
      <c r="T171" s="970"/>
      <c r="U171" s="970"/>
      <c r="V171" s="970"/>
      <c r="W171" s="970"/>
      <c r="X171" s="970"/>
      <c r="Y171" s="970"/>
      <c r="Z171" s="970"/>
      <c r="AA171" s="970"/>
      <c r="AB171" s="970"/>
    </row>
    <row r="172" spans="1:28" ht="15.75" customHeight="1">
      <c r="A172" s="970"/>
      <c r="B172" s="970"/>
      <c r="C172" s="974"/>
      <c r="D172" s="974"/>
      <c r="E172" s="974"/>
      <c r="F172" s="974"/>
      <c r="G172" s="974"/>
      <c r="H172" s="974"/>
      <c r="I172" s="974"/>
      <c r="J172" s="974"/>
      <c r="K172" s="974"/>
      <c r="L172" s="974"/>
      <c r="M172" s="974"/>
      <c r="N172" s="974"/>
      <c r="O172" s="974"/>
      <c r="P172" s="974"/>
      <c r="Q172" s="974"/>
      <c r="R172" s="970"/>
      <c r="S172" s="970"/>
      <c r="T172" s="970"/>
      <c r="U172" s="970"/>
      <c r="V172" s="970"/>
      <c r="W172" s="970"/>
      <c r="X172" s="970"/>
      <c r="Y172" s="970"/>
      <c r="Z172" s="970"/>
      <c r="AA172" s="970"/>
      <c r="AB172" s="970"/>
    </row>
    <row r="173" spans="1:28" ht="15.75" customHeight="1">
      <c r="A173" s="970"/>
      <c r="B173" s="970"/>
      <c r="C173" s="974"/>
      <c r="D173" s="974"/>
      <c r="E173" s="974"/>
      <c r="F173" s="974"/>
      <c r="G173" s="974"/>
      <c r="H173" s="974"/>
      <c r="I173" s="974"/>
      <c r="J173" s="974"/>
      <c r="K173" s="974"/>
      <c r="L173" s="974"/>
      <c r="M173" s="974"/>
      <c r="N173" s="974"/>
      <c r="O173" s="974"/>
      <c r="P173" s="974"/>
      <c r="Q173" s="974"/>
      <c r="R173" s="970"/>
      <c r="S173" s="970"/>
      <c r="T173" s="970"/>
      <c r="U173" s="970"/>
      <c r="V173" s="970"/>
      <c r="W173" s="970"/>
      <c r="X173" s="970"/>
      <c r="Y173" s="970"/>
      <c r="Z173" s="970"/>
      <c r="AA173" s="970"/>
      <c r="AB173" s="970"/>
    </row>
    <row r="174" spans="1:28" ht="15.75" customHeight="1">
      <c r="A174" s="970"/>
      <c r="B174" s="970"/>
      <c r="C174" s="974"/>
      <c r="D174" s="974"/>
      <c r="E174" s="974"/>
      <c r="F174" s="974"/>
      <c r="G174" s="974"/>
      <c r="H174" s="974"/>
      <c r="I174" s="974"/>
      <c r="J174" s="974"/>
      <c r="K174" s="974"/>
      <c r="L174" s="974"/>
      <c r="M174" s="974"/>
      <c r="N174" s="974"/>
      <c r="O174" s="974"/>
      <c r="P174" s="974"/>
      <c r="Q174" s="974"/>
      <c r="R174" s="970"/>
      <c r="S174" s="970"/>
      <c r="T174" s="970"/>
      <c r="U174" s="970"/>
      <c r="V174" s="970"/>
      <c r="W174" s="970"/>
      <c r="X174" s="970"/>
      <c r="Y174" s="970"/>
      <c r="Z174" s="970"/>
      <c r="AA174" s="970"/>
      <c r="AB174" s="970"/>
    </row>
    <row r="175" spans="1:28" ht="15.75" customHeight="1">
      <c r="A175" s="970"/>
      <c r="B175" s="970"/>
      <c r="C175" s="974"/>
      <c r="D175" s="974"/>
      <c r="E175" s="974"/>
      <c r="F175" s="974"/>
      <c r="G175" s="974"/>
      <c r="H175" s="974"/>
      <c r="I175" s="974"/>
      <c r="J175" s="974"/>
      <c r="K175" s="974"/>
      <c r="L175" s="974"/>
      <c r="M175" s="974"/>
      <c r="N175" s="974"/>
      <c r="O175" s="974"/>
      <c r="P175" s="974"/>
      <c r="Q175" s="974"/>
      <c r="R175" s="970"/>
      <c r="S175" s="970"/>
      <c r="T175" s="970"/>
      <c r="U175" s="970"/>
      <c r="V175" s="970"/>
      <c r="W175" s="970"/>
      <c r="X175" s="970"/>
      <c r="Y175" s="970"/>
      <c r="Z175" s="970"/>
      <c r="AA175" s="970"/>
      <c r="AB175" s="970"/>
    </row>
    <row r="176" spans="1:28" ht="15.75" customHeight="1">
      <c r="A176" s="970"/>
      <c r="B176" s="970"/>
      <c r="C176" s="974"/>
      <c r="D176" s="974"/>
      <c r="E176" s="974"/>
      <c r="F176" s="974"/>
      <c r="G176" s="974"/>
      <c r="H176" s="974"/>
      <c r="I176" s="974"/>
      <c r="J176" s="974"/>
      <c r="K176" s="974"/>
      <c r="L176" s="974"/>
      <c r="M176" s="974"/>
      <c r="N176" s="974"/>
      <c r="O176" s="974"/>
      <c r="P176" s="974"/>
      <c r="Q176" s="974"/>
      <c r="R176" s="970"/>
      <c r="S176" s="970"/>
      <c r="T176" s="970"/>
      <c r="U176" s="970"/>
      <c r="V176" s="970"/>
      <c r="W176" s="970"/>
      <c r="X176" s="970"/>
      <c r="Y176" s="970"/>
      <c r="Z176" s="970"/>
      <c r="AA176" s="970"/>
      <c r="AB176" s="970"/>
    </row>
    <row r="177" spans="1:28" ht="15.75" customHeight="1">
      <c r="A177" s="970"/>
      <c r="B177" s="970"/>
      <c r="C177" s="974"/>
      <c r="D177" s="974"/>
      <c r="E177" s="974"/>
      <c r="F177" s="974"/>
      <c r="G177" s="974"/>
      <c r="H177" s="974"/>
      <c r="I177" s="974"/>
      <c r="J177" s="974"/>
      <c r="K177" s="974"/>
      <c r="L177" s="974"/>
      <c r="M177" s="974"/>
      <c r="N177" s="974"/>
      <c r="O177" s="974"/>
      <c r="P177" s="974"/>
      <c r="Q177" s="974"/>
      <c r="R177" s="970"/>
      <c r="S177" s="970"/>
      <c r="T177" s="970"/>
      <c r="U177" s="970"/>
      <c r="V177" s="970"/>
      <c r="W177" s="970"/>
      <c r="X177" s="970"/>
      <c r="Y177" s="970"/>
      <c r="Z177" s="970"/>
      <c r="AA177" s="970"/>
      <c r="AB177" s="970"/>
    </row>
    <row r="178" spans="1:28" ht="15.75" customHeight="1">
      <c r="A178" s="970"/>
      <c r="B178" s="970"/>
      <c r="C178" s="974"/>
      <c r="D178" s="974"/>
      <c r="E178" s="974"/>
      <c r="F178" s="974"/>
      <c r="G178" s="974"/>
      <c r="H178" s="974"/>
      <c r="I178" s="974"/>
      <c r="J178" s="974"/>
      <c r="K178" s="974"/>
      <c r="L178" s="974"/>
      <c r="M178" s="974"/>
      <c r="N178" s="974"/>
      <c r="O178" s="974"/>
      <c r="P178" s="974"/>
      <c r="Q178" s="974"/>
      <c r="R178" s="970"/>
      <c r="S178" s="970"/>
      <c r="T178" s="970"/>
      <c r="U178" s="970"/>
      <c r="V178" s="970"/>
      <c r="W178" s="970"/>
      <c r="X178" s="970"/>
      <c r="Y178" s="970"/>
      <c r="Z178" s="970"/>
      <c r="AA178" s="970"/>
      <c r="AB178" s="970"/>
    </row>
    <row r="179" spans="1:28" ht="15.75" customHeight="1">
      <c r="A179" s="970"/>
      <c r="B179" s="970"/>
      <c r="C179" s="974"/>
      <c r="D179" s="974"/>
      <c r="E179" s="974"/>
      <c r="F179" s="974"/>
      <c r="G179" s="974"/>
      <c r="H179" s="974"/>
      <c r="I179" s="974"/>
      <c r="J179" s="974"/>
      <c r="K179" s="974"/>
      <c r="L179" s="974"/>
      <c r="M179" s="974"/>
      <c r="N179" s="974"/>
      <c r="O179" s="974"/>
      <c r="P179" s="974"/>
      <c r="Q179" s="974"/>
      <c r="R179" s="970"/>
      <c r="S179" s="970"/>
      <c r="T179" s="970"/>
      <c r="U179" s="970"/>
      <c r="V179" s="970"/>
      <c r="W179" s="970"/>
      <c r="X179" s="970"/>
      <c r="Y179" s="970"/>
      <c r="Z179" s="970"/>
      <c r="AA179" s="970"/>
      <c r="AB179" s="970"/>
    </row>
    <row r="180" spans="1:28" ht="15.75" customHeight="1">
      <c r="A180" s="970"/>
      <c r="B180" s="970"/>
      <c r="C180" s="974"/>
      <c r="D180" s="974"/>
      <c r="E180" s="974"/>
      <c r="F180" s="974"/>
      <c r="G180" s="974"/>
      <c r="H180" s="974"/>
      <c r="I180" s="974"/>
      <c r="J180" s="974"/>
      <c r="K180" s="974"/>
      <c r="L180" s="974"/>
      <c r="M180" s="974"/>
      <c r="N180" s="974"/>
      <c r="O180" s="974"/>
      <c r="P180" s="974"/>
      <c r="Q180" s="974"/>
      <c r="R180" s="970"/>
      <c r="S180" s="970"/>
      <c r="T180" s="970"/>
      <c r="U180" s="970"/>
      <c r="V180" s="970"/>
      <c r="W180" s="970"/>
      <c r="X180" s="970"/>
      <c r="Y180" s="970"/>
      <c r="Z180" s="970"/>
      <c r="AA180" s="970"/>
      <c r="AB180" s="970"/>
    </row>
    <row r="181" spans="1:28" ht="15.75" customHeight="1">
      <c r="A181" s="970"/>
      <c r="B181" s="970"/>
      <c r="C181" s="974"/>
      <c r="D181" s="974"/>
      <c r="E181" s="974"/>
      <c r="F181" s="974"/>
      <c r="G181" s="974"/>
      <c r="H181" s="974"/>
      <c r="I181" s="974"/>
      <c r="J181" s="974"/>
      <c r="K181" s="974"/>
      <c r="L181" s="974"/>
      <c r="M181" s="974"/>
      <c r="N181" s="974"/>
      <c r="O181" s="974"/>
      <c r="P181" s="974"/>
      <c r="Q181" s="974"/>
      <c r="R181" s="970"/>
      <c r="S181" s="970"/>
      <c r="T181" s="970"/>
      <c r="U181" s="970"/>
      <c r="V181" s="970"/>
      <c r="W181" s="970"/>
      <c r="X181" s="970"/>
      <c r="Y181" s="970"/>
      <c r="Z181" s="970"/>
      <c r="AA181" s="970"/>
      <c r="AB181" s="970"/>
    </row>
    <row r="182" spans="1:28" ht="15.75" customHeight="1">
      <c r="A182" s="970"/>
      <c r="B182" s="970"/>
      <c r="C182" s="974"/>
      <c r="D182" s="974"/>
      <c r="E182" s="974"/>
      <c r="F182" s="974"/>
      <c r="G182" s="974"/>
      <c r="H182" s="974"/>
      <c r="I182" s="974"/>
      <c r="J182" s="974"/>
      <c r="K182" s="974"/>
      <c r="L182" s="974"/>
      <c r="M182" s="974"/>
      <c r="N182" s="974"/>
      <c r="O182" s="974"/>
      <c r="P182" s="974"/>
      <c r="Q182" s="974"/>
      <c r="R182" s="970"/>
      <c r="S182" s="970"/>
      <c r="T182" s="970"/>
      <c r="U182" s="970"/>
      <c r="V182" s="970"/>
      <c r="W182" s="970"/>
      <c r="X182" s="970"/>
      <c r="Y182" s="970"/>
      <c r="Z182" s="970"/>
      <c r="AA182" s="970"/>
      <c r="AB182" s="970"/>
    </row>
    <row r="183" spans="1:28" ht="15.75" customHeight="1">
      <c r="A183" s="970"/>
      <c r="B183" s="970"/>
      <c r="C183" s="974"/>
      <c r="D183" s="974"/>
      <c r="E183" s="974"/>
      <c r="F183" s="974"/>
      <c r="G183" s="974"/>
      <c r="H183" s="974"/>
      <c r="I183" s="974"/>
      <c r="J183" s="974"/>
      <c r="K183" s="974"/>
      <c r="L183" s="974"/>
      <c r="M183" s="974"/>
      <c r="N183" s="974"/>
      <c r="O183" s="974"/>
      <c r="P183" s="974"/>
      <c r="Q183" s="974"/>
      <c r="R183" s="970"/>
      <c r="S183" s="970"/>
      <c r="T183" s="970"/>
      <c r="U183" s="970"/>
      <c r="V183" s="970"/>
      <c r="W183" s="970"/>
      <c r="X183" s="970"/>
      <c r="Y183" s="970"/>
      <c r="Z183" s="970"/>
      <c r="AA183" s="970"/>
      <c r="AB183" s="970"/>
    </row>
    <row r="184" spans="1:28" ht="15.75" customHeight="1">
      <c r="A184" s="970"/>
      <c r="B184" s="970"/>
      <c r="C184" s="974"/>
      <c r="D184" s="974"/>
      <c r="E184" s="974"/>
      <c r="F184" s="974"/>
      <c r="G184" s="974"/>
      <c r="H184" s="974"/>
      <c r="I184" s="974"/>
      <c r="J184" s="974"/>
      <c r="K184" s="974"/>
      <c r="L184" s="974"/>
      <c r="M184" s="974"/>
      <c r="N184" s="974"/>
      <c r="O184" s="974"/>
      <c r="P184" s="974"/>
      <c r="Q184" s="974"/>
      <c r="R184" s="970"/>
      <c r="S184" s="970"/>
      <c r="T184" s="970"/>
      <c r="U184" s="970"/>
      <c r="V184" s="970"/>
      <c r="W184" s="970"/>
      <c r="X184" s="970"/>
      <c r="Y184" s="970"/>
      <c r="Z184" s="970"/>
      <c r="AA184" s="970"/>
      <c r="AB184" s="970"/>
    </row>
    <row r="185" spans="1:28" ht="15.75" customHeight="1">
      <c r="A185" s="970"/>
      <c r="B185" s="970"/>
      <c r="C185" s="974"/>
      <c r="D185" s="974"/>
      <c r="E185" s="974"/>
      <c r="F185" s="974"/>
      <c r="G185" s="974"/>
      <c r="H185" s="974"/>
      <c r="I185" s="974"/>
      <c r="J185" s="974"/>
      <c r="K185" s="974"/>
      <c r="L185" s="974"/>
      <c r="M185" s="974"/>
      <c r="N185" s="974"/>
      <c r="O185" s="974"/>
      <c r="P185" s="974"/>
      <c r="Q185" s="974"/>
      <c r="R185" s="970"/>
      <c r="S185" s="970"/>
      <c r="T185" s="970"/>
      <c r="U185" s="970"/>
      <c r="V185" s="970"/>
      <c r="W185" s="970"/>
      <c r="X185" s="970"/>
      <c r="Y185" s="970"/>
      <c r="Z185" s="970"/>
      <c r="AA185" s="970"/>
      <c r="AB185" s="970"/>
    </row>
    <row r="186" spans="1:28" ht="15.75" customHeight="1">
      <c r="A186" s="970"/>
      <c r="B186" s="970"/>
      <c r="C186" s="974"/>
      <c r="D186" s="974"/>
      <c r="E186" s="974"/>
      <c r="F186" s="974"/>
      <c r="G186" s="974"/>
      <c r="H186" s="974"/>
      <c r="I186" s="974"/>
      <c r="J186" s="974"/>
      <c r="K186" s="974"/>
      <c r="L186" s="974"/>
      <c r="M186" s="974"/>
      <c r="N186" s="974"/>
      <c r="O186" s="974"/>
      <c r="P186" s="974"/>
      <c r="Q186" s="974"/>
      <c r="R186" s="970"/>
      <c r="S186" s="970"/>
      <c r="T186" s="970"/>
      <c r="U186" s="970"/>
      <c r="V186" s="970"/>
      <c r="W186" s="970"/>
      <c r="X186" s="970"/>
      <c r="Y186" s="970"/>
      <c r="Z186" s="970"/>
      <c r="AA186" s="970"/>
      <c r="AB186" s="970"/>
    </row>
    <row r="187" spans="1:28" ht="15.75" customHeight="1">
      <c r="A187" s="970"/>
      <c r="B187" s="970"/>
      <c r="C187" s="974"/>
      <c r="D187" s="974"/>
      <c r="E187" s="974"/>
      <c r="F187" s="974"/>
      <c r="G187" s="974"/>
      <c r="H187" s="974"/>
      <c r="I187" s="974"/>
      <c r="J187" s="974"/>
      <c r="K187" s="974"/>
      <c r="L187" s="974"/>
      <c r="M187" s="974"/>
      <c r="N187" s="974"/>
      <c r="O187" s="974"/>
      <c r="P187" s="974"/>
      <c r="Q187" s="974"/>
      <c r="R187" s="970"/>
      <c r="S187" s="970"/>
      <c r="T187" s="970"/>
      <c r="U187" s="970"/>
      <c r="V187" s="970"/>
      <c r="W187" s="970"/>
      <c r="X187" s="970"/>
      <c r="Y187" s="970"/>
      <c r="Z187" s="970"/>
      <c r="AA187" s="970"/>
      <c r="AB187" s="970"/>
    </row>
    <row r="188" spans="1:28" ht="15.75" customHeight="1">
      <c r="A188" s="970"/>
      <c r="B188" s="970"/>
      <c r="C188" s="974"/>
      <c r="D188" s="974"/>
      <c r="E188" s="974"/>
      <c r="F188" s="974"/>
      <c r="G188" s="974"/>
      <c r="H188" s="974"/>
      <c r="I188" s="974"/>
      <c r="J188" s="974"/>
      <c r="K188" s="974"/>
      <c r="L188" s="974"/>
      <c r="M188" s="974"/>
      <c r="N188" s="974"/>
      <c r="O188" s="974"/>
      <c r="P188" s="974"/>
      <c r="Q188" s="974"/>
      <c r="R188" s="970"/>
      <c r="S188" s="970"/>
      <c r="T188" s="970"/>
      <c r="U188" s="970"/>
      <c r="V188" s="970"/>
      <c r="W188" s="970"/>
      <c r="X188" s="970"/>
      <c r="Y188" s="970"/>
      <c r="Z188" s="970"/>
      <c r="AA188" s="970"/>
      <c r="AB188" s="970"/>
    </row>
    <row r="189" spans="1:28" ht="15.75" customHeight="1">
      <c r="A189" s="970"/>
      <c r="B189" s="970"/>
      <c r="C189" s="974"/>
      <c r="D189" s="974"/>
      <c r="E189" s="974"/>
      <c r="F189" s="974"/>
      <c r="G189" s="974"/>
      <c r="H189" s="974"/>
      <c r="I189" s="974"/>
      <c r="J189" s="974"/>
      <c r="K189" s="974"/>
      <c r="L189" s="974"/>
      <c r="M189" s="974"/>
      <c r="N189" s="974"/>
      <c r="O189" s="974"/>
      <c r="P189" s="974"/>
      <c r="Q189" s="974"/>
      <c r="R189" s="970"/>
      <c r="S189" s="970"/>
      <c r="T189" s="970"/>
      <c r="U189" s="970"/>
      <c r="V189" s="970"/>
      <c r="W189" s="970"/>
      <c r="X189" s="970"/>
      <c r="Y189" s="970"/>
      <c r="Z189" s="970"/>
      <c r="AA189" s="970"/>
      <c r="AB189" s="970"/>
    </row>
    <row r="190" spans="1:28" ht="15.75" customHeight="1">
      <c r="A190" s="970"/>
      <c r="B190" s="970"/>
      <c r="C190" s="974"/>
      <c r="D190" s="974"/>
      <c r="E190" s="974"/>
      <c r="F190" s="974"/>
      <c r="G190" s="974"/>
      <c r="H190" s="974"/>
      <c r="I190" s="974"/>
      <c r="J190" s="974"/>
      <c r="K190" s="974"/>
      <c r="L190" s="974"/>
      <c r="M190" s="974"/>
      <c r="N190" s="974"/>
      <c r="O190" s="974"/>
      <c r="P190" s="974"/>
      <c r="Q190" s="974"/>
      <c r="R190" s="970"/>
      <c r="S190" s="970"/>
      <c r="T190" s="970"/>
      <c r="U190" s="970"/>
      <c r="V190" s="970"/>
      <c r="W190" s="970"/>
      <c r="X190" s="970"/>
      <c r="Y190" s="970"/>
      <c r="Z190" s="970"/>
      <c r="AA190" s="970"/>
      <c r="AB190" s="970"/>
    </row>
    <row r="191" spans="1:28" ht="15.75" customHeight="1">
      <c r="A191" s="970"/>
      <c r="B191" s="970"/>
      <c r="C191" s="974"/>
      <c r="D191" s="974"/>
      <c r="E191" s="974"/>
      <c r="F191" s="974"/>
      <c r="G191" s="974"/>
      <c r="H191" s="974"/>
      <c r="I191" s="974"/>
      <c r="J191" s="974"/>
      <c r="K191" s="974"/>
      <c r="L191" s="974"/>
      <c r="M191" s="974"/>
      <c r="N191" s="974"/>
      <c r="O191" s="974"/>
      <c r="P191" s="974"/>
      <c r="Q191" s="974"/>
      <c r="R191" s="970"/>
      <c r="S191" s="970"/>
      <c r="T191" s="970"/>
      <c r="U191" s="970"/>
      <c r="V191" s="970"/>
      <c r="W191" s="970"/>
      <c r="X191" s="970"/>
      <c r="Y191" s="970"/>
      <c r="Z191" s="970"/>
      <c r="AA191" s="970"/>
      <c r="AB191" s="970"/>
    </row>
    <row r="192" spans="1:28" ht="15.75" customHeight="1">
      <c r="A192" s="970"/>
      <c r="B192" s="970"/>
      <c r="C192" s="974"/>
      <c r="D192" s="974"/>
      <c r="E192" s="974"/>
      <c r="F192" s="974"/>
      <c r="G192" s="974"/>
      <c r="H192" s="974"/>
      <c r="I192" s="974"/>
      <c r="J192" s="974"/>
      <c r="K192" s="974"/>
      <c r="L192" s="974"/>
      <c r="M192" s="974"/>
      <c r="N192" s="974"/>
      <c r="O192" s="974"/>
      <c r="P192" s="974"/>
      <c r="Q192" s="974"/>
      <c r="R192" s="970"/>
      <c r="S192" s="970"/>
      <c r="T192" s="970"/>
      <c r="U192" s="970"/>
      <c r="V192" s="970"/>
      <c r="W192" s="970"/>
      <c r="X192" s="970"/>
      <c r="Y192" s="970"/>
      <c r="Z192" s="970"/>
      <c r="AA192" s="970"/>
      <c r="AB192" s="970"/>
    </row>
    <row r="193" spans="1:28" ht="15.75" customHeight="1">
      <c r="A193" s="970"/>
      <c r="B193" s="970"/>
      <c r="C193" s="974"/>
      <c r="D193" s="974"/>
      <c r="E193" s="974"/>
      <c r="F193" s="974"/>
      <c r="G193" s="974"/>
      <c r="H193" s="974"/>
      <c r="I193" s="974"/>
      <c r="J193" s="974"/>
      <c r="K193" s="974"/>
      <c r="L193" s="974"/>
      <c r="M193" s="974"/>
      <c r="N193" s="974"/>
      <c r="O193" s="974"/>
      <c r="P193" s="974"/>
      <c r="Q193" s="974"/>
      <c r="R193" s="970"/>
      <c r="S193" s="970"/>
      <c r="T193" s="970"/>
      <c r="U193" s="970"/>
      <c r="V193" s="970"/>
      <c r="W193" s="970"/>
      <c r="X193" s="970"/>
      <c r="Y193" s="970"/>
      <c r="Z193" s="970"/>
      <c r="AA193" s="970"/>
      <c r="AB193" s="970"/>
    </row>
    <row r="194" spans="1:28" ht="15.75" customHeight="1">
      <c r="A194" s="970"/>
      <c r="B194" s="970"/>
      <c r="C194" s="974"/>
      <c r="D194" s="974"/>
      <c r="E194" s="974"/>
      <c r="F194" s="974"/>
      <c r="G194" s="974"/>
      <c r="H194" s="974"/>
      <c r="I194" s="974"/>
      <c r="J194" s="974"/>
      <c r="K194" s="974"/>
      <c r="L194" s="974"/>
      <c r="M194" s="974"/>
      <c r="N194" s="974"/>
      <c r="O194" s="974"/>
      <c r="P194" s="974"/>
      <c r="Q194" s="974"/>
      <c r="R194" s="970"/>
      <c r="S194" s="970"/>
      <c r="T194" s="970"/>
      <c r="U194" s="970"/>
      <c r="V194" s="970"/>
      <c r="W194" s="970"/>
      <c r="X194" s="970"/>
      <c r="Y194" s="970"/>
      <c r="Z194" s="970"/>
      <c r="AA194" s="970"/>
      <c r="AB194" s="970"/>
    </row>
    <row r="195" spans="1:28" ht="15.75" customHeight="1">
      <c r="A195" s="970"/>
      <c r="B195" s="970"/>
      <c r="C195" s="974"/>
      <c r="D195" s="974"/>
      <c r="E195" s="974"/>
      <c r="F195" s="974"/>
      <c r="G195" s="974"/>
      <c r="H195" s="974"/>
      <c r="I195" s="974"/>
      <c r="J195" s="974"/>
      <c r="K195" s="974"/>
      <c r="L195" s="974"/>
      <c r="M195" s="974"/>
      <c r="N195" s="974"/>
      <c r="O195" s="974"/>
      <c r="P195" s="974"/>
      <c r="Q195" s="974"/>
      <c r="R195" s="970"/>
      <c r="S195" s="970"/>
      <c r="T195" s="970"/>
      <c r="U195" s="970"/>
      <c r="V195" s="970"/>
      <c r="W195" s="970"/>
      <c r="X195" s="970"/>
      <c r="Y195" s="970"/>
      <c r="Z195" s="970"/>
      <c r="AA195" s="970"/>
      <c r="AB195" s="970"/>
    </row>
    <row r="196" spans="1:28" ht="15.75" customHeight="1">
      <c r="A196" s="970"/>
      <c r="B196" s="970"/>
      <c r="C196" s="974"/>
      <c r="D196" s="974"/>
      <c r="E196" s="974"/>
      <c r="F196" s="974"/>
      <c r="G196" s="974"/>
      <c r="H196" s="974"/>
      <c r="I196" s="974"/>
      <c r="J196" s="974"/>
      <c r="K196" s="974"/>
      <c r="L196" s="974"/>
      <c r="M196" s="974"/>
      <c r="N196" s="974"/>
      <c r="O196" s="974"/>
      <c r="P196" s="974"/>
      <c r="Q196" s="974"/>
      <c r="R196" s="970"/>
      <c r="S196" s="970"/>
      <c r="T196" s="970"/>
      <c r="U196" s="970"/>
      <c r="V196" s="970"/>
      <c r="W196" s="970"/>
      <c r="X196" s="970"/>
      <c r="Y196" s="970"/>
      <c r="Z196" s="970"/>
      <c r="AA196" s="970"/>
      <c r="AB196" s="970"/>
    </row>
    <row r="197" spans="1:28" ht="15.75" customHeight="1">
      <c r="A197" s="970"/>
      <c r="B197" s="970"/>
      <c r="C197" s="974"/>
      <c r="D197" s="974"/>
      <c r="E197" s="974"/>
      <c r="F197" s="974"/>
      <c r="G197" s="974"/>
      <c r="H197" s="974"/>
      <c r="I197" s="974"/>
      <c r="J197" s="974"/>
      <c r="K197" s="974"/>
      <c r="L197" s="974"/>
      <c r="M197" s="974"/>
      <c r="N197" s="974"/>
      <c r="O197" s="974"/>
      <c r="P197" s="974"/>
      <c r="Q197" s="974"/>
      <c r="R197" s="970"/>
      <c r="S197" s="970"/>
      <c r="T197" s="970"/>
      <c r="U197" s="970"/>
      <c r="V197" s="970"/>
      <c r="W197" s="970"/>
      <c r="X197" s="970"/>
      <c r="Y197" s="970"/>
      <c r="Z197" s="970"/>
      <c r="AA197" s="970"/>
      <c r="AB197" s="970"/>
    </row>
    <row r="198" spans="1:28" ht="15.75" customHeight="1">
      <c r="A198" s="970"/>
      <c r="B198" s="970"/>
      <c r="C198" s="974"/>
      <c r="D198" s="974"/>
      <c r="E198" s="974"/>
      <c r="F198" s="974"/>
      <c r="G198" s="974"/>
      <c r="H198" s="974"/>
      <c r="I198" s="974"/>
      <c r="J198" s="974"/>
      <c r="K198" s="974"/>
      <c r="L198" s="974"/>
      <c r="M198" s="974"/>
      <c r="N198" s="974"/>
      <c r="O198" s="974"/>
      <c r="P198" s="974"/>
      <c r="Q198" s="974"/>
      <c r="R198" s="970"/>
      <c r="S198" s="970"/>
      <c r="T198" s="970"/>
      <c r="U198" s="970"/>
      <c r="V198" s="970"/>
      <c r="W198" s="970"/>
      <c r="X198" s="970"/>
      <c r="Y198" s="970"/>
      <c r="Z198" s="970"/>
      <c r="AA198" s="970"/>
      <c r="AB198" s="970"/>
    </row>
    <row r="199" spans="1:28" ht="15.75" customHeight="1">
      <c r="A199" s="970"/>
      <c r="B199" s="970"/>
      <c r="C199" s="974"/>
      <c r="D199" s="974"/>
      <c r="E199" s="974"/>
      <c r="F199" s="974"/>
      <c r="G199" s="974"/>
      <c r="H199" s="974"/>
      <c r="I199" s="974"/>
      <c r="J199" s="974"/>
      <c r="K199" s="974"/>
      <c r="L199" s="974"/>
      <c r="M199" s="974"/>
      <c r="N199" s="974"/>
      <c r="O199" s="974"/>
      <c r="P199" s="974"/>
      <c r="Q199" s="974"/>
      <c r="R199" s="970"/>
      <c r="S199" s="970"/>
      <c r="T199" s="970"/>
      <c r="U199" s="970"/>
      <c r="V199" s="970"/>
      <c r="W199" s="970"/>
      <c r="X199" s="970"/>
      <c r="Y199" s="970"/>
      <c r="Z199" s="970"/>
      <c r="AA199" s="970"/>
      <c r="AB199" s="970"/>
    </row>
    <row r="200" spans="1:28" ht="15.75" customHeight="1">
      <c r="A200" s="970"/>
      <c r="B200" s="970"/>
      <c r="C200" s="974"/>
      <c r="D200" s="974"/>
      <c r="E200" s="974"/>
      <c r="F200" s="974"/>
      <c r="G200" s="974"/>
      <c r="H200" s="974"/>
      <c r="I200" s="974"/>
      <c r="J200" s="974"/>
      <c r="K200" s="974"/>
      <c r="L200" s="974"/>
      <c r="M200" s="974"/>
      <c r="N200" s="974"/>
      <c r="O200" s="974"/>
      <c r="P200" s="974"/>
      <c r="Q200" s="974"/>
      <c r="R200" s="970"/>
      <c r="S200" s="970"/>
      <c r="T200" s="970"/>
      <c r="U200" s="970"/>
      <c r="V200" s="970"/>
      <c r="W200" s="970"/>
      <c r="X200" s="970"/>
      <c r="Y200" s="970"/>
      <c r="Z200" s="970"/>
      <c r="AA200" s="970"/>
      <c r="AB200" s="970"/>
    </row>
    <row r="201" spans="1:28" ht="15.75" customHeight="1">
      <c r="A201" s="970"/>
      <c r="B201" s="970"/>
      <c r="C201" s="974"/>
      <c r="D201" s="974"/>
      <c r="E201" s="974"/>
      <c r="F201" s="974"/>
      <c r="G201" s="974"/>
      <c r="H201" s="974"/>
      <c r="I201" s="974"/>
      <c r="J201" s="974"/>
      <c r="K201" s="974"/>
      <c r="L201" s="974"/>
      <c r="M201" s="974"/>
      <c r="N201" s="974"/>
      <c r="O201" s="974"/>
      <c r="P201" s="974"/>
      <c r="Q201" s="974"/>
      <c r="R201" s="970"/>
      <c r="S201" s="970"/>
      <c r="T201" s="970"/>
      <c r="U201" s="970"/>
      <c r="V201" s="970"/>
      <c r="W201" s="970"/>
      <c r="X201" s="970"/>
      <c r="Y201" s="970"/>
      <c r="Z201" s="970"/>
      <c r="AA201" s="970"/>
      <c r="AB201" s="970"/>
    </row>
    <row r="202" spans="1:28" ht="15.75" customHeight="1">
      <c r="A202" s="970"/>
      <c r="B202" s="970"/>
      <c r="C202" s="974"/>
      <c r="D202" s="974"/>
      <c r="E202" s="974"/>
      <c r="F202" s="974"/>
      <c r="G202" s="974"/>
      <c r="H202" s="974"/>
      <c r="I202" s="974"/>
      <c r="J202" s="974"/>
      <c r="K202" s="974"/>
      <c r="L202" s="974"/>
      <c r="M202" s="974"/>
      <c r="N202" s="974"/>
      <c r="O202" s="974"/>
      <c r="P202" s="974"/>
      <c r="Q202" s="974"/>
      <c r="R202" s="970"/>
      <c r="S202" s="970"/>
      <c r="T202" s="970"/>
      <c r="U202" s="970"/>
      <c r="V202" s="970"/>
      <c r="W202" s="970"/>
      <c r="X202" s="970"/>
      <c r="Y202" s="970"/>
      <c r="Z202" s="970"/>
      <c r="AA202" s="970"/>
      <c r="AB202" s="970"/>
    </row>
    <row r="203" spans="1:28" ht="15.75" customHeight="1">
      <c r="A203" s="970"/>
      <c r="B203" s="970"/>
      <c r="C203" s="974"/>
      <c r="D203" s="974"/>
      <c r="E203" s="974"/>
      <c r="F203" s="974"/>
      <c r="G203" s="974"/>
      <c r="H203" s="974"/>
      <c r="I203" s="974"/>
      <c r="J203" s="974"/>
      <c r="K203" s="974"/>
      <c r="L203" s="974"/>
      <c r="M203" s="974"/>
      <c r="N203" s="974"/>
      <c r="O203" s="974"/>
      <c r="P203" s="974"/>
      <c r="Q203" s="974"/>
      <c r="R203" s="970"/>
      <c r="S203" s="970"/>
      <c r="T203" s="970"/>
      <c r="U203" s="970"/>
      <c r="V203" s="970"/>
      <c r="W203" s="970"/>
      <c r="X203" s="970"/>
      <c r="Y203" s="970"/>
      <c r="Z203" s="970"/>
      <c r="AA203" s="970"/>
      <c r="AB203" s="970"/>
    </row>
    <row r="204" spans="1:28" ht="15.75" customHeight="1">
      <c r="A204" s="970"/>
      <c r="B204" s="970"/>
      <c r="C204" s="974"/>
      <c r="D204" s="974"/>
      <c r="E204" s="974"/>
      <c r="F204" s="974"/>
      <c r="G204" s="974"/>
      <c r="H204" s="974"/>
      <c r="I204" s="974"/>
      <c r="J204" s="974"/>
      <c r="K204" s="974"/>
      <c r="L204" s="974"/>
      <c r="M204" s="974"/>
      <c r="N204" s="974"/>
      <c r="O204" s="974"/>
      <c r="P204" s="974"/>
      <c r="Q204" s="974"/>
      <c r="R204" s="970"/>
      <c r="S204" s="970"/>
      <c r="T204" s="970"/>
      <c r="U204" s="970"/>
      <c r="V204" s="970"/>
      <c r="W204" s="970"/>
      <c r="X204" s="970"/>
      <c r="Y204" s="970"/>
      <c r="Z204" s="970"/>
      <c r="AA204" s="970"/>
      <c r="AB204" s="970"/>
    </row>
    <row r="205" spans="1:28" ht="15.75" customHeight="1">
      <c r="A205" s="970"/>
      <c r="B205" s="970"/>
      <c r="C205" s="974"/>
      <c r="D205" s="974"/>
      <c r="E205" s="974"/>
      <c r="F205" s="974"/>
      <c r="G205" s="974"/>
      <c r="H205" s="974"/>
      <c r="I205" s="974"/>
      <c r="J205" s="974"/>
      <c r="K205" s="974"/>
      <c r="L205" s="974"/>
      <c r="M205" s="974"/>
      <c r="N205" s="974"/>
      <c r="O205" s="974"/>
      <c r="P205" s="974"/>
      <c r="Q205" s="974"/>
      <c r="R205" s="970"/>
      <c r="S205" s="970"/>
      <c r="T205" s="970"/>
      <c r="U205" s="970"/>
      <c r="V205" s="970"/>
      <c r="W205" s="970"/>
      <c r="X205" s="970"/>
      <c r="Y205" s="970"/>
      <c r="Z205" s="970"/>
      <c r="AA205" s="970"/>
      <c r="AB205" s="970"/>
    </row>
    <row r="206" spans="1:28" ht="15.75" customHeight="1">
      <c r="A206" s="970"/>
      <c r="B206" s="970"/>
      <c r="C206" s="974"/>
      <c r="D206" s="974"/>
      <c r="E206" s="974"/>
      <c r="F206" s="974"/>
      <c r="G206" s="974"/>
      <c r="H206" s="974"/>
      <c r="I206" s="974"/>
      <c r="J206" s="974"/>
      <c r="K206" s="974"/>
      <c r="L206" s="974"/>
      <c r="M206" s="974"/>
      <c r="N206" s="974"/>
      <c r="O206" s="974"/>
      <c r="P206" s="974"/>
      <c r="Q206" s="974"/>
      <c r="R206" s="970"/>
      <c r="S206" s="970"/>
      <c r="T206" s="970"/>
      <c r="U206" s="970"/>
      <c r="V206" s="970"/>
      <c r="W206" s="970"/>
      <c r="X206" s="970"/>
      <c r="Y206" s="970"/>
      <c r="Z206" s="970"/>
      <c r="AA206" s="970"/>
      <c r="AB206" s="970"/>
    </row>
    <row r="207" spans="1:28" ht="15.75" customHeight="1">
      <c r="A207" s="970"/>
      <c r="B207" s="970"/>
      <c r="C207" s="974"/>
      <c r="D207" s="974"/>
      <c r="E207" s="974"/>
      <c r="F207" s="974"/>
      <c r="G207" s="974"/>
      <c r="H207" s="974"/>
      <c r="I207" s="974"/>
      <c r="J207" s="974"/>
      <c r="K207" s="974"/>
      <c r="L207" s="974"/>
      <c r="M207" s="974"/>
      <c r="N207" s="974"/>
      <c r="O207" s="974"/>
      <c r="P207" s="974"/>
      <c r="Q207" s="974"/>
      <c r="R207" s="970"/>
      <c r="S207" s="970"/>
      <c r="T207" s="970"/>
      <c r="U207" s="970"/>
      <c r="V207" s="970"/>
      <c r="W207" s="970"/>
      <c r="X207" s="970"/>
      <c r="Y207" s="970"/>
      <c r="Z207" s="970"/>
      <c r="AA207" s="970"/>
      <c r="AB207" s="970"/>
    </row>
    <row r="208" spans="1:28" ht="15.75" customHeight="1">
      <c r="A208" s="970"/>
      <c r="B208" s="970"/>
      <c r="C208" s="974"/>
      <c r="D208" s="974"/>
      <c r="E208" s="974"/>
      <c r="F208" s="974"/>
      <c r="G208" s="974"/>
      <c r="H208" s="974"/>
      <c r="I208" s="974"/>
      <c r="J208" s="974"/>
      <c r="K208" s="974"/>
      <c r="L208" s="974"/>
      <c r="M208" s="974"/>
      <c r="N208" s="974"/>
      <c r="O208" s="974"/>
      <c r="P208" s="974"/>
      <c r="Q208" s="974"/>
      <c r="R208" s="970"/>
      <c r="S208" s="970"/>
      <c r="T208" s="970"/>
      <c r="U208" s="970"/>
      <c r="V208" s="970"/>
      <c r="W208" s="970"/>
      <c r="X208" s="970"/>
      <c r="Y208" s="970"/>
      <c r="Z208" s="970"/>
      <c r="AA208" s="970"/>
      <c r="AB208" s="970"/>
    </row>
    <row r="209" spans="1:28" ht="15.75" customHeight="1">
      <c r="A209" s="970"/>
      <c r="B209" s="970"/>
      <c r="C209" s="974"/>
      <c r="D209" s="974"/>
      <c r="E209" s="974"/>
      <c r="F209" s="974"/>
      <c r="G209" s="974"/>
      <c r="H209" s="974"/>
      <c r="I209" s="974"/>
      <c r="J209" s="974"/>
      <c r="K209" s="974"/>
      <c r="L209" s="974"/>
      <c r="M209" s="974"/>
      <c r="N209" s="974"/>
      <c r="O209" s="974"/>
      <c r="P209" s="974"/>
      <c r="Q209" s="974"/>
      <c r="R209" s="970"/>
      <c r="S209" s="970"/>
      <c r="T209" s="970"/>
      <c r="U209" s="970"/>
      <c r="V209" s="970"/>
      <c r="W209" s="970"/>
      <c r="X209" s="970"/>
      <c r="Y209" s="970"/>
      <c r="Z209" s="970"/>
      <c r="AA209" s="970"/>
      <c r="AB209" s="970"/>
    </row>
    <row r="210" spans="1:28" ht="15.75" customHeight="1">
      <c r="A210" s="970"/>
      <c r="B210" s="970"/>
      <c r="C210" s="974"/>
      <c r="D210" s="974"/>
      <c r="E210" s="974"/>
      <c r="F210" s="974"/>
      <c r="G210" s="974"/>
      <c r="H210" s="974"/>
      <c r="I210" s="974"/>
      <c r="J210" s="974"/>
      <c r="K210" s="974"/>
      <c r="L210" s="974"/>
      <c r="M210" s="974"/>
      <c r="N210" s="974"/>
      <c r="O210" s="974"/>
      <c r="P210" s="974"/>
      <c r="Q210" s="974"/>
      <c r="R210" s="970"/>
      <c r="S210" s="970"/>
      <c r="T210" s="970"/>
      <c r="U210" s="970"/>
      <c r="V210" s="970"/>
      <c r="W210" s="970"/>
      <c r="X210" s="970"/>
      <c r="Y210" s="970"/>
      <c r="Z210" s="970"/>
      <c r="AA210" s="970"/>
      <c r="AB210" s="970"/>
    </row>
    <row r="211" spans="1:28" ht="15.75" customHeight="1">
      <c r="A211" s="970"/>
      <c r="B211" s="970"/>
      <c r="C211" s="974"/>
      <c r="D211" s="974"/>
      <c r="E211" s="974"/>
      <c r="F211" s="974"/>
      <c r="G211" s="974"/>
      <c r="H211" s="974"/>
      <c r="I211" s="974"/>
      <c r="J211" s="974"/>
      <c r="K211" s="974"/>
      <c r="L211" s="974"/>
      <c r="M211" s="974"/>
      <c r="N211" s="974"/>
      <c r="O211" s="974"/>
      <c r="P211" s="974"/>
      <c r="Q211" s="974"/>
      <c r="R211" s="970"/>
      <c r="S211" s="970"/>
      <c r="T211" s="970"/>
      <c r="U211" s="970"/>
      <c r="V211" s="970"/>
      <c r="W211" s="970"/>
      <c r="X211" s="970"/>
      <c r="Y211" s="970"/>
      <c r="Z211" s="970"/>
      <c r="AA211" s="970"/>
      <c r="AB211" s="970"/>
    </row>
    <row r="212" spans="1:28" ht="15.75" customHeight="1">
      <c r="A212" s="970"/>
      <c r="B212" s="970"/>
      <c r="C212" s="974"/>
      <c r="D212" s="974"/>
      <c r="E212" s="974"/>
      <c r="F212" s="974"/>
      <c r="G212" s="974"/>
      <c r="H212" s="974"/>
      <c r="I212" s="974"/>
      <c r="J212" s="974"/>
      <c r="K212" s="974"/>
      <c r="L212" s="974"/>
      <c r="M212" s="974"/>
      <c r="N212" s="974"/>
      <c r="O212" s="974"/>
      <c r="P212" s="974"/>
      <c r="Q212" s="974"/>
      <c r="R212" s="970"/>
      <c r="S212" s="970"/>
      <c r="T212" s="970"/>
      <c r="U212" s="970"/>
      <c r="V212" s="970"/>
      <c r="W212" s="970"/>
      <c r="X212" s="970"/>
      <c r="Y212" s="970"/>
      <c r="Z212" s="970"/>
      <c r="AA212" s="970"/>
      <c r="AB212" s="970"/>
    </row>
    <row r="213" spans="1:28" ht="15.75" customHeight="1">
      <c r="A213" s="970"/>
      <c r="B213" s="970"/>
      <c r="C213" s="974"/>
      <c r="D213" s="974"/>
      <c r="E213" s="974"/>
      <c r="F213" s="974"/>
      <c r="G213" s="974"/>
      <c r="H213" s="974"/>
      <c r="I213" s="974"/>
      <c r="J213" s="974"/>
      <c r="K213" s="974"/>
      <c r="L213" s="974"/>
      <c r="M213" s="974"/>
      <c r="N213" s="974"/>
      <c r="O213" s="974"/>
      <c r="P213" s="974"/>
      <c r="Q213" s="974"/>
      <c r="R213" s="970"/>
      <c r="S213" s="970"/>
      <c r="T213" s="970"/>
      <c r="U213" s="970"/>
      <c r="V213" s="970"/>
      <c r="W213" s="970"/>
      <c r="X213" s="970"/>
      <c r="Y213" s="970"/>
      <c r="Z213" s="970"/>
      <c r="AA213" s="970"/>
      <c r="AB213" s="970"/>
    </row>
    <row r="214" spans="1:28" ht="15.75" customHeight="1">
      <c r="A214" s="970"/>
      <c r="B214" s="970"/>
      <c r="C214" s="974"/>
      <c r="D214" s="974"/>
      <c r="E214" s="974"/>
      <c r="F214" s="974"/>
      <c r="G214" s="974"/>
      <c r="H214" s="974"/>
      <c r="I214" s="974"/>
      <c r="J214" s="974"/>
      <c r="K214" s="974"/>
      <c r="L214" s="974"/>
      <c r="M214" s="974"/>
      <c r="N214" s="974"/>
      <c r="O214" s="974"/>
      <c r="P214" s="974"/>
      <c r="Q214" s="974"/>
      <c r="R214" s="970"/>
      <c r="S214" s="970"/>
      <c r="T214" s="970"/>
      <c r="U214" s="970"/>
      <c r="V214" s="970"/>
      <c r="W214" s="970"/>
      <c r="X214" s="970"/>
      <c r="Y214" s="970"/>
      <c r="Z214" s="970"/>
      <c r="AA214" s="970"/>
      <c r="AB214" s="970"/>
    </row>
    <row r="215" spans="1:28" ht="15.75" customHeight="1">
      <c r="A215" s="970"/>
      <c r="B215" s="970"/>
      <c r="C215" s="974"/>
      <c r="D215" s="974"/>
      <c r="E215" s="974"/>
      <c r="F215" s="974"/>
      <c r="G215" s="974"/>
      <c r="H215" s="974"/>
      <c r="I215" s="974"/>
      <c r="J215" s="974"/>
      <c r="K215" s="974"/>
      <c r="L215" s="974"/>
      <c r="M215" s="974"/>
      <c r="N215" s="974"/>
      <c r="O215" s="974"/>
      <c r="P215" s="974"/>
      <c r="Q215" s="974"/>
      <c r="R215" s="970"/>
      <c r="S215" s="970"/>
      <c r="T215" s="970"/>
      <c r="U215" s="970"/>
      <c r="V215" s="970"/>
      <c r="W215" s="970"/>
      <c r="X215" s="970"/>
      <c r="Y215" s="970"/>
      <c r="Z215" s="970"/>
      <c r="AA215" s="970"/>
      <c r="AB215" s="970"/>
    </row>
    <row r="216" spans="1:28" ht="15.75" customHeight="1">
      <c r="A216" s="970"/>
      <c r="B216" s="970"/>
      <c r="C216" s="974"/>
      <c r="D216" s="974"/>
      <c r="E216" s="974"/>
      <c r="F216" s="974"/>
      <c r="G216" s="974"/>
      <c r="H216" s="974"/>
      <c r="I216" s="974"/>
      <c r="J216" s="974"/>
      <c r="K216" s="974"/>
      <c r="L216" s="974"/>
      <c r="M216" s="974"/>
      <c r="N216" s="974"/>
      <c r="O216" s="974"/>
      <c r="P216" s="974"/>
      <c r="Q216" s="974"/>
      <c r="R216" s="970"/>
      <c r="S216" s="970"/>
      <c r="T216" s="970"/>
      <c r="U216" s="970"/>
      <c r="V216" s="970"/>
      <c r="W216" s="970"/>
      <c r="X216" s="970"/>
      <c r="Y216" s="970"/>
      <c r="Z216" s="970"/>
      <c r="AA216" s="970"/>
      <c r="AB216" s="970"/>
    </row>
    <row r="217" spans="1:28" ht="15.75" customHeight="1">
      <c r="A217" s="970"/>
      <c r="B217" s="970"/>
      <c r="C217" s="974"/>
      <c r="D217" s="974"/>
      <c r="E217" s="974"/>
      <c r="F217" s="974"/>
      <c r="G217" s="974"/>
      <c r="H217" s="974"/>
      <c r="I217" s="974"/>
      <c r="J217" s="974"/>
      <c r="K217" s="974"/>
      <c r="L217" s="974"/>
      <c r="M217" s="974"/>
      <c r="N217" s="974"/>
      <c r="O217" s="974"/>
      <c r="P217" s="974"/>
      <c r="Q217" s="974"/>
      <c r="R217" s="970"/>
      <c r="S217" s="970"/>
      <c r="T217" s="970"/>
      <c r="U217" s="970"/>
      <c r="V217" s="970"/>
      <c r="W217" s="970"/>
      <c r="X217" s="970"/>
      <c r="Y217" s="970"/>
      <c r="Z217" s="970"/>
      <c r="AA217" s="970"/>
      <c r="AB217" s="970"/>
    </row>
    <row r="218" spans="1:28" ht="15.75" customHeight="1">
      <c r="A218" s="970"/>
      <c r="B218" s="970"/>
      <c r="C218" s="974"/>
      <c r="D218" s="974"/>
      <c r="E218" s="974"/>
      <c r="F218" s="974"/>
      <c r="G218" s="974"/>
      <c r="H218" s="974"/>
      <c r="I218" s="974"/>
      <c r="J218" s="974"/>
      <c r="K218" s="974"/>
      <c r="L218" s="974"/>
      <c r="M218" s="974"/>
      <c r="N218" s="974"/>
      <c r="O218" s="974"/>
      <c r="P218" s="974"/>
      <c r="Q218" s="974"/>
      <c r="R218" s="970"/>
      <c r="S218" s="970"/>
      <c r="T218" s="970"/>
      <c r="U218" s="970"/>
      <c r="V218" s="970"/>
      <c r="W218" s="970"/>
      <c r="X218" s="970"/>
      <c r="Y218" s="970"/>
      <c r="Z218" s="970"/>
      <c r="AA218" s="970"/>
      <c r="AB218" s="970"/>
    </row>
    <row r="219" spans="1:28" ht="15.75" customHeight="1">
      <c r="A219" s="970"/>
      <c r="B219" s="970"/>
      <c r="C219" s="974"/>
      <c r="D219" s="974"/>
      <c r="E219" s="974"/>
      <c r="F219" s="974"/>
      <c r="G219" s="974"/>
      <c r="H219" s="974"/>
      <c r="I219" s="974"/>
      <c r="J219" s="974"/>
      <c r="K219" s="974"/>
      <c r="L219" s="974"/>
      <c r="M219" s="974"/>
      <c r="N219" s="974"/>
      <c r="O219" s="974"/>
      <c r="P219" s="974"/>
      <c r="Q219" s="974"/>
      <c r="R219" s="970"/>
      <c r="S219" s="970"/>
      <c r="T219" s="970"/>
      <c r="U219" s="970"/>
      <c r="V219" s="970"/>
      <c r="W219" s="970"/>
      <c r="X219" s="970"/>
      <c r="Y219" s="970"/>
      <c r="Z219" s="970"/>
      <c r="AA219" s="970"/>
      <c r="AB219" s="970"/>
    </row>
    <row r="220" spans="1:28" ht="15.75" customHeight="1">
      <c r="A220" s="970"/>
      <c r="B220" s="970"/>
      <c r="C220" s="974"/>
      <c r="D220" s="974"/>
      <c r="E220" s="974"/>
      <c r="F220" s="974"/>
      <c r="G220" s="974"/>
      <c r="H220" s="974"/>
      <c r="I220" s="974"/>
      <c r="J220" s="974"/>
      <c r="K220" s="974"/>
      <c r="L220" s="974"/>
      <c r="M220" s="974"/>
      <c r="N220" s="974"/>
      <c r="O220" s="974"/>
      <c r="P220" s="974"/>
      <c r="Q220" s="974"/>
      <c r="R220" s="970"/>
      <c r="S220" s="970"/>
      <c r="T220" s="970"/>
      <c r="U220" s="970"/>
      <c r="V220" s="970"/>
      <c r="W220" s="970"/>
      <c r="X220" s="970"/>
      <c r="Y220" s="970"/>
      <c r="Z220" s="970"/>
      <c r="AA220" s="970"/>
      <c r="AB220" s="970"/>
    </row>
    <row r="221" spans="1:28" ht="15.75" customHeight="1">
      <c r="A221" s="970"/>
      <c r="B221" s="970"/>
      <c r="C221" s="974"/>
      <c r="D221" s="974"/>
      <c r="E221" s="974"/>
      <c r="F221" s="974"/>
      <c r="G221" s="974"/>
      <c r="H221" s="974"/>
      <c r="I221" s="974"/>
      <c r="J221" s="974"/>
      <c r="K221" s="974"/>
      <c r="L221" s="974"/>
      <c r="M221" s="974"/>
      <c r="N221" s="974"/>
      <c r="O221" s="974"/>
      <c r="P221" s="974"/>
      <c r="Q221" s="974"/>
      <c r="R221" s="970"/>
      <c r="S221" s="970"/>
      <c r="T221" s="970"/>
      <c r="U221" s="970"/>
      <c r="V221" s="970"/>
      <c r="W221" s="970"/>
      <c r="X221" s="970"/>
      <c r="Y221" s="970"/>
      <c r="Z221" s="970"/>
      <c r="AA221" s="970"/>
      <c r="AB221" s="970"/>
    </row>
    <row r="222" spans="1:28" ht="15.75" customHeight="1">
      <c r="A222" s="970"/>
      <c r="B222" s="970"/>
      <c r="C222" s="974"/>
      <c r="D222" s="974"/>
      <c r="E222" s="974"/>
      <c r="F222" s="974"/>
      <c r="G222" s="974"/>
      <c r="H222" s="974"/>
      <c r="I222" s="974"/>
      <c r="J222" s="974"/>
      <c r="K222" s="974"/>
      <c r="L222" s="974"/>
      <c r="M222" s="974"/>
      <c r="N222" s="974"/>
      <c r="O222" s="974"/>
      <c r="P222" s="974"/>
      <c r="Q222" s="974"/>
      <c r="R222" s="970"/>
      <c r="S222" s="970"/>
      <c r="T222" s="970"/>
      <c r="U222" s="970"/>
      <c r="V222" s="970"/>
      <c r="W222" s="970"/>
      <c r="X222" s="970"/>
      <c r="Y222" s="970"/>
      <c r="Z222" s="970"/>
      <c r="AA222" s="970"/>
      <c r="AB222" s="970"/>
    </row>
    <row r="223" spans="1:28" ht="15.75" customHeight="1">
      <c r="A223" s="970"/>
      <c r="B223" s="970"/>
      <c r="C223" s="974"/>
      <c r="D223" s="974"/>
      <c r="E223" s="974"/>
      <c r="F223" s="974"/>
      <c r="G223" s="974"/>
      <c r="H223" s="974"/>
      <c r="I223" s="974"/>
      <c r="J223" s="974"/>
      <c r="K223" s="974"/>
      <c r="L223" s="974"/>
      <c r="M223" s="974"/>
      <c r="N223" s="974"/>
      <c r="O223" s="974"/>
      <c r="P223" s="974"/>
      <c r="Q223" s="974"/>
      <c r="R223" s="970"/>
      <c r="S223" s="970"/>
      <c r="T223" s="970"/>
      <c r="U223" s="970"/>
      <c r="V223" s="970"/>
      <c r="W223" s="970"/>
      <c r="X223" s="970"/>
      <c r="Y223" s="970"/>
      <c r="Z223" s="970"/>
      <c r="AA223" s="970"/>
      <c r="AB223" s="970"/>
    </row>
    <row r="224" spans="1:28" ht="15.75" customHeight="1">
      <c r="A224" s="970"/>
      <c r="B224" s="970"/>
      <c r="C224" s="974"/>
      <c r="D224" s="974"/>
      <c r="E224" s="974"/>
      <c r="F224" s="974"/>
      <c r="G224" s="974"/>
      <c r="H224" s="974"/>
      <c r="I224" s="974"/>
      <c r="J224" s="974"/>
      <c r="K224" s="974"/>
      <c r="L224" s="974"/>
      <c r="M224" s="974"/>
      <c r="N224" s="974"/>
      <c r="O224" s="974"/>
      <c r="P224" s="974"/>
      <c r="Q224" s="974"/>
      <c r="R224" s="970"/>
      <c r="S224" s="970"/>
      <c r="T224" s="970"/>
      <c r="U224" s="970"/>
      <c r="V224" s="970"/>
      <c r="W224" s="970"/>
      <c r="X224" s="970"/>
      <c r="Y224" s="970"/>
      <c r="Z224" s="970"/>
      <c r="AA224" s="970"/>
      <c r="AB224" s="970"/>
    </row>
    <row r="225" spans="1:28" ht="15.75" customHeight="1">
      <c r="A225" s="970"/>
      <c r="B225" s="970"/>
      <c r="C225" s="974"/>
      <c r="D225" s="974"/>
      <c r="E225" s="974"/>
      <c r="F225" s="974"/>
      <c r="G225" s="974"/>
      <c r="H225" s="974"/>
      <c r="I225" s="974"/>
      <c r="J225" s="974"/>
      <c r="K225" s="974"/>
      <c r="L225" s="974"/>
      <c r="M225" s="974"/>
      <c r="N225" s="974"/>
      <c r="O225" s="974"/>
      <c r="P225" s="974"/>
      <c r="Q225" s="974"/>
      <c r="R225" s="970"/>
      <c r="S225" s="970"/>
      <c r="T225" s="970"/>
      <c r="U225" s="970"/>
      <c r="V225" s="970"/>
      <c r="W225" s="970"/>
      <c r="X225" s="970"/>
      <c r="Y225" s="970"/>
      <c r="Z225" s="970"/>
      <c r="AA225" s="970"/>
      <c r="AB225" s="970"/>
    </row>
    <row r="226" spans="1:28" ht="15.75" customHeight="1">
      <c r="A226" s="970"/>
      <c r="B226" s="970"/>
      <c r="C226" s="974"/>
      <c r="D226" s="974"/>
      <c r="E226" s="974"/>
      <c r="F226" s="974"/>
      <c r="G226" s="974"/>
      <c r="H226" s="974"/>
      <c r="I226" s="974"/>
      <c r="J226" s="974"/>
      <c r="K226" s="974"/>
      <c r="L226" s="974"/>
      <c r="M226" s="974"/>
      <c r="N226" s="974"/>
      <c r="O226" s="974"/>
      <c r="P226" s="974"/>
      <c r="Q226" s="974"/>
      <c r="R226" s="970"/>
      <c r="S226" s="970"/>
      <c r="T226" s="970"/>
      <c r="U226" s="970"/>
      <c r="V226" s="970"/>
      <c r="W226" s="970"/>
      <c r="X226" s="970"/>
      <c r="Y226" s="970"/>
      <c r="Z226" s="970"/>
      <c r="AA226" s="970"/>
      <c r="AB226" s="970"/>
    </row>
    <row r="227" spans="1:28" ht="15.75" customHeight="1">
      <c r="A227" s="970"/>
      <c r="B227" s="970"/>
      <c r="C227" s="974"/>
      <c r="D227" s="974"/>
      <c r="E227" s="974"/>
      <c r="F227" s="974"/>
      <c r="G227" s="974"/>
      <c r="H227" s="974"/>
      <c r="I227" s="974"/>
      <c r="J227" s="974"/>
      <c r="K227" s="974"/>
      <c r="L227" s="974"/>
      <c r="M227" s="974"/>
      <c r="N227" s="974"/>
      <c r="O227" s="974"/>
      <c r="P227" s="974"/>
      <c r="Q227" s="974"/>
      <c r="R227" s="970"/>
      <c r="S227" s="970"/>
      <c r="T227" s="970"/>
      <c r="U227" s="970"/>
      <c r="V227" s="970"/>
      <c r="W227" s="970"/>
      <c r="X227" s="970"/>
      <c r="Y227" s="970"/>
      <c r="Z227" s="970"/>
      <c r="AA227" s="970"/>
      <c r="AB227" s="970"/>
    </row>
    <row r="228" spans="1:28" ht="15.75" customHeight="1">
      <c r="A228" s="970"/>
      <c r="B228" s="970"/>
      <c r="C228" s="974"/>
      <c r="D228" s="974"/>
      <c r="E228" s="974"/>
      <c r="F228" s="974"/>
      <c r="G228" s="974"/>
      <c r="H228" s="974"/>
      <c r="I228" s="974"/>
      <c r="J228" s="974"/>
      <c r="K228" s="974"/>
      <c r="L228" s="974"/>
      <c r="M228" s="974"/>
      <c r="N228" s="974"/>
      <c r="O228" s="974"/>
      <c r="P228" s="974"/>
      <c r="Q228" s="974"/>
      <c r="R228" s="970"/>
      <c r="S228" s="970"/>
      <c r="T228" s="970"/>
      <c r="U228" s="970"/>
      <c r="V228" s="970"/>
      <c r="W228" s="970"/>
      <c r="X228" s="970"/>
      <c r="Y228" s="970"/>
      <c r="Z228" s="970"/>
      <c r="AA228" s="970"/>
      <c r="AB228" s="970"/>
    </row>
    <row r="229" spans="1:28" ht="15.75" customHeight="1">
      <c r="A229" s="970"/>
      <c r="B229" s="970"/>
      <c r="C229" s="974"/>
      <c r="D229" s="974"/>
      <c r="E229" s="974"/>
      <c r="F229" s="974"/>
      <c r="G229" s="974"/>
      <c r="H229" s="974"/>
      <c r="I229" s="974"/>
      <c r="J229" s="974"/>
      <c r="K229" s="974"/>
      <c r="L229" s="974"/>
      <c r="M229" s="974"/>
      <c r="N229" s="974"/>
      <c r="O229" s="974"/>
      <c r="P229" s="974"/>
      <c r="Q229" s="974"/>
      <c r="R229" s="970"/>
      <c r="S229" s="970"/>
      <c r="T229" s="970"/>
      <c r="U229" s="970"/>
      <c r="V229" s="970"/>
      <c r="W229" s="970"/>
      <c r="X229" s="970"/>
      <c r="Y229" s="970"/>
      <c r="Z229" s="970"/>
      <c r="AA229" s="970"/>
      <c r="AB229" s="970"/>
    </row>
    <row r="230" spans="1:28" ht="15.75" customHeight="1">
      <c r="A230" s="970"/>
      <c r="B230" s="970"/>
      <c r="C230" s="974"/>
      <c r="D230" s="974"/>
      <c r="E230" s="974"/>
      <c r="F230" s="974"/>
      <c r="G230" s="974"/>
      <c r="H230" s="974"/>
      <c r="I230" s="974"/>
      <c r="J230" s="974"/>
      <c r="K230" s="974"/>
      <c r="L230" s="974"/>
      <c r="M230" s="974"/>
      <c r="N230" s="974"/>
      <c r="O230" s="974"/>
      <c r="P230" s="974"/>
      <c r="Q230" s="974"/>
      <c r="R230" s="970"/>
      <c r="S230" s="970"/>
      <c r="T230" s="970"/>
      <c r="U230" s="970"/>
      <c r="V230" s="970"/>
      <c r="W230" s="970"/>
      <c r="X230" s="970"/>
      <c r="Y230" s="970"/>
      <c r="Z230" s="970"/>
      <c r="AA230" s="970"/>
      <c r="AB230" s="970"/>
    </row>
    <row r="231" spans="1:28" ht="15.75" customHeight="1">
      <c r="A231" s="970"/>
      <c r="B231" s="970"/>
      <c r="C231" s="974"/>
      <c r="D231" s="974"/>
      <c r="E231" s="974"/>
      <c r="F231" s="974"/>
      <c r="G231" s="974"/>
      <c r="H231" s="974"/>
      <c r="I231" s="974"/>
      <c r="J231" s="974"/>
      <c r="K231" s="974"/>
      <c r="L231" s="974"/>
      <c r="M231" s="974"/>
      <c r="N231" s="974"/>
      <c r="O231" s="974"/>
      <c r="P231" s="974"/>
      <c r="Q231" s="974"/>
      <c r="R231" s="970"/>
      <c r="S231" s="970"/>
      <c r="T231" s="970"/>
      <c r="U231" s="970"/>
      <c r="V231" s="970"/>
      <c r="W231" s="970"/>
      <c r="X231" s="970"/>
      <c r="Y231" s="970"/>
      <c r="Z231" s="970"/>
      <c r="AA231" s="970"/>
      <c r="AB231" s="970"/>
    </row>
    <row r="232" spans="1:28" ht="15.75" customHeight="1">
      <c r="A232" s="970"/>
      <c r="B232" s="970"/>
      <c r="C232" s="974"/>
      <c r="D232" s="974"/>
      <c r="E232" s="974"/>
      <c r="F232" s="974"/>
      <c r="G232" s="974"/>
      <c r="H232" s="974"/>
      <c r="I232" s="974"/>
      <c r="J232" s="974"/>
      <c r="K232" s="974"/>
      <c r="L232" s="974"/>
      <c r="M232" s="974"/>
      <c r="N232" s="974"/>
      <c r="O232" s="974"/>
      <c r="P232" s="974"/>
      <c r="Q232" s="974"/>
      <c r="R232" s="970"/>
      <c r="S232" s="970"/>
      <c r="T232" s="970"/>
      <c r="U232" s="970"/>
      <c r="V232" s="970"/>
      <c r="W232" s="970"/>
      <c r="X232" s="970"/>
      <c r="Y232" s="970"/>
      <c r="Z232" s="970"/>
      <c r="AA232" s="970"/>
      <c r="AB232" s="970"/>
    </row>
    <row r="233" spans="1:28" ht="15.75" customHeight="1">
      <c r="A233" s="970"/>
      <c r="B233" s="970"/>
      <c r="C233" s="974"/>
      <c r="D233" s="974"/>
      <c r="E233" s="974"/>
      <c r="F233" s="974"/>
      <c r="G233" s="974"/>
      <c r="H233" s="974"/>
      <c r="I233" s="974"/>
      <c r="J233" s="974"/>
      <c r="K233" s="974"/>
      <c r="L233" s="974"/>
      <c r="M233" s="974"/>
      <c r="N233" s="974"/>
      <c r="O233" s="974"/>
      <c r="P233" s="974"/>
      <c r="Q233" s="974"/>
      <c r="R233" s="970"/>
      <c r="S233" s="970"/>
      <c r="T233" s="970"/>
      <c r="U233" s="970"/>
      <c r="V233" s="970"/>
      <c r="W233" s="970"/>
      <c r="X233" s="970"/>
      <c r="Y233" s="970"/>
      <c r="Z233" s="970"/>
      <c r="AA233" s="970"/>
      <c r="AB233" s="970"/>
    </row>
    <row r="234" spans="1:28" ht="15.75" customHeight="1">
      <c r="A234" s="970"/>
      <c r="B234" s="970"/>
      <c r="C234" s="974"/>
      <c r="D234" s="974"/>
      <c r="E234" s="974"/>
      <c r="F234" s="974"/>
      <c r="G234" s="974"/>
      <c r="H234" s="974"/>
      <c r="I234" s="974"/>
      <c r="J234" s="974"/>
      <c r="K234" s="974"/>
      <c r="L234" s="974"/>
      <c r="M234" s="974"/>
      <c r="N234" s="974"/>
      <c r="O234" s="974"/>
      <c r="P234" s="974"/>
      <c r="Q234" s="974"/>
      <c r="R234" s="970"/>
      <c r="S234" s="970"/>
      <c r="T234" s="970"/>
      <c r="U234" s="970"/>
      <c r="V234" s="970"/>
      <c r="W234" s="970"/>
      <c r="X234" s="970"/>
      <c r="Y234" s="970"/>
      <c r="Z234" s="970"/>
      <c r="AA234" s="970"/>
      <c r="AB234" s="970"/>
    </row>
    <row r="235" spans="1:28" ht="15.75" customHeight="1">
      <c r="A235" s="970"/>
      <c r="B235" s="970"/>
      <c r="C235" s="974"/>
      <c r="D235" s="974"/>
      <c r="E235" s="974"/>
      <c r="F235" s="974"/>
      <c r="G235" s="974"/>
      <c r="H235" s="974"/>
      <c r="I235" s="974"/>
      <c r="J235" s="974"/>
      <c r="K235" s="974"/>
      <c r="L235" s="974"/>
      <c r="M235" s="974"/>
      <c r="N235" s="974"/>
      <c r="O235" s="974"/>
      <c r="P235" s="974"/>
      <c r="Q235" s="974"/>
      <c r="R235" s="970"/>
      <c r="S235" s="970"/>
      <c r="T235" s="970"/>
      <c r="U235" s="970"/>
      <c r="V235" s="970"/>
      <c r="W235" s="970"/>
      <c r="X235" s="970"/>
      <c r="Y235" s="970"/>
      <c r="Z235" s="970"/>
      <c r="AA235" s="970"/>
      <c r="AB235" s="970"/>
    </row>
    <row r="236" spans="1:28" ht="15.75" customHeight="1">
      <c r="A236" s="970"/>
      <c r="B236" s="970"/>
      <c r="C236" s="974"/>
      <c r="D236" s="974"/>
      <c r="E236" s="974"/>
      <c r="F236" s="974"/>
      <c r="G236" s="974"/>
      <c r="H236" s="974"/>
      <c r="I236" s="974"/>
      <c r="J236" s="974"/>
      <c r="K236" s="974"/>
      <c r="L236" s="974"/>
      <c r="M236" s="974"/>
      <c r="N236" s="974"/>
      <c r="O236" s="974"/>
      <c r="P236" s="974"/>
      <c r="Q236" s="974"/>
      <c r="R236" s="970"/>
      <c r="S236" s="970"/>
      <c r="T236" s="970"/>
      <c r="U236" s="970"/>
      <c r="V236" s="970"/>
      <c r="W236" s="970"/>
      <c r="X236" s="970"/>
      <c r="Y236" s="970"/>
      <c r="Z236" s="970"/>
      <c r="AA236" s="970"/>
      <c r="AB236" s="970"/>
    </row>
    <row r="237" spans="1:28" ht="15.75" customHeight="1">
      <c r="A237" s="970"/>
      <c r="B237" s="970"/>
      <c r="C237" s="974"/>
      <c r="D237" s="974"/>
      <c r="E237" s="974"/>
      <c r="F237" s="974"/>
      <c r="G237" s="974"/>
      <c r="H237" s="974"/>
      <c r="I237" s="974"/>
      <c r="J237" s="974"/>
      <c r="K237" s="974"/>
      <c r="L237" s="974"/>
      <c r="M237" s="974"/>
      <c r="N237" s="974"/>
      <c r="O237" s="974"/>
      <c r="P237" s="974"/>
      <c r="Q237" s="974"/>
      <c r="R237" s="970"/>
      <c r="S237" s="970"/>
      <c r="T237" s="970"/>
      <c r="U237" s="970"/>
      <c r="V237" s="970"/>
      <c r="W237" s="970"/>
      <c r="X237" s="970"/>
      <c r="Y237" s="970"/>
      <c r="Z237" s="970"/>
      <c r="AA237" s="970"/>
      <c r="AB237" s="970"/>
    </row>
    <row r="238" spans="1:28" ht="15.75" customHeight="1">
      <c r="A238" s="970"/>
      <c r="B238" s="970"/>
      <c r="C238" s="974"/>
      <c r="D238" s="974"/>
      <c r="E238" s="974"/>
      <c r="F238" s="974"/>
      <c r="G238" s="974"/>
      <c r="H238" s="974"/>
      <c r="I238" s="974"/>
      <c r="J238" s="974"/>
      <c r="K238" s="974"/>
      <c r="L238" s="974"/>
      <c r="M238" s="974"/>
      <c r="N238" s="974"/>
      <c r="O238" s="974"/>
      <c r="P238" s="974"/>
      <c r="Q238" s="974"/>
      <c r="R238" s="970"/>
      <c r="S238" s="970"/>
      <c r="T238" s="970"/>
      <c r="U238" s="970"/>
      <c r="V238" s="970"/>
      <c r="W238" s="970"/>
      <c r="X238" s="970"/>
      <c r="Y238" s="970"/>
      <c r="Z238" s="970"/>
      <c r="AA238" s="970"/>
      <c r="AB238" s="970"/>
    </row>
    <row r="239" spans="1:28" ht="15.75" customHeight="1">
      <c r="A239" s="970"/>
      <c r="B239" s="970"/>
      <c r="C239" s="974"/>
      <c r="D239" s="974"/>
      <c r="E239" s="974"/>
      <c r="F239" s="974"/>
      <c r="G239" s="974"/>
      <c r="H239" s="974"/>
      <c r="I239" s="974"/>
      <c r="J239" s="974"/>
      <c r="K239" s="974"/>
      <c r="L239" s="974"/>
      <c r="M239" s="974"/>
      <c r="N239" s="974"/>
      <c r="O239" s="974"/>
      <c r="P239" s="974"/>
      <c r="Q239" s="974"/>
      <c r="R239" s="970"/>
      <c r="S239" s="970"/>
      <c r="T239" s="970"/>
      <c r="U239" s="970"/>
      <c r="V239" s="970"/>
      <c r="W239" s="970"/>
      <c r="X239" s="970"/>
      <c r="Y239" s="970"/>
      <c r="Z239" s="970"/>
      <c r="AA239" s="970"/>
      <c r="AB239" s="970"/>
    </row>
    <row r="240" spans="1:28" ht="15.75" customHeight="1">
      <c r="A240" s="970"/>
      <c r="B240" s="970"/>
      <c r="C240" s="974"/>
      <c r="D240" s="974"/>
      <c r="E240" s="974"/>
      <c r="F240" s="974"/>
      <c r="G240" s="974"/>
      <c r="H240" s="974"/>
      <c r="I240" s="974"/>
      <c r="J240" s="974"/>
      <c r="K240" s="974"/>
      <c r="L240" s="974"/>
      <c r="M240" s="974"/>
      <c r="N240" s="974"/>
      <c r="O240" s="974"/>
      <c r="P240" s="974"/>
      <c r="Q240" s="974"/>
      <c r="R240" s="970"/>
      <c r="S240" s="970"/>
      <c r="T240" s="970"/>
      <c r="U240" s="970"/>
      <c r="V240" s="970"/>
      <c r="W240" s="970"/>
      <c r="X240" s="970"/>
      <c r="Y240" s="970"/>
      <c r="Z240" s="970"/>
      <c r="AA240" s="970"/>
      <c r="AB240" s="970"/>
    </row>
    <row r="241" spans="1:28" ht="15.75" customHeight="1">
      <c r="A241" s="970"/>
      <c r="B241" s="970"/>
      <c r="C241" s="974"/>
      <c r="D241" s="974"/>
      <c r="E241" s="974"/>
      <c r="F241" s="974"/>
      <c r="G241" s="974"/>
      <c r="H241" s="974"/>
      <c r="I241" s="974"/>
      <c r="J241" s="974"/>
      <c r="K241" s="974"/>
      <c r="L241" s="974"/>
      <c r="M241" s="974"/>
      <c r="N241" s="974"/>
      <c r="O241" s="974"/>
      <c r="P241" s="974"/>
      <c r="Q241" s="974"/>
      <c r="R241" s="970"/>
      <c r="S241" s="970"/>
      <c r="T241" s="970"/>
      <c r="U241" s="970"/>
      <c r="V241" s="970"/>
      <c r="W241" s="970"/>
      <c r="X241" s="970"/>
      <c r="Y241" s="970"/>
      <c r="Z241" s="970"/>
      <c r="AA241" s="970"/>
      <c r="AB241" s="970"/>
    </row>
    <row r="242" spans="1:28" ht="15.75" customHeight="1">
      <c r="A242" s="970"/>
      <c r="B242" s="970"/>
      <c r="C242" s="974"/>
      <c r="D242" s="974"/>
      <c r="E242" s="974"/>
      <c r="F242" s="974"/>
      <c r="G242" s="974"/>
      <c r="H242" s="974"/>
      <c r="I242" s="974"/>
      <c r="J242" s="974"/>
      <c r="K242" s="974"/>
      <c r="L242" s="974"/>
      <c r="M242" s="974"/>
      <c r="N242" s="974"/>
      <c r="O242" s="974"/>
      <c r="P242" s="974"/>
      <c r="Q242" s="974"/>
      <c r="R242" s="970"/>
      <c r="S242" s="970"/>
      <c r="T242" s="970"/>
      <c r="U242" s="970"/>
      <c r="V242" s="970"/>
      <c r="W242" s="970"/>
      <c r="X242" s="970"/>
      <c r="Y242" s="970"/>
      <c r="Z242" s="970"/>
      <c r="AA242" s="970"/>
      <c r="AB242" s="970"/>
    </row>
    <row r="243" spans="1:28" ht="15.75" customHeight="1">
      <c r="A243" s="970"/>
      <c r="B243" s="970"/>
      <c r="C243" s="974"/>
      <c r="D243" s="974"/>
      <c r="E243" s="974"/>
      <c r="F243" s="974"/>
      <c r="G243" s="974"/>
      <c r="H243" s="974"/>
      <c r="I243" s="974"/>
      <c r="J243" s="974"/>
      <c r="K243" s="974"/>
      <c r="L243" s="974"/>
      <c r="M243" s="974"/>
      <c r="N243" s="974"/>
      <c r="O243" s="974"/>
      <c r="P243" s="974"/>
      <c r="Q243" s="974"/>
      <c r="R243" s="970"/>
      <c r="S243" s="970"/>
      <c r="T243" s="970"/>
      <c r="U243" s="970"/>
      <c r="V243" s="970"/>
      <c r="W243" s="970"/>
      <c r="X243" s="970"/>
      <c r="Y243" s="970"/>
      <c r="Z243" s="970"/>
      <c r="AA243" s="970"/>
      <c r="AB243" s="970"/>
    </row>
    <row r="244" spans="1:28" ht="15.75" customHeight="1">
      <c r="A244" s="970"/>
      <c r="B244" s="970"/>
      <c r="C244" s="974"/>
      <c r="D244" s="974"/>
      <c r="E244" s="974"/>
      <c r="F244" s="974"/>
      <c r="G244" s="974"/>
      <c r="H244" s="974"/>
      <c r="I244" s="974"/>
      <c r="J244" s="974"/>
      <c r="K244" s="974"/>
      <c r="L244" s="974"/>
      <c r="M244" s="974"/>
      <c r="N244" s="974"/>
      <c r="O244" s="974"/>
      <c r="P244" s="974"/>
      <c r="Q244" s="974"/>
      <c r="R244" s="970"/>
      <c r="S244" s="970"/>
      <c r="T244" s="970"/>
      <c r="U244" s="970"/>
      <c r="V244" s="970"/>
      <c r="W244" s="970"/>
      <c r="X244" s="970"/>
      <c r="Y244" s="970"/>
      <c r="Z244" s="970"/>
      <c r="AA244" s="970"/>
      <c r="AB244" s="970"/>
    </row>
    <row r="245" spans="1:28" ht="15.75" customHeight="1">
      <c r="A245" s="970"/>
      <c r="B245" s="970"/>
      <c r="C245" s="974"/>
      <c r="D245" s="974"/>
      <c r="E245" s="974"/>
      <c r="F245" s="974"/>
      <c r="G245" s="974"/>
      <c r="H245" s="974"/>
      <c r="I245" s="974"/>
      <c r="J245" s="974"/>
      <c r="K245" s="974"/>
      <c r="L245" s="974"/>
      <c r="M245" s="974"/>
      <c r="N245" s="974"/>
      <c r="O245" s="974"/>
      <c r="P245" s="974"/>
      <c r="Q245" s="974"/>
      <c r="R245" s="970"/>
      <c r="S245" s="970"/>
      <c r="T245" s="970"/>
      <c r="U245" s="970"/>
      <c r="V245" s="970"/>
      <c r="W245" s="970"/>
      <c r="X245" s="970"/>
      <c r="Y245" s="970"/>
      <c r="Z245" s="970"/>
      <c r="AA245" s="970"/>
      <c r="AB245" s="970"/>
    </row>
    <row r="246" spans="1:28" ht="15.75" customHeight="1">
      <c r="A246" s="970"/>
      <c r="B246" s="970"/>
      <c r="C246" s="974"/>
      <c r="D246" s="974"/>
      <c r="E246" s="974"/>
      <c r="F246" s="974"/>
      <c r="G246" s="974"/>
      <c r="H246" s="974"/>
      <c r="I246" s="974"/>
      <c r="J246" s="974"/>
      <c r="K246" s="974"/>
      <c r="L246" s="974"/>
      <c r="M246" s="974"/>
      <c r="N246" s="974"/>
      <c r="O246" s="974"/>
      <c r="P246" s="974"/>
      <c r="Q246" s="974"/>
      <c r="R246" s="970"/>
      <c r="S246" s="970"/>
      <c r="T246" s="970"/>
      <c r="U246" s="970"/>
      <c r="V246" s="970"/>
      <c r="W246" s="970"/>
      <c r="X246" s="970"/>
      <c r="Y246" s="970"/>
      <c r="Z246" s="970"/>
      <c r="AA246" s="970"/>
      <c r="AB246" s="970"/>
    </row>
    <row r="247" spans="1:28" ht="15.75" customHeight="1">
      <c r="A247" s="970"/>
      <c r="B247" s="970"/>
      <c r="C247" s="974"/>
      <c r="D247" s="974"/>
      <c r="E247" s="974"/>
      <c r="F247" s="974"/>
      <c r="G247" s="974"/>
      <c r="H247" s="974"/>
      <c r="I247" s="974"/>
      <c r="J247" s="974"/>
      <c r="K247" s="974"/>
      <c r="L247" s="974"/>
      <c r="M247" s="974"/>
      <c r="N247" s="974"/>
      <c r="O247" s="974"/>
      <c r="P247" s="974"/>
      <c r="Q247" s="974"/>
      <c r="R247" s="970"/>
      <c r="S247" s="970"/>
      <c r="T247" s="970"/>
      <c r="U247" s="970"/>
      <c r="V247" s="970"/>
      <c r="W247" s="970"/>
      <c r="X247" s="970"/>
      <c r="Y247" s="970"/>
      <c r="Z247" s="970"/>
      <c r="AA247" s="970"/>
      <c r="AB247" s="970"/>
    </row>
    <row r="248" spans="1:28" ht="15.75" customHeight="1">
      <c r="A248" s="970"/>
      <c r="B248" s="970"/>
      <c r="C248" s="974"/>
      <c r="D248" s="974"/>
      <c r="E248" s="974"/>
      <c r="F248" s="974"/>
      <c r="G248" s="974"/>
      <c r="H248" s="974"/>
      <c r="I248" s="974"/>
      <c r="J248" s="974"/>
      <c r="K248" s="974"/>
      <c r="L248" s="974"/>
      <c r="M248" s="974"/>
      <c r="N248" s="974"/>
      <c r="O248" s="974"/>
      <c r="P248" s="974"/>
      <c r="Q248" s="974"/>
      <c r="R248" s="970"/>
      <c r="S248" s="970"/>
      <c r="T248" s="970"/>
      <c r="U248" s="970"/>
      <c r="V248" s="970"/>
      <c r="W248" s="970"/>
      <c r="X248" s="970"/>
      <c r="Y248" s="970"/>
      <c r="Z248" s="970"/>
      <c r="AA248" s="970"/>
      <c r="AB248" s="970"/>
    </row>
    <row r="249" spans="1:28" ht="15.75" customHeight="1">
      <c r="C249" s="1003"/>
      <c r="D249" s="1003"/>
      <c r="E249" s="1003"/>
      <c r="F249" s="1003"/>
      <c r="G249" s="1003"/>
      <c r="H249" s="1003"/>
      <c r="I249" s="1003"/>
      <c r="J249" s="1003"/>
      <c r="K249" s="1003"/>
      <c r="L249" s="1003"/>
      <c r="M249" s="1003"/>
      <c r="N249" s="1003"/>
      <c r="O249" s="1003"/>
      <c r="P249" s="1003"/>
      <c r="Q249" s="1003"/>
    </row>
    <row r="250" spans="1:28" ht="15.75" customHeight="1">
      <c r="C250" s="1003"/>
      <c r="D250" s="1003"/>
      <c r="E250" s="1003"/>
      <c r="F250" s="1003"/>
      <c r="G250" s="1003"/>
      <c r="H250" s="1003"/>
      <c r="I250" s="1003"/>
      <c r="J250" s="1003"/>
      <c r="K250" s="1003"/>
      <c r="L250" s="1003"/>
      <c r="M250" s="1003"/>
      <c r="N250" s="1003"/>
      <c r="O250" s="1003"/>
      <c r="P250" s="1003"/>
      <c r="Q250" s="1003"/>
    </row>
    <row r="251" spans="1:28" ht="15.75" customHeight="1">
      <c r="C251" s="1003"/>
      <c r="D251" s="1003"/>
      <c r="E251" s="1003"/>
      <c r="F251" s="1003"/>
      <c r="G251" s="1003"/>
      <c r="H251" s="1003"/>
      <c r="I251" s="1003"/>
      <c r="J251" s="1003"/>
      <c r="K251" s="1003"/>
      <c r="L251" s="1003"/>
      <c r="M251" s="1003"/>
      <c r="N251" s="1003"/>
      <c r="O251" s="1003"/>
      <c r="P251" s="1003"/>
      <c r="Q251" s="1003"/>
    </row>
    <row r="252" spans="1:28" ht="15.75" customHeight="1">
      <c r="C252" s="1003"/>
      <c r="D252" s="1003"/>
      <c r="E252" s="1003"/>
      <c r="F252" s="1003"/>
      <c r="G252" s="1003"/>
      <c r="H252" s="1003"/>
      <c r="I252" s="1003"/>
      <c r="J252" s="1003"/>
      <c r="K252" s="1003"/>
      <c r="L252" s="1003"/>
      <c r="M252" s="1003"/>
      <c r="N252" s="1003"/>
      <c r="O252" s="1003"/>
      <c r="P252" s="1003"/>
      <c r="Q252" s="1003"/>
    </row>
    <row r="253" spans="1:28" ht="15.75" customHeight="1">
      <c r="C253" s="1003"/>
      <c r="D253" s="1003"/>
      <c r="E253" s="1003"/>
      <c r="F253" s="1003"/>
      <c r="G253" s="1003"/>
      <c r="H253" s="1003"/>
      <c r="I253" s="1003"/>
      <c r="J253" s="1003"/>
      <c r="K253" s="1003"/>
      <c r="L253" s="1003"/>
      <c r="M253" s="1003"/>
      <c r="N253" s="1003"/>
      <c r="O253" s="1003"/>
      <c r="P253" s="1003"/>
      <c r="Q253" s="1003"/>
    </row>
    <row r="254" spans="1:28" ht="15.75" customHeight="1">
      <c r="C254" s="1003"/>
      <c r="D254" s="1003"/>
      <c r="E254" s="1003"/>
      <c r="F254" s="1003"/>
      <c r="G254" s="1003"/>
      <c r="H254" s="1003"/>
      <c r="I254" s="1003"/>
      <c r="J254" s="1003"/>
      <c r="K254" s="1003"/>
      <c r="L254" s="1003"/>
      <c r="M254" s="1003"/>
      <c r="N254" s="1003"/>
      <c r="O254" s="1003"/>
      <c r="P254" s="1003"/>
      <c r="Q254" s="1003"/>
    </row>
    <row r="255" spans="1:28" ht="15.75" customHeight="1">
      <c r="C255" s="1003"/>
      <c r="D255" s="1003"/>
      <c r="E255" s="1003"/>
      <c r="F255" s="1003"/>
      <c r="G255" s="1003"/>
      <c r="H255" s="1003"/>
      <c r="I255" s="1003"/>
      <c r="J255" s="1003"/>
      <c r="K255" s="1003"/>
      <c r="L255" s="1003"/>
      <c r="M255" s="1003"/>
      <c r="N255" s="1003"/>
      <c r="O255" s="1003"/>
      <c r="P255" s="1003"/>
      <c r="Q255" s="1003"/>
    </row>
    <row r="256" spans="1:28" ht="15.75" customHeight="1">
      <c r="C256" s="1003"/>
      <c r="D256" s="1003"/>
      <c r="E256" s="1003"/>
      <c r="F256" s="1003"/>
      <c r="G256" s="1003"/>
      <c r="H256" s="1003"/>
      <c r="I256" s="1003"/>
      <c r="J256" s="1003"/>
      <c r="K256" s="1003"/>
      <c r="L256" s="1003"/>
      <c r="M256" s="1003"/>
      <c r="N256" s="1003"/>
      <c r="O256" s="1003"/>
      <c r="P256" s="1003"/>
      <c r="Q256" s="1003"/>
    </row>
    <row r="257" spans="3:17" ht="15.75" customHeight="1">
      <c r="C257" s="1003"/>
      <c r="D257" s="1003"/>
      <c r="E257" s="1003"/>
      <c r="F257" s="1003"/>
      <c r="G257" s="1003"/>
      <c r="H257" s="1003"/>
      <c r="I257" s="1003"/>
      <c r="J257" s="1003"/>
      <c r="K257" s="1003"/>
      <c r="L257" s="1003"/>
      <c r="M257" s="1003"/>
      <c r="N257" s="1003"/>
      <c r="O257" s="1003"/>
      <c r="P257" s="1003"/>
      <c r="Q257" s="1003"/>
    </row>
    <row r="258" spans="3:17" ht="15.75" customHeight="1">
      <c r="C258" s="1003"/>
      <c r="D258" s="1003"/>
      <c r="E258" s="1003"/>
      <c r="F258" s="1003"/>
      <c r="G258" s="1003"/>
      <c r="H258" s="1003"/>
      <c r="I258" s="1003"/>
      <c r="J258" s="1003"/>
      <c r="K258" s="1003"/>
      <c r="L258" s="1003"/>
      <c r="M258" s="1003"/>
      <c r="N258" s="1003"/>
      <c r="O258" s="1003"/>
      <c r="P258" s="1003"/>
      <c r="Q258" s="1003"/>
    </row>
    <row r="259" spans="3:17" ht="15.75" customHeight="1">
      <c r="C259" s="1003"/>
      <c r="D259" s="1003"/>
      <c r="E259" s="1003"/>
      <c r="F259" s="1003"/>
      <c r="G259" s="1003"/>
      <c r="H259" s="1003"/>
      <c r="I259" s="1003"/>
      <c r="J259" s="1003"/>
      <c r="K259" s="1003"/>
      <c r="L259" s="1003"/>
      <c r="M259" s="1003"/>
      <c r="N259" s="1003"/>
      <c r="O259" s="1003"/>
      <c r="P259" s="1003"/>
      <c r="Q259" s="1003"/>
    </row>
    <row r="260" spans="3:17" ht="15.75" customHeight="1">
      <c r="C260" s="1003"/>
      <c r="D260" s="1003"/>
      <c r="E260" s="1003"/>
      <c r="F260" s="1003"/>
      <c r="G260" s="1003"/>
      <c r="H260" s="1003"/>
      <c r="I260" s="1003"/>
      <c r="J260" s="1003"/>
      <c r="K260" s="1003"/>
      <c r="L260" s="1003"/>
      <c r="M260" s="1003"/>
      <c r="N260" s="1003"/>
      <c r="O260" s="1003"/>
      <c r="P260" s="1003"/>
      <c r="Q260" s="1003"/>
    </row>
    <row r="261" spans="3:17" ht="15.75" customHeight="1">
      <c r="C261" s="1003"/>
      <c r="D261" s="1003"/>
      <c r="E261" s="1003"/>
      <c r="F261" s="1003"/>
      <c r="G261" s="1003"/>
      <c r="H261" s="1003"/>
      <c r="I261" s="1003"/>
      <c r="J261" s="1003"/>
      <c r="K261" s="1003"/>
      <c r="L261" s="1003"/>
      <c r="M261" s="1003"/>
      <c r="N261" s="1003"/>
      <c r="O261" s="1003"/>
      <c r="P261" s="1003"/>
      <c r="Q261" s="1003"/>
    </row>
    <row r="262" spans="3:17" ht="15.75" customHeight="1">
      <c r="C262" s="1003"/>
      <c r="D262" s="1003"/>
      <c r="E262" s="1003"/>
      <c r="F262" s="1003"/>
      <c r="G262" s="1003"/>
      <c r="H262" s="1003"/>
      <c r="I262" s="1003"/>
      <c r="J262" s="1003"/>
      <c r="K262" s="1003"/>
      <c r="L262" s="1003"/>
      <c r="M262" s="1003"/>
      <c r="N262" s="1003"/>
      <c r="O262" s="1003"/>
      <c r="P262" s="1003"/>
      <c r="Q262" s="1003"/>
    </row>
    <row r="263" spans="3:17" ht="15.75" customHeight="1">
      <c r="C263" s="1003"/>
      <c r="D263" s="1003"/>
      <c r="E263" s="1003"/>
      <c r="F263" s="1003"/>
      <c r="G263" s="1003"/>
      <c r="H263" s="1003"/>
      <c r="I263" s="1003"/>
      <c r="J263" s="1003"/>
      <c r="K263" s="1003"/>
      <c r="L263" s="1003"/>
      <c r="M263" s="1003"/>
      <c r="N263" s="1003"/>
      <c r="O263" s="1003"/>
      <c r="P263" s="1003"/>
      <c r="Q263" s="1003"/>
    </row>
    <row r="264" spans="3:17" ht="15.75" customHeight="1">
      <c r="C264" s="1003"/>
      <c r="D264" s="1003"/>
      <c r="E264" s="1003"/>
      <c r="F264" s="1003"/>
      <c r="G264" s="1003"/>
      <c r="H264" s="1003"/>
      <c r="I264" s="1003"/>
      <c r="J264" s="1003"/>
      <c r="K264" s="1003"/>
      <c r="L264" s="1003"/>
      <c r="M264" s="1003"/>
      <c r="N264" s="1003"/>
      <c r="O264" s="1003"/>
      <c r="P264" s="1003"/>
      <c r="Q264" s="1003"/>
    </row>
    <row r="265" spans="3:17" ht="15.75" customHeight="1">
      <c r="C265" s="1003"/>
      <c r="D265" s="1003"/>
      <c r="E265" s="1003"/>
      <c r="F265" s="1003"/>
      <c r="G265" s="1003"/>
      <c r="H265" s="1003"/>
      <c r="I265" s="1003"/>
      <c r="J265" s="1003"/>
      <c r="K265" s="1003"/>
      <c r="L265" s="1003"/>
      <c r="M265" s="1003"/>
      <c r="N265" s="1003"/>
      <c r="O265" s="1003"/>
      <c r="P265" s="1003"/>
      <c r="Q265" s="1003"/>
    </row>
    <row r="266" spans="3:17" ht="15.75" customHeight="1">
      <c r="C266" s="1003"/>
      <c r="D266" s="1003"/>
      <c r="E266" s="1003"/>
      <c r="F266" s="1003"/>
      <c r="G266" s="1003"/>
      <c r="H266" s="1003"/>
      <c r="I266" s="1003"/>
      <c r="J266" s="1003"/>
      <c r="K266" s="1003"/>
      <c r="L266" s="1003"/>
      <c r="M266" s="1003"/>
      <c r="N266" s="1003"/>
      <c r="O266" s="1003"/>
      <c r="P266" s="1003"/>
      <c r="Q266" s="1003"/>
    </row>
    <row r="267" spans="3:17" ht="15.75" customHeight="1">
      <c r="C267" s="1003"/>
      <c r="D267" s="1003"/>
      <c r="E267" s="1003"/>
      <c r="F267" s="1003"/>
      <c r="G267" s="1003"/>
      <c r="H267" s="1003"/>
      <c r="I267" s="1003"/>
      <c r="J267" s="1003"/>
      <c r="K267" s="1003"/>
      <c r="L267" s="1003"/>
      <c r="M267" s="1003"/>
      <c r="N267" s="1003"/>
      <c r="O267" s="1003"/>
      <c r="P267" s="1003"/>
      <c r="Q267" s="1003"/>
    </row>
    <row r="268" spans="3:17" ht="15.75" customHeight="1">
      <c r="C268" s="1003"/>
      <c r="D268" s="1003"/>
      <c r="E268" s="1003"/>
      <c r="F268" s="1003"/>
      <c r="G268" s="1003"/>
      <c r="H268" s="1003"/>
      <c r="I268" s="1003"/>
      <c r="J268" s="1003"/>
      <c r="K268" s="1003"/>
      <c r="L268" s="1003"/>
      <c r="M268" s="1003"/>
      <c r="N268" s="1003"/>
      <c r="O268" s="1003"/>
      <c r="P268" s="1003"/>
      <c r="Q268" s="1003"/>
    </row>
    <row r="269" spans="3:17" ht="15.75" customHeight="1">
      <c r="C269" s="1003"/>
      <c r="D269" s="1003"/>
      <c r="E269" s="1003"/>
      <c r="F269" s="1003"/>
      <c r="G269" s="1003"/>
      <c r="H269" s="1003"/>
      <c r="I269" s="1003"/>
      <c r="J269" s="1003"/>
      <c r="K269" s="1003"/>
      <c r="L269" s="1003"/>
      <c r="M269" s="1003"/>
      <c r="N269" s="1003"/>
      <c r="O269" s="1003"/>
      <c r="P269" s="1003"/>
      <c r="Q269" s="1003"/>
    </row>
    <row r="270" spans="3:17" ht="15.75" customHeight="1">
      <c r="C270" s="1003"/>
      <c r="D270" s="1003"/>
      <c r="E270" s="1003"/>
      <c r="F270" s="1003"/>
      <c r="G270" s="1003"/>
      <c r="H270" s="1003"/>
      <c r="I270" s="1003"/>
      <c r="J270" s="1003"/>
      <c r="K270" s="1003"/>
      <c r="L270" s="1003"/>
      <c r="M270" s="1003"/>
      <c r="N270" s="1003"/>
      <c r="O270" s="1003"/>
      <c r="P270" s="1003"/>
      <c r="Q270" s="1003"/>
    </row>
    <row r="271" spans="3:17" ht="15.75" customHeight="1">
      <c r="C271" s="1003"/>
      <c r="D271" s="1003"/>
      <c r="E271" s="1003"/>
      <c r="F271" s="1003"/>
      <c r="G271" s="1003"/>
      <c r="H271" s="1003"/>
      <c r="I271" s="1003"/>
      <c r="J271" s="1003"/>
      <c r="K271" s="1003"/>
      <c r="L271" s="1003"/>
      <c r="M271" s="1003"/>
      <c r="N271" s="1003"/>
      <c r="O271" s="1003"/>
      <c r="P271" s="1003"/>
      <c r="Q271" s="1003"/>
    </row>
    <row r="272" spans="3:17" ht="15.75" customHeight="1">
      <c r="C272" s="1003"/>
      <c r="D272" s="1003"/>
      <c r="E272" s="1003"/>
      <c r="F272" s="1003"/>
      <c r="G272" s="1003"/>
      <c r="H272" s="1003"/>
      <c r="I272" s="1003"/>
      <c r="J272" s="1003"/>
      <c r="K272" s="1003"/>
      <c r="L272" s="1003"/>
      <c r="M272" s="1003"/>
      <c r="N272" s="1003"/>
      <c r="O272" s="1003"/>
      <c r="P272" s="1003"/>
      <c r="Q272" s="1003"/>
    </row>
    <row r="273" spans="3:17" ht="15.75" customHeight="1">
      <c r="C273" s="1003"/>
      <c r="D273" s="1003"/>
      <c r="E273" s="1003"/>
      <c r="F273" s="1003"/>
      <c r="G273" s="1003"/>
      <c r="H273" s="1003"/>
      <c r="I273" s="1003"/>
      <c r="J273" s="1003"/>
      <c r="K273" s="1003"/>
      <c r="L273" s="1003"/>
      <c r="M273" s="1003"/>
      <c r="N273" s="1003"/>
      <c r="O273" s="1003"/>
      <c r="P273" s="1003"/>
      <c r="Q273" s="1003"/>
    </row>
    <row r="274" spans="3:17" ht="15.75" customHeight="1">
      <c r="C274" s="1003"/>
      <c r="D274" s="1003"/>
      <c r="E274" s="1003"/>
      <c r="F274" s="1003"/>
      <c r="G274" s="1003"/>
      <c r="H274" s="1003"/>
      <c r="I274" s="1003"/>
      <c r="J274" s="1003"/>
      <c r="K274" s="1003"/>
      <c r="L274" s="1003"/>
      <c r="M274" s="1003"/>
      <c r="N274" s="1003"/>
      <c r="O274" s="1003"/>
      <c r="P274" s="1003"/>
      <c r="Q274" s="1003"/>
    </row>
    <row r="275" spans="3:17" ht="15.75" customHeight="1">
      <c r="C275" s="1003"/>
      <c r="D275" s="1003"/>
      <c r="E275" s="1003"/>
      <c r="F275" s="1003"/>
      <c r="G275" s="1003"/>
      <c r="H275" s="1003"/>
      <c r="I275" s="1003"/>
      <c r="J275" s="1003"/>
      <c r="K275" s="1003"/>
      <c r="L275" s="1003"/>
      <c r="M275" s="1003"/>
      <c r="N275" s="1003"/>
      <c r="O275" s="1003"/>
      <c r="P275" s="1003"/>
      <c r="Q275" s="1003"/>
    </row>
    <row r="276" spans="3:17" ht="15.75" customHeight="1">
      <c r="C276" s="1003"/>
      <c r="D276" s="1003"/>
      <c r="E276" s="1003"/>
      <c r="F276" s="1003"/>
      <c r="G276" s="1003"/>
      <c r="H276" s="1003"/>
      <c r="I276" s="1003"/>
      <c r="J276" s="1003"/>
      <c r="K276" s="1003"/>
      <c r="L276" s="1003"/>
      <c r="M276" s="1003"/>
      <c r="N276" s="1003"/>
      <c r="O276" s="1003"/>
      <c r="P276" s="1003"/>
      <c r="Q276" s="1003"/>
    </row>
    <row r="277" spans="3:17" ht="15.75" customHeight="1">
      <c r="C277" s="1003"/>
      <c r="D277" s="1003"/>
      <c r="E277" s="1003"/>
      <c r="F277" s="1003"/>
      <c r="G277" s="1003"/>
      <c r="H277" s="1003"/>
      <c r="I277" s="1003"/>
      <c r="J277" s="1003"/>
      <c r="K277" s="1003"/>
      <c r="L277" s="1003"/>
      <c r="M277" s="1003"/>
      <c r="N277" s="1003"/>
      <c r="O277" s="1003"/>
      <c r="P277" s="1003"/>
      <c r="Q277" s="1003"/>
    </row>
    <row r="278" spans="3:17" ht="15.75" customHeight="1">
      <c r="C278" s="1003"/>
      <c r="D278" s="1003"/>
      <c r="E278" s="1003"/>
      <c r="F278" s="1003"/>
      <c r="G278" s="1003"/>
      <c r="H278" s="1003"/>
      <c r="I278" s="1003"/>
      <c r="J278" s="1003"/>
      <c r="K278" s="1003"/>
      <c r="L278" s="1003"/>
      <c r="M278" s="1003"/>
      <c r="N278" s="1003"/>
      <c r="O278" s="1003"/>
      <c r="P278" s="1003"/>
      <c r="Q278" s="1003"/>
    </row>
    <row r="279" spans="3:17" ht="15.75" customHeight="1">
      <c r="C279" s="1003"/>
      <c r="D279" s="1003"/>
      <c r="E279" s="1003"/>
      <c r="F279" s="1003"/>
      <c r="G279" s="1003"/>
      <c r="H279" s="1003"/>
      <c r="I279" s="1003"/>
      <c r="J279" s="1003"/>
      <c r="K279" s="1003"/>
      <c r="L279" s="1003"/>
      <c r="M279" s="1003"/>
      <c r="N279" s="1003"/>
      <c r="O279" s="1003"/>
      <c r="P279" s="1003"/>
      <c r="Q279" s="1003"/>
    </row>
    <row r="280" spans="3:17" ht="15.75" customHeight="1">
      <c r="C280" s="1003"/>
      <c r="D280" s="1003"/>
      <c r="E280" s="1003"/>
      <c r="F280" s="1003"/>
      <c r="G280" s="1003"/>
      <c r="H280" s="1003"/>
      <c r="I280" s="1003"/>
      <c r="J280" s="1003"/>
      <c r="K280" s="1003"/>
      <c r="L280" s="1003"/>
      <c r="M280" s="1003"/>
      <c r="N280" s="1003"/>
      <c r="O280" s="1003"/>
      <c r="P280" s="1003"/>
      <c r="Q280" s="1003"/>
    </row>
    <row r="281" spans="3:17" ht="15.75" customHeight="1">
      <c r="C281" s="1003"/>
      <c r="D281" s="1003"/>
      <c r="E281" s="1003"/>
      <c r="F281" s="1003"/>
      <c r="G281" s="1003"/>
      <c r="H281" s="1003"/>
      <c r="I281" s="1003"/>
      <c r="J281" s="1003"/>
      <c r="K281" s="1003"/>
      <c r="L281" s="1003"/>
      <c r="M281" s="1003"/>
      <c r="N281" s="1003"/>
      <c r="O281" s="1003"/>
      <c r="P281" s="1003"/>
      <c r="Q281" s="1003"/>
    </row>
    <row r="282" spans="3:17" ht="15.75" customHeight="1">
      <c r="C282" s="1003"/>
      <c r="D282" s="1003"/>
      <c r="E282" s="1003"/>
      <c r="F282" s="1003"/>
      <c r="G282" s="1003"/>
      <c r="H282" s="1003"/>
      <c r="I282" s="1003"/>
      <c r="J282" s="1003"/>
      <c r="K282" s="1003"/>
      <c r="L282" s="1003"/>
      <c r="M282" s="1003"/>
      <c r="N282" s="1003"/>
      <c r="O282" s="1003"/>
      <c r="P282" s="1003"/>
      <c r="Q282" s="1003"/>
    </row>
    <row r="283" spans="3:17" ht="15.75" customHeight="1">
      <c r="C283" s="1003"/>
      <c r="D283" s="1003"/>
      <c r="E283" s="1003"/>
      <c r="F283" s="1003"/>
      <c r="G283" s="1003"/>
      <c r="H283" s="1003"/>
      <c r="I283" s="1003"/>
      <c r="J283" s="1003"/>
      <c r="K283" s="1003"/>
      <c r="L283" s="1003"/>
      <c r="M283" s="1003"/>
      <c r="N283" s="1003"/>
      <c r="O283" s="1003"/>
      <c r="P283" s="1003"/>
      <c r="Q283" s="1003"/>
    </row>
    <row r="284" spans="3:17" ht="15.75" customHeight="1">
      <c r="C284" s="1003"/>
      <c r="D284" s="1003"/>
      <c r="E284" s="1003"/>
      <c r="F284" s="1003"/>
      <c r="G284" s="1003"/>
      <c r="H284" s="1003"/>
      <c r="I284" s="1003"/>
      <c r="J284" s="1003"/>
      <c r="K284" s="1003"/>
      <c r="L284" s="1003"/>
      <c r="M284" s="1003"/>
      <c r="N284" s="1003"/>
      <c r="O284" s="1003"/>
      <c r="P284" s="1003"/>
      <c r="Q284" s="1003"/>
    </row>
    <row r="285" spans="3:17" ht="15.75" customHeight="1">
      <c r="C285" s="1003"/>
      <c r="D285" s="1003"/>
      <c r="E285" s="1003"/>
      <c r="F285" s="1003"/>
      <c r="G285" s="1003"/>
      <c r="H285" s="1003"/>
      <c r="I285" s="1003"/>
      <c r="J285" s="1003"/>
      <c r="K285" s="1003"/>
      <c r="L285" s="1003"/>
      <c r="M285" s="1003"/>
      <c r="N285" s="1003"/>
      <c r="O285" s="1003"/>
      <c r="P285" s="1003"/>
      <c r="Q285" s="1003"/>
    </row>
    <row r="286" spans="3:17" ht="15.75" customHeight="1">
      <c r="C286" s="1003"/>
      <c r="D286" s="1003"/>
      <c r="E286" s="1003"/>
      <c r="F286" s="1003"/>
      <c r="G286" s="1003"/>
      <c r="H286" s="1003"/>
      <c r="I286" s="1003"/>
      <c r="J286" s="1003"/>
      <c r="K286" s="1003"/>
      <c r="L286" s="1003"/>
      <c r="M286" s="1003"/>
      <c r="N286" s="1003"/>
      <c r="O286" s="1003"/>
      <c r="P286" s="1003"/>
      <c r="Q286" s="1003"/>
    </row>
    <row r="287" spans="3:17" ht="15.75" customHeight="1">
      <c r="C287" s="1003"/>
      <c r="D287" s="1003"/>
      <c r="E287" s="1003"/>
      <c r="F287" s="1003"/>
      <c r="G287" s="1003"/>
      <c r="H287" s="1003"/>
      <c r="I287" s="1003"/>
      <c r="J287" s="1003"/>
      <c r="K287" s="1003"/>
      <c r="L287" s="1003"/>
      <c r="M287" s="1003"/>
      <c r="N287" s="1003"/>
      <c r="O287" s="1003"/>
      <c r="P287" s="1003"/>
      <c r="Q287" s="1003"/>
    </row>
    <row r="288" spans="3:17" ht="15.75" customHeight="1">
      <c r="C288" s="1003"/>
      <c r="D288" s="1003"/>
      <c r="E288" s="1003"/>
      <c r="F288" s="1003"/>
      <c r="G288" s="1003"/>
      <c r="H288" s="1003"/>
      <c r="I288" s="1003"/>
      <c r="J288" s="1003"/>
      <c r="K288" s="1003"/>
      <c r="L288" s="1003"/>
      <c r="M288" s="1003"/>
      <c r="N288" s="1003"/>
      <c r="O288" s="1003"/>
      <c r="P288" s="1003"/>
      <c r="Q288" s="1003"/>
    </row>
    <row r="289" spans="3:17" ht="15.75" customHeight="1">
      <c r="C289" s="1003"/>
      <c r="D289" s="1003"/>
      <c r="E289" s="1003"/>
      <c r="F289" s="1003"/>
      <c r="G289" s="1003"/>
      <c r="H289" s="1003"/>
      <c r="I289" s="1003"/>
      <c r="J289" s="1003"/>
      <c r="K289" s="1003"/>
      <c r="L289" s="1003"/>
      <c r="M289" s="1003"/>
      <c r="N289" s="1003"/>
      <c r="O289" s="1003"/>
      <c r="P289" s="1003"/>
      <c r="Q289" s="1003"/>
    </row>
    <row r="290" spans="3:17" ht="15.75" customHeight="1">
      <c r="C290" s="1003"/>
      <c r="D290" s="1003"/>
      <c r="E290" s="1003"/>
      <c r="F290" s="1003"/>
      <c r="G290" s="1003"/>
      <c r="H290" s="1003"/>
      <c r="I290" s="1003"/>
      <c r="J290" s="1003"/>
      <c r="K290" s="1003"/>
      <c r="L290" s="1003"/>
      <c r="M290" s="1003"/>
      <c r="N290" s="1003"/>
      <c r="O290" s="1003"/>
      <c r="P290" s="1003"/>
      <c r="Q290" s="1003"/>
    </row>
    <row r="291" spans="3:17" ht="15.75" customHeight="1">
      <c r="C291" s="1003"/>
      <c r="D291" s="1003"/>
      <c r="E291" s="1003"/>
      <c r="F291" s="1003"/>
      <c r="G291" s="1003"/>
      <c r="H291" s="1003"/>
      <c r="I291" s="1003"/>
      <c r="J291" s="1003"/>
      <c r="K291" s="1003"/>
      <c r="L291" s="1003"/>
      <c r="M291" s="1003"/>
      <c r="N291" s="1003"/>
      <c r="O291" s="1003"/>
      <c r="P291" s="1003"/>
      <c r="Q291" s="1003"/>
    </row>
    <row r="292" spans="3:17" ht="15.75" customHeight="1">
      <c r="C292" s="1003"/>
      <c r="D292" s="1003"/>
      <c r="E292" s="1003"/>
      <c r="F292" s="1003"/>
      <c r="G292" s="1003"/>
      <c r="H292" s="1003"/>
      <c r="I292" s="1003"/>
      <c r="J292" s="1003"/>
      <c r="K292" s="1003"/>
      <c r="L292" s="1003"/>
      <c r="M292" s="1003"/>
      <c r="N292" s="1003"/>
      <c r="O292" s="1003"/>
      <c r="P292" s="1003"/>
      <c r="Q292" s="1003"/>
    </row>
    <row r="293" spans="3:17" ht="15.75" customHeight="1">
      <c r="C293" s="1003"/>
      <c r="D293" s="1003"/>
      <c r="E293" s="1003"/>
      <c r="F293" s="1003"/>
      <c r="G293" s="1003"/>
      <c r="H293" s="1003"/>
      <c r="I293" s="1003"/>
      <c r="J293" s="1003"/>
      <c r="K293" s="1003"/>
      <c r="L293" s="1003"/>
      <c r="M293" s="1003"/>
      <c r="N293" s="1003"/>
      <c r="O293" s="1003"/>
      <c r="P293" s="1003"/>
      <c r="Q293" s="1003"/>
    </row>
    <row r="294" spans="3:17" ht="15.75" customHeight="1">
      <c r="C294" s="1003"/>
      <c r="D294" s="1003"/>
      <c r="E294" s="1003"/>
      <c r="F294" s="1003"/>
      <c r="G294" s="1003"/>
      <c r="H294" s="1003"/>
      <c r="I294" s="1003"/>
      <c r="J294" s="1003"/>
      <c r="K294" s="1003"/>
      <c r="L294" s="1003"/>
      <c r="M294" s="1003"/>
      <c r="N294" s="1003"/>
      <c r="O294" s="1003"/>
      <c r="P294" s="1003"/>
      <c r="Q294" s="1003"/>
    </row>
    <row r="295" spans="3:17" ht="15.75" customHeight="1">
      <c r="C295" s="1003"/>
      <c r="D295" s="1003"/>
      <c r="E295" s="1003"/>
      <c r="F295" s="1003"/>
      <c r="G295" s="1003"/>
      <c r="H295" s="1003"/>
      <c r="I295" s="1003"/>
      <c r="J295" s="1003"/>
      <c r="K295" s="1003"/>
      <c r="L295" s="1003"/>
      <c r="M295" s="1003"/>
      <c r="N295" s="1003"/>
      <c r="O295" s="1003"/>
      <c r="P295" s="1003"/>
      <c r="Q295" s="1003"/>
    </row>
    <row r="296" spans="3:17" ht="15.75" customHeight="1">
      <c r="C296" s="1003"/>
      <c r="D296" s="1003"/>
      <c r="E296" s="1003"/>
      <c r="F296" s="1003"/>
      <c r="G296" s="1003"/>
      <c r="H296" s="1003"/>
      <c r="I296" s="1003"/>
      <c r="J296" s="1003"/>
      <c r="K296" s="1003"/>
      <c r="L296" s="1003"/>
      <c r="M296" s="1003"/>
      <c r="N296" s="1003"/>
      <c r="O296" s="1003"/>
      <c r="P296" s="1003"/>
      <c r="Q296" s="1003"/>
    </row>
    <row r="297" spans="3:17" ht="15.75" customHeight="1">
      <c r="C297" s="1003"/>
      <c r="D297" s="1003"/>
      <c r="E297" s="1003"/>
      <c r="F297" s="1003"/>
      <c r="G297" s="1003"/>
      <c r="H297" s="1003"/>
      <c r="I297" s="1003"/>
      <c r="J297" s="1003"/>
      <c r="K297" s="1003"/>
      <c r="L297" s="1003"/>
      <c r="M297" s="1003"/>
      <c r="N297" s="1003"/>
      <c r="O297" s="1003"/>
      <c r="P297" s="1003"/>
      <c r="Q297" s="1003"/>
    </row>
    <row r="298" spans="3:17" ht="15.75" customHeight="1">
      <c r="C298" s="1003"/>
      <c r="D298" s="1003"/>
      <c r="E298" s="1003"/>
      <c r="F298" s="1003"/>
      <c r="G298" s="1003"/>
      <c r="H298" s="1003"/>
      <c r="I298" s="1003"/>
      <c r="J298" s="1003"/>
      <c r="K298" s="1003"/>
      <c r="L298" s="1003"/>
      <c r="M298" s="1003"/>
      <c r="N298" s="1003"/>
      <c r="O298" s="1003"/>
      <c r="P298" s="1003"/>
      <c r="Q298" s="1003"/>
    </row>
    <row r="299" spans="3:17" ht="15.75" customHeight="1">
      <c r="C299" s="1003"/>
      <c r="D299" s="1003"/>
      <c r="E299" s="1003"/>
      <c r="F299" s="1003"/>
      <c r="G299" s="1003"/>
      <c r="H299" s="1003"/>
      <c r="I299" s="1003"/>
      <c r="J299" s="1003"/>
      <c r="K299" s="1003"/>
      <c r="L299" s="1003"/>
      <c r="M299" s="1003"/>
      <c r="N299" s="1003"/>
      <c r="O299" s="1003"/>
      <c r="P299" s="1003"/>
      <c r="Q299" s="1003"/>
    </row>
    <row r="300" spans="3:17" ht="15.75" customHeight="1">
      <c r="C300" s="1003"/>
      <c r="D300" s="1003"/>
      <c r="E300" s="1003"/>
      <c r="F300" s="1003"/>
      <c r="G300" s="1003"/>
      <c r="H300" s="1003"/>
      <c r="I300" s="1003"/>
      <c r="J300" s="1003"/>
      <c r="K300" s="1003"/>
      <c r="L300" s="1003"/>
      <c r="M300" s="1003"/>
      <c r="N300" s="1003"/>
      <c r="O300" s="1003"/>
      <c r="P300" s="1003"/>
      <c r="Q300" s="1003"/>
    </row>
    <row r="301" spans="3:17" ht="15.75" customHeight="1">
      <c r="C301" s="1003"/>
      <c r="D301" s="1003"/>
      <c r="E301" s="1003"/>
      <c r="F301" s="1003"/>
      <c r="G301" s="1003"/>
      <c r="H301" s="1003"/>
      <c r="I301" s="1003"/>
      <c r="J301" s="1003"/>
      <c r="K301" s="1003"/>
      <c r="L301" s="1003"/>
      <c r="M301" s="1003"/>
      <c r="N301" s="1003"/>
      <c r="O301" s="1003"/>
      <c r="P301" s="1003"/>
      <c r="Q301" s="1003"/>
    </row>
    <row r="302" spans="3:17" ht="15.75" customHeight="1">
      <c r="C302" s="1003"/>
      <c r="D302" s="1003"/>
      <c r="E302" s="1003"/>
      <c r="F302" s="1003"/>
      <c r="G302" s="1003"/>
      <c r="H302" s="1003"/>
      <c r="I302" s="1003"/>
      <c r="J302" s="1003"/>
      <c r="K302" s="1003"/>
      <c r="L302" s="1003"/>
      <c r="M302" s="1003"/>
      <c r="N302" s="1003"/>
      <c r="O302" s="1003"/>
      <c r="P302" s="1003"/>
      <c r="Q302" s="1003"/>
    </row>
    <row r="303" spans="3:17" ht="15.75" customHeight="1">
      <c r="C303" s="1003"/>
      <c r="D303" s="1003"/>
      <c r="E303" s="1003"/>
      <c r="F303" s="1003"/>
      <c r="G303" s="1003"/>
      <c r="H303" s="1003"/>
      <c r="I303" s="1003"/>
      <c r="J303" s="1003"/>
      <c r="K303" s="1003"/>
      <c r="L303" s="1003"/>
      <c r="M303" s="1003"/>
      <c r="N303" s="1003"/>
      <c r="O303" s="1003"/>
      <c r="P303" s="1003"/>
      <c r="Q303" s="1003"/>
    </row>
    <row r="304" spans="3:17" ht="15.75" customHeight="1">
      <c r="C304" s="1003"/>
      <c r="D304" s="1003"/>
      <c r="E304" s="1003"/>
      <c r="F304" s="1003"/>
      <c r="G304" s="1003"/>
      <c r="H304" s="1003"/>
      <c r="I304" s="1003"/>
      <c r="J304" s="1003"/>
      <c r="K304" s="1003"/>
      <c r="L304" s="1003"/>
      <c r="M304" s="1003"/>
      <c r="N304" s="1003"/>
      <c r="O304" s="1003"/>
      <c r="P304" s="1003"/>
      <c r="Q304" s="1003"/>
    </row>
    <row r="305" spans="3:17" ht="15.75" customHeight="1">
      <c r="C305" s="1003"/>
      <c r="D305" s="1003"/>
      <c r="E305" s="1003"/>
      <c r="F305" s="1003"/>
      <c r="G305" s="1003"/>
      <c r="H305" s="1003"/>
      <c r="I305" s="1003"/>
      <c r="J305" s="1003"/>
      <c r="K305" s="1003"/>
      <c r="L305" s="1003"/>
      <c r="M305" s="1003"/>
      <c r="N305" s="1003"/>
      <c r="O305" s="1003"/>
      <c r="P305" s="1003"/>
      <c r="Q305" s="1003"/>
    </row>
    <row r="306" spans="3:17" ht="15.75" customHeight="1">
      <c r="C306" s="1003"/>
      <c r="D306" s="1003"/>
      <c r="E306" s="1003"/>
      <c r="F306" s="1003"/>
      <c r="G306" s="1003"/>
      <c r="H306" s="1003"/>
      <c r="I306" s="1003"/>
      <c r="J306" s="1003"/>
      <c r="K306" s="1003"/>
      <c r="L306" s="1003"/>
      <c r="M306" s="1003"/>
      <c r="N306" s="1003"/>
      <c r="O306" s="1003"/>
      <c r="P306" s="1003"/>
      <c r="Q306" s="1003"/>
    </row>
    <row r="307" spans="3:17" ht="15.75" customHeight="1">
      <c r="C307" s="1003"/>
      <c r="D307" s="1003"/>
      <c r="E307" s="1003"/>
      <c r="F307" s="1003"/>
      <c r="G307" s="1003"/>
      <c r="H307" s="1003"/>
      <c r="I307" s="1003"/>
      <c r="J307" s="1003"/>
      <c r="K307" s="1003"/>
      <c r="L307" s="1003"/>
      <c r="M307" s="1003"/>
      <c r="N307" s="1003"/>
      <c r="O307" s="1003"/>
      <c r="P307" s="1003"/>
      <c r="Q307" s="1003"/>
    </row>
    <row r="308" spans="3:17" ht="15.75" customHeight="1">
      <c r="C308" s="1003"/>
      <c r="D308" s="1003"/>
      <c r="E308" s="1003"/>
      <c r="F308" s="1003"/>
      <c r="G308" s="1003"/>
      <c r="H308" s="1003"/>
      <c r="I308" s="1003"/>
      <c r="J308" s="1003"/>
      <c r="K308" s="1003"/>
      <c r="L308" s="1003"/>
      <c r="M308" s="1003"/>
      <c r="N308" s="1003"/>
      <c r="O308" s="1003"/>
      <c r="P308" s="1003"/>
      <c r="Q308" s="1003"/>
    </row>
    <row r="309" spans="3:17" ht="15.75" customHeight="1">
      <c r="C309" s="1003"/>
      <c r="D309" s="1003"/>
      <c r="E309" s="1003"/>
      <c r="F309" s="1003"/>
      <c r="G309" s="1003"/>
      <c r="H309" s="1003"/>
      <c r="I309" s="1003"/>
      <c r="J309" s="1003"/>
      <c r="K309" s="1003"/>
      <c r="L309" s="1003"/>
      <c r="M309" s="1003"/>
      <c r="N309" s="1003"/>
      <c r="O309" s="1003"/>
      <c r="P309" s="1003"/>
      <c r="Q309" s="1003"/>
    </row>
    <row r="310" spans="3:17" ht="15.75" customHeight="1">
      <c r="C310" s="1003"/>
      <c r="D310" s="1003"/>
      <c r="E310" s="1003"/>
      <c r="F310" s="1003"/>
      <c r="G310" s="1003"/>
      <c r="H310" s="1003"/>
      <c r="I310" s="1003"/>
      <c r="J310" s="1003"/>
      <c r="K310" s="1003"/>
      <c r="L310" s="1003"/>
      <c r="M310" s="1003"/>
      <c r="N310" s="1003"/>
      <c r="O310" s="1003"/>
      <c r="P310" s="1003"/>
      <c r="Q310" s="1003"/>
    </row>
    <row r="311" spans="3:17" ht="15.75" customHeight="1">
      <c r="C311" s="1003"/>
      <c r="D311" s="1003"/>
      <c r="E311" s="1003"/>
      <c r="F311" s="1003"/>
      <c r="G311" s="1003"/>
      <c r="H311" s="1003"/>
      <c r="I311" s="1003"/>
      <c r="J311" s="1003"/>
      <c r="K311" s="1003"/>
      <c r="L311" s="1003"/>
      <c r="M311" s="1003"/>
      <c r="N311" s="1003"/>
      <c r="O311" s="1003"/>
      <c r="P311" s="1003"/>
      <c r="Q311" s="1003"/>
    </row>
    <row r="312" spans="3:17" ht="15.75" customHeight="1">
      <c r="C312" s="1003"/>
      <c r="D312" s="1003"/>
      <c r="E312" s="1003"/>
      <c r="F312" s="1003"/>
      <c r="G312" s="1003"/>
      <c r="H312" s="1003"/>
      <c r="I312" s="1003"/>
      <c r="J312" s="1003"/>
      <c r="K312" s="1003"/>
      <c r="L312" s="1003"/>
      <c r="M312" s="1003"/>
      <c r="N312" s="1003"/>
      <c r="O312" s="1003"/>
      <c r="P312" s="1003"/>
      <c r="Q312" s="1003"/>
    </row>
    <row r="313" spans="3:17" ht="15.75" customHeight="1">
      <c r="C313" s="1003"/>
      <c r="D313" s="1003"/>
      <c r="E313" s="1003"/>
      <c r="F313" s="1003"/>
      <c r="G313" s="1003"/>
      <c r="H313" s="1003"/>
      <c r="I313" s="1003"/>
      <c r="J313" s="1003"/>
      <c r="K313" s="1003"/>
      <c r="L313" s="1003"/>
      <c r="M313" s="1003"/>
      <c r="N313" s="1003"/>
      <c r="O313" s="1003"/>
      <c r="P313" s="1003"/>
      <c r="Q313" s="1003"/>
    </row>
    <row r="314" spans="3:17" ht="15.75" customHeight="1">
      <c r="C314" s="1003"/>
      <c r="D314" s="1003"/>
      <c r="E314" s="1003"/>
      <c r="F314" s="1003"/>
      <c r="G314" s="1003"/>
      <c r="H314" s="1003"/>
      <c r="I314" s="1003"/>
      <c r="J314" s="1003"/>
      <c r="K314" s="1003"/>
      <c r="L314" s="1003"/>
      <c r="M314" s="1003"/>
      <c r="N314" s="1003"/>
      <c r="O314" s="1003"/>
      <c r="P314" s="1003"/>
      <c r="Q314" s="1003"/>
    </row>
    <row r="315" spans="3:17" ht="15.75" customHeight="1">
      <c r="C315" s="1003"/>
      <c r="D315" s="1003"/>
      <c r="E315" s="1003"/>
      <c r="F315" s="1003"/>
      <c r="G315" s="1003"/>
      <c r="H315" s="1003"/>
      <c r="I315" s="1003"/>
      <c r="J315" s="1003"/>
      <c r="K315" s="1003"/>
      <c r="L315" s="1003"/>
      <c r="M315" s="1003"/>
      <c r="N315" s="1003"/>
      <c r="O315" s="1003"/>
      <c r="P315" s="1003"/>
      <c r="Q315" s="1003"/>
    </row>
    <row r="316" spans="3:17" ht="15.75" customHeight="1">
      <c r="C316" s="1003"/>
      <c r="D316" s="1003"/>
      <c r="E316" s="1003"/>
      <c r="F316" s="1003"/>
      <c r="G316" s="1003"/>
      <c r="H316" s="1003"/>
      <c r="I316" s="1003"/>
      <c r="J316" s="1003"/>
      <c r="K316" s="1003"/>
      <c r="L316" s="1003"/>
      <c r="M316" s="1003"/>
      <c r="N316" s="1003"/>
      <c r="O316" s="1003"/>
      <c r="P316" s="1003"/>
      <c r="Q316" s="1003"/>
    </row>
    <row r="317" spans="3:17" ht="15.75" customHeight="1">
      <c r="C317" s="1003"/>
      <c r="D317" s="1003"/>
      <c r="E317" s="1003"/>
      <c r="F317" s="1003"/>
      <c r="G317" s="1003"/>
      <c r="H317" s="1003"/>
      <c r="I317" s="1003"/>
      <c r="J317" s="1003"/>
      <c r="K317" s="1003"/>
      <c r="L317" s="1003"/>
      <c r="M317" s="1003"/>
      <c r="N317" s="1003"/>
      <c r="O317" s="1003"/>
      <c r="P317" s="1003"/>
      <c r="Q317" s="1003"/>
    </row>
    <row r="318" spans="3:17" ht="15.75" customHeight="1">
      <c r="C318" s="1003"/>
      <c r="D318" s="1003"/>
      <c r="E318" s="1003"/>
      <c r="F318" s="1003"/>
      <c r="G318" s="1003"/>
      <c r="H318" s="1003"/>
      <c r="I318" s="1003"/>
      <c r="J318" s="1003"/>
      <c r="K318" s="1003"/>
      <c r="L318" s="1003"/>
      <c r="M318" s="1003"/>
      <c r="N318" s="1003"/>
      <c r="O318" s="1003"/>
      <c r="P318" s="1003"/>
      <c r="Q318" s="1003"/>
    </row>
    <row r="319" spans="3:17" ht="15.75" customHeight="1">
      <c r="C319" s="1003"/>
      <c r="D319" s="1003"/>
      <c r="E319" s="1003"/>
      <c r="F319" s="1003"/>
      <c r="G319" s="1003"/>
      <c r="H319" s="1003"/>
      <c r="I319" s="1003"/>
      <c r="J319" s="1003"/>
      <c r="K319" s="1003"/>
      <c r="L319" s="1003"/>
      <c r="M319" s="1003"/>
      <c r="N319" s="1003"/>
      <c r="O319" s="1003"/>
      <c r="P319" s="1003"/>
      <c r="Q319" s="1003"/>
    </row>
    <row r="320" spans="3:17" ht="15.75" customHeight="1">
      <c r="C320" s="1003"/>
      <c r="D320" s="1003"/>
      <c r="E320" s="1003"/>
      <c r="F320" s="1003"/>
      <c r="G320" s="1003"/>
      <c r="H320" s="1003"/>
      <c r="I320" s="1003"/>
      <c r="J320" s="1003"/>
      <c r="K320" s="1003"/>
      <c r="L320" s="1003"/>
      <c r="M320" s="1003"/>
      <c r="N320" s="1003"/>
      <c r="O320" s="1003"/>
      <c r="P320" s="1003"/>
      <c r="Q320" s="1003"/>
    </row>
    <row r="321" spans="3:17" ht="15.75" customHeight="1">
      <c r="C321" s="1003"/>
      <c r="D321" s="1003"/>
      <c r="E321" s="1003"/>
      <c r="F321" s="1003"/>
      <c r="G321" s="1003"/>
      <c r="H321" s="1003"/>
      <c r="I321" s="1003"/>
      <c r="J321" s="1003"/>
      <c r="K321" s="1003"/>
      <c r="L321" s="1003"/>
      <c r="M321" s="1003"/>
      <c r="N321" s="1003"/>
      <c r="O321" s="1003"/>
      <c r="P321" s="1003"/>
      <c r="Q321" s="1003"/>
    </row>
    <row r="322" spans="3:17" ht="15.75" customHeight="1">
      <c r="C322" s="1003"/>
      <c r="D322" s="1003"/>
      <c r="E322" s="1003"/>
      <c r="F322" s="1003"/>
      <c r="G322" s="1003"/>
      <c r="H322" s="1003"/>
      <c r="I322" s="1003"/>
      <c r="J322" s="1003"/>
      <c r="K322" s="1003"/>
      <c r="L322" s="1003"/>
      <c r="M322" s="1003"/>
      <c r="N322" s="1003"/>
      <c r="O322" s="1003"/>
      <c r="P322" s="1003"/>
      <c r="Q322" s="1003"/>
    </row>
    <row r="323" spans="3:17" ht="15.75" customHeight="1">
      <c r="C323" s="1003"/>
      <c r="D323" s="1003"/>
      <c r="E323" s="1003"/>
      <c r="F323" s="1003"/>
      <c r="G323" s="1003"/>
      <c r="H323" s="1003"/>
      <c r="I323" s="1003"/>
      <c r="J323" s="1003"/>
      <c r="K323" s="1003"/>
      <c r="L323" s="1003"/>
      <c r="M323" s="1003"/>
      <c r="N323" s="1003"/>
      <c r="O323" s="1003"/>
      <c r="P323" s="1003"/>
      <c r="Q323" s="1003"/>
    </row>
    <row r="324" spans="3:17" ht="15.75" customHeight="1">
      <c r="C324" s="1003"/>
      <c r="D324" s="1003"/>
      <c r="E324" s="1003"/>
      <c r="F324" s="1003"/>
      <c r="G324" s="1003"/>
      <c r="H324" s="1003"/>
      <c r="I324" s="1003"/>
      <c r="J324" s="1003"/>
      <c r="K324" s="1003"/>
      <c r="L324" s="1003"/>
      <c r="M324" s="1003"/>
      <c r="N324" s="1003"/>
      <c r="O324" s="1003"/>
      <c r="P324" s="1003"/>
      <c r="Q324" s="1003"/>
    </row>
    <row r="325" spans="3:17" ht="15.75" customHeight="1">
      <c r="C325" s="1003"/>
      <c r="D325" s="1003"/>
      <c r="E325" s="1003"/>
      <c r="F325" s="1003"/>
      <c r="G325" s="1003"/>
      <c r="H325" s="1003"/>
      <c r="I325" s="1003"/>
      <c r="J325" s="1003"/>
      <c r="K325" s="1003"/>
      <c r="L325" s="1003"/>
      <c r="M325" s="1003"/>
      <c r="N325" s="1003"/>
      <c r="O325" s="1003"/>
      <c r="P325" s="1003"/>
      <c r="Q325" s="1003"/>
    </row>
    <row r="326" spans="3:17" ht="15.75" customHeight="1">
      <c r="C326" s="1003"/>
      <c r="D326" s="1003"/>
      <c r="E326" s="1003"/>
      <c r="F326" s="1003"/>
      <c r="G326" s="1003"/>
      <c r="H326" s="1003"/>
      <c r="I326" s="1003"/>
      <c r="J326" s="1003"/>
      <c r="K326" s="1003"/>
      <c r="L326" s="1003"/>
      <c r="M326" s="1003"/>
      <c r="N326" s="1003"/>
      <c r="O326" s="1003"/>
      <c r="P326" s="1003"/>
      <c r="Q326" s="1003"/>
    </row>
    <row r="327" spans="3:17" ht="15.75" customHeight="1">
      <c r="C327" s="1003"/>
      <c r="D327" s="1003"/>
      <c r="E327" s="1003"/>
      <c r="F327" s="1003"/>
      <c r="G327" s="1003"/>
      <c r="H327" s="1003"/>
      <c r="I327" s="1003"/>
      <c r="J327" s="1003"/>
      <c r="K327" s="1003"/>
      <c r="L327" s="1003"/>
      <c r="M327" s="1003"/>
      <c r="N327" s="1003"/>
      <c r="O327" s="1003"/>
      <c r="P327" s="1003"/>
      <c r="Q327" s="1003"/>
    </row>
    <row r="328" spans="3:17" ht="15.75" customHeight="1">
      <c r="C328" s="1003"/>
      <c r="D328" s="1003"/>
      <c r="E328" s="1003"/>
      <c r="F328" s="1003"/>
      <c r="G328" s="1003"/>
      <c r="H328" s="1003"/>
      <c r="I328" s="1003"/>
      <c r="J328" s="1003"/>
      <c r="K328" s="1003"/>
      <c r="L328" s="1003"/>
      <c r="M328" s="1003"/>
      <c r="N328" s="1003"/>
      <c r="O328" s="1003"/>
      <c r="P328" s="1003"/>
      <c r="Q328" s="1003"/>
    </row>
    <row r="329" spans="3:17" ht="15.75" customHeight="1">
      <c r="C329" s="1003"/>
      <c r="D329" s="1003"/>
      <c r="E329" s="1003"/>
      <c r="F329" s="1003"/>
      <c r="G329" s="1003"/>
      <c r="H329" s="1003"/>
      <c r="I329" s="1003"/>
      <c r="J329" s="1003"/>
      <c r="K329" s="1003"/>
      <c r="L329" s="1003"/>
      <c r="M329" s="1003"/>
      <c r="N329" s="1003"/>
      <c r="O329" s="1003"/>
      <c r="P329" s="1003"/>
      <c r="Q329" s="1003"/>
    </row>
    <row r="330" spans="3:17" ht="15.75" customHeight="1">
      <c r="C330" s="1003"/>
      <c r="D330" s="1003"/>
      <c r="E330" s="1003"/>
      <c r="F330" s="1003"/>
      <c r="G330" s="1003"/>
      <c r="H330" s="1003"/>
      <c r="I330" s="1003"/>
      <c r="J330" s="1003"/>
      <c r="K330" s="1003"/>
      <c r="L330" s="1003"/>
      <c r="M330" s="1003"/>
      <c r="N330" s="1003"/>
      <c r="O330" s="1003"/>
      <c r="P330" s="1003"/>
      <c r="Q330" s="1003"/>
    </row>
    <row r="331" spans="3:17" ht="15.75" customHeight="1">
      <c r="C331" s="1003"/>
      <c r="D331" s="1003"/>
      <c r="E331" s="1003"/>
      <c r="F331" s="1003"/>
      <c r="G331" s="1003"/>
      <c r="H331" s="1003"/>
      <c r="I331" s="1003"/>
      <c r="J331" s="1003"/>
      <c r="K331" s="1003"/>
      <c r="L331" s="1003"/>
      <c r="M331" s="1003"/>
      <c r="N331" s="1003"/>
      <c r="O331" s="1003"/>
      <c r="P331" s="1003"/>
      <c r="Q331" s="1003"/>
    </row>
    <row r="332" spans="3:17" ht="15.75" customHeight="1">
      <c r="C332" s="1003"/>
      <c r="D332" s="1003"/>
      <c r="E332" s="1003"/>
      <c r="F332" s="1003"/>
      <c r="G332" s="1003"/>
      <c r="H332" s="1003"/>
      <c r="I332" s="1003"/>
      <c r="J332" s="1003"/>
      <c r="K332" s="1003"/>
      <c r="L332" s="1003"/>
      <c r="M332" s="1003"/>
      <c r="N332" s="1003"/>
      <c r="O332" s="1003"/>
      <c r="P332" s="1003"/>
      <c r="Q332" s="1003"/>
    </row>
    <row r="333" spans="3:17" ht="15.75" customHeight="1">
      <c r="C333" s="1003"/>
      <c r="D333" s="1003"/>
      <c r="E333" s="1003"/>
      <c r="F333" s="1003"/>
      <c r="G333" s="1003"/>
      <c r="H333" s="1003"/>
      <c r="I333" s="1003"/>
      <c r="J333" s="1003"/>
      <c r="K333" s="1003"/>
      <c r="L333" s="1003"/>
      <c r="M333" s="1003"/>
      <c r="N333" s="1003"/>
      <c r="O333" s="1003"/>
      <c r="P333" s="1003"/>
      <c r="Q333" s="1003"/>
    </row>
    <row r="334" spans="3:17" ht="15.75" customHeight="1">
      <c r="C334" s="1003"/>
      <c r="D334" s="1003"/>
      <c r="E334" s="1003"/>
      <c r="F334" s="1003"/>
      <c r="G334" s="1003"/>
      <c r="H334" s="1003"/>
      <c r="I334" s="1003"/>
      <c r="J334" s="1003"/>
      <c r="K334" s="1003"/>
      <c r="L334" s="1003"/>
      <c r="M334" s="1003"/>
      <c r="N334" s="1003"/>
      <c r="O334" s="1003"/>
      <c r="P334" s="1003"/>
      <c r="Q334" s="1003"/>
    </row>
    <row r="335" spans="3:17" ht="15.75" customHeight="1">
      <c r="C335" s="1003"/>
      <c r="D335" s="1003"/>
      <c r="E335" s="1003"/>
      <c r="F335" s="1003"/>
      <c r="G335" s="1003"/>
      <c r="H335" s="1003"/>
      <c r="I335" s="1003"/>
      <c r="J335" s="1003"/>
      <c r="K335" s="1003"/>
      <c r="L335" s="1003"/>
      <c r="M335" s="1003"/>
      <c r="N335" s="1003"/>
      <c r="O335" s="1003"/>
      <c r="P335" s="1003"/>
      <c r="Q335" s="1003"/>
    </row>
    <row r="336" spans="3:17" ht="15.75" customHeight="1">
      <c r="C336" s="1003"/>
      <c r="D336" s="1003"/>
      <c r="E336" s="1003"/>
      <c r="F336" s="1003"/>
      <c r="G336" s="1003"/>
      <c r="H336" s="1003"/>
      <c r="I336" s="1003"/>
      <c r="J336" s="1003"/>
      <c r="K336" s="1003"/>
      <c r="L336" s="1003"/>
      <c r="M336" s="1003"/>
      <c r="N336" s="1003"/>
      <c r="O336" s="1003"/>
      <c r="P336" s="1003"/>
      <c r="Q336" s="1003"/>
    </row>
    <row r="337" spans="3:17" ht="15.75" customHeight="1">
      <c r="C337" s="1003"/>
      <c r="D337" s="1003"/>
      <c r="E337" s="1003"/>
      <c r="F337" s="1003"/>
      <c r="G337" s="1003"/>
      <c r="H337" s="1003"/>
      <c r="I337" s="1003"/>
      <c r="J337" s="1003"/>
      <c r="K337" s="1003"/>
      <c r="L337" s="1003"/>
      <c r="M337" s="1003"/>
      <c r="N337" s="1003"/>
      <c r="O337" s="1003"/>
      <c r="P337" s="1003"/>
      <c r="Q337" s="1003"/>
    </row>
    <row r="338" spans="3:17" ht="15.75" customHeight="1">
      <c r="C338" s="1003"/>
      <c r="D338" s="1003"/>
      <c r="E338" s="1003"/>
      <c r="F338" s="1003"/>
      <c r="G338" s="1003"/>
      <c r="H338" s="1003"/>
      <c r="I338" s="1003"/>
      <c r="J338" s="1003"/>
      <c r="K338" s="1003"/>
      <c r="L338" s="1003"/>
      <c r="M338" s="1003"/>
      <c r="N338" s="1003"/>
      <c r="O338" s="1003"/>
      <c r="P338" s="1003"/>
      <c r="Q338" s="1003"/>
    </row>
    <row r="339" spans="3:17" ht="15.75" customHeight="1">
      <c r="C339" s="1003"/>
      <c r="D339" s="1003"/>
      <c r="E339" s="1003"/>
      <c r="F339" s="1003"/>
      <c r="G339" s="1003"/>
      <c r="H339" s="1003"/>
      <c r="I339" s="1003"/>
      <c r="J339" s="1003"/>
      <c r="K339" s="1003"/>
      <c r="L339" s="1003"/>
      <c r="M339" s="1003"/>
      <c r="N339" s="1003"/>
      <c r="O339" s="1003"/>
      <c r="P339" s="1003"/>
      <c r="Q339" s="1003"/>
    </row>
    <row r="340" spans="3:17" ht="15.75" customHeight="1">
      <c r="C340" s="1003"/>
      <c r="D340" s="1003"/>
      <c r="E340" s="1003"/>
      <c r="F340" s="1003"/>
      <c r="G340" s="1003"/>
      <c r="H340" s="1003"/>
      <c r="I340" s="1003"/>
      <c r="J340" s="1003"/>
      <c r="K340" s="1003"/>
      <c r="L340" s="1003"/>
      <c r="M340" s="1003"/>
      <c r="N340" s="1003"/>
      <c r="O340" s="1003"/>
      <c r="P340" s="1003"/>
      <c r="Q340" s="1003"/>
    </row>
    <row r="341" spans="3:17" ht="15.75" customHeight="1">
      <c r="C341" s="1003"/>
      <c r="D341" s="1003"/>
      <c r="E341" s="1003"/>
      <c r="F341" s="1003"/>
      <c r="G341" s="1003"/>
      <c r="H341" s="1003"/>
      <c r="I341" s="1003"/>
      <c r="J341" s="1003"/>
      <c r="K341" s="1003"/>
      <c r="L341" s="1003"/>
      <c r="M341" s="1003"/>
      <c r="N341" s="1003"/>
      <c r="O341" s="1003"/>
      <c r="P341" s="1003"/>
      <c r="Q341" s="1003"/>
    </row>
    <row r="342" spans="3:17" ht="15.75" customHeight="1">
      <c r="C342" s="1003"/>
      <c r="D342" s="1003"/>
      <c r="E342" s="1003"/>
      <c r="F342" s="1003"/>
      <c r="G342" s="1003"/>
      <c r="H342" s="1003"/>
      <c r="I342" s="1003"/>
      <c r="J342" s="1003"/>
      <c r="K342" s="1003"/>
      <c r="L342" s="1003"/>
      <c r="M342" s="1003"/>
      <c r="N342" s="1003"/>
      <c r="O342" s="1003"/>
      <c r="P342" s="1003"/>
      <c r="Q342" s="1003"/>
    </row>
    <row r="343" spans="3:17" ht="15.75" customHeight="1">
      <c r="C343" s="1003"/>
      <c r="D343" s="1003"/>
      <c r="E343" s="1003"/>
      <c r="F343" s="1003"/>
      <c r="G343" s="1003"/>
      <c r="H343" s="1003"/>
      <c r="I343" s="1003"/>
      <c r="J343" s="1003"/>
      <c r="K343" s="1003"/>
      <c r="L343" s="1003"/>
      <c r="M343" s="1003"/>
      <c r="N343" s="1003"/>
      <c r="O343" s="1003"/>
      <c r="P343" s="1003"/>
      <c r="Q343" s="1003"/>
    </row>
    <row r="344" spans="3:17" ht="15.75" customHeight="1">
      <c r="C344" s="1003"/>
      <c r="D344" s="1003"/>
      <c r="E344" s="1003"/>
      <c r="F344" s="1003"/>
      <c r="G344" s="1003"/>
      <c r="H344" s="1003"/>
      <c r="I344" s="1003"/>
      <c r="J344" s="1003"/>
      <c r="K344" s="1003"/>
      <c r="L344" s="1003"/>
      <c r="M344" s="1003"/>
      <c r="N344" s="1003"/>
      <c r="O344" s="1003"/>
      <c r="P344" s="1003"/>
      <c r="Q344" s="1003"/>
    </row>
    <row r="345" spans="3:17" ht="15.75" customHeight="1">
      <c r="C345" s="1003"/>
      <c r="D345" s="1003"/>
      <c r="E345" s="1003"/>
      <c r="F345" s="1003"/>
      <c r="G345" s="1003"/>
      <c r="H345" s="1003"/>
      <c r="I345" s="1003"/>
      <c r="J345" s="1003"/>
      <c r="K345" s="1003"/>
      <c r="L345" s="1003"/>
      <c r="M345" s="1003"/>
      <c r="N345" s="1003"/>
      <c r="O345" s="1003"/>
      <c r="P345" s="1003"/>
      <c r="Q345" s="1003"/>
    </row>
    <row r="346" spans="3:17" ht="15.75" customHeight="1">
      <c r="C346" s="1003"/>
      <c r="D346" s="1003"/>
      <c r="E346" s="1003"/>
      <c r="F346" s="1003"/>
      <c r="G346" s="1003"/>
      <c r="H346" s="1003"/>
      <c r="I346" s="1003"/>
      <c r="J346" s="1003"/>
      <c r="K346" s="1003"/>
      <c r="L346" s="1003"/>
      <c r="M346" s="1003"/>
      <c r="N346" s="1003"/>
      <c r="O346" s="1003"/>
      <c r="P346" s="1003"/>
      <c r="Q346" s="1003"/>
    </row>
    <row r="347" spans="3:17" ht="15.75" customHeight="1">
      <c r="C347" s="1003"/>
      <c r="D347" s="1003"/>
      <c r="E347" s="1003"/>
      <c r="F347" s="1003"/>
      <c r="G347" s="1003"/>
      <c r="H347" s="1003"/>
      <c r="I347" s="1003"/>
      <c r="J347" s="1003"/>
      <c r="K347" s="1003"/>
      <c r="L347" s="1003"/>
      <c r="M347" s="1003"/>
      <c r="N347" s="1003"/>
      <c r="O347" s="1003"/>
      <c r="P347" s="1003"/>
      <c r="Q347" s="1003"/>
    </row>
    <row r="348" spans="3:17" ht="15.75" customHeight="1">
      <c r="C348" s="1003"/>
      <c r="D348" s="1003"/>
      <c r="E348" s="1003"/>
      <c r="F348" s="1003"/>
      <c r="G348" s="1003"/>
      <c r="H348" s="1003"/>
      <c r="I348" s="1003"/>
      <c r="J348" s="1003"/>
      <c r="K348" s="1003"/>
      <c r="L348" s="1003"/>
      <c r="M348" s="1003"/>
      <c r="N348" s="1003"/>
      <c r="O348" s="1003"/>
      <c r="P348" s="1003"/>
      <c r="Q348" s="1003"/>
    </row>
    <row r="349" spans="3:17" ht="15.75" customHeight="1">
      <c r="C349" s="1003"/>
      <c r="D349" s="1003"/>
      <c r="E349" s="1003"/>
      <c r="F349" s="1003"/>
      <c r="G349" s="1003"/>
      <c r="H349" s="1003"/>
      <c r="I349" s="1003"/>
      <c r="J349" s="1003"/>
      <c r="K349" s="1003"/>
      <c r="L349" s="1003"/>
      <c r="M349" s="1003"/>
      <c r="N349" s="1003"/>
      <c r="O349" s="1003"/>
      <c r="P349" s="1003"/>
      <c r="Q349" s="1003"/>
    </row>
    <row r="350" spans="3:17" ht="15.75" customHeight="1">
      <c r="C350" s="1003"/>
      <c r="D350" s="1003"/>
      <c r="E350" s="1003"/>
      <c r="F350" s="1003"/>
      <c r="G350" s="1003"/>
      <c r="H350" s="1003"/>
      <c r="I350" s="1003"/>
      <c r="J350" s="1003"/>
      <c r="K350" s="1003"/>
      <c r="L350" s="1003"/>
      <c r="M350" s="1003"/>
      <c r="N350" s="1003"/>
      <c r="O350" s="1003"/>
      <c r="P350" s="1003"/>
      <c r="Q350" s="1003"/>
    </row>
    <row r="351" spans="3:17" ht="15.75" customHeight="1">
      <c r="C351" s="1003"/>
      <c r="D351" s="1003"/>
      <c r="E351" s="1003"/>
      <c r="F351" s="1003"/>
      <c r="G351" s="1003"/>
      <c r="H351" s="1003"/>
      <c r="I351" s="1003"/>
      <c r="J351" s="1003"/>
      <c r="K351" s="1003"/>
      <c r="L351" s="1003"/>
      <c r="M351" s="1003"/>
      <c r="N351" s="1003"/>
      <c r="O351" s="1003"/>
      <c r="P351" s="1003"/>
      <c r="Q351" s="1003"/>
    </row>
    <row r="352" spans="3:17" ht="15.75" customHeight="1">
      <c r="C352" s="1003"/>
      <c r="D352" s="1003"/>
      <c r="E352" s="1003"/>
      <c r="F352" s="1003"/>
      <c r="G352" s="1003"/>
      <c r="H352" s="1003"/>
      <c r="I352" s="1003"/>
      <c r="J352" s="1003"/>
      <c r="K352" s="1003"/>
      <c r="L352" s="1003"/>
      <c r="M352" s="1003"/>
      <c r="N352" s="1003"/>
      <c r="O352" s="1003"/>
      <c r="P352" s="1003"/>
      <c r="Q352" s="1003"/>
    </row>
    <row r="353" spans="3:17" ht="15.75" customHeight="1">
      <c r="C353" s="1003"/>
      <c r="D353" s="1003"/>
      <c r="E353" s="1003"/>
      <c r="F353" s="1003"/>
      <c r="G353" s="1003"/>
      <c r="H353" s="1003"/>
      <c r="I353" s="1003"/>
      <c r="J353" s="1003"/>
      <c r="K353" s="1003"/>
      <c r="L353" s="1003"/>
      <c r="M353" s="1003"/>
      <c r="N353" s="1003"/>
      <c r="O353" s="1003"/>
      <c r="P353" s="1003"/>
      <c r="Q353" s="1003"/>
    </row>
    <row r="354" spans="3:17" ht="15.75" customHeight="1">
      <c r="C354" s="1003"/>
      <c r="D354" s="1003"/>
      <c r="E354" s="1003"/>
      <c r="F354" s="1003"/>
      <c r="G354" s="1003"/>
      <c r="H354" s="1003"/>
      <c r="I354" s="1003"/>
      <c r="J354" s="1003"/>
      <c r="K354" s="1003"/>
      <c r="L354" s="1003"/>
      <c r="M354" s="1003"/>
      <c r="N354" s="1003"/>
      <c r="O354" s="1003"/>
      <c r="P354" s="1003"/>
      <c r="Q354" s="1003"/>
    </row>
    <row r="355" spans="3:17" ht="15.75" customHeight="1">
      <c r="C355" s="1003"/>
      <c r="D355" s="1003"/>
      <c r="E355" s="1003"/>
      <c r="F355" s="1003"/>
      <c r="G355" s="1003"/>
      <c r="H355" s="1003"/>
      <c r="I355" s="1003"/>
      <c r="J355" s="1003"/>
      <c r="K355" s="1003"/>
      <c r="L355" s="1003"/>
      <c r="M355" s="1003"/>
      <c r="N355" s="1003"/>
      <c r="O355" s="1003"/>
      <c r="P355" s="1003"/>
      <c r="Q355" s="1003"/>
    </row>
    <row r="356" spans="3:17" ht="15.75" customHeight="1">
      <c r="C356" s="1003"/>
      <c r="D356" s="1003"/>
      <c r="E356" s="1003"/>
      <c r="F356" s="1003"/>
      <c r="G356" s="1003"/>
      <c r="H356" s="1003"/>
      <c r="I356" s="1003"/>
      <c r="J356" s="1003"/>
      <c r="K356" s="1003"/>
      <c r="L356" s="1003"/>
      <c r="M356" s="1003"/>
      <c r="N356" s="1003"/>
      <c r="O356" s="1003"/>
      <c r="P356" s="1003"/>
      <c r="Q356" s="1003"/>
    </row>
    <row r="357" spans="3:17" ht="15.75" customHeight="1">
      <c r="C357" s="1003"/>
      <c r="D357" s="1003"/>
      <c r="E357" s="1003"/>
      <c r="F357" s="1003"/>
      <c r="G357" s="1003"/>
      <c r="H357" s="1003"/>
      <c r="I357" s="1003"/>
      <c r="J357" s="1003"/>
      <c r="K357" s="1003"/>
      <c r="L357" s="1003"/>
      <c r="M357" s="1003"/>
      <c r="N357" s="1003"/>
      <c r="O357" s="1003"/>
      <c r="P357" s="1003"/>
      <c r="Q357" s="1003"/>
    </row>
    <row r="358" spans="3:17" ht="15.75" customHeight="1">
      <c r="C358" s="1003"/>
      <c r="D358" s="1003"/>
      <c r="E358" s="1003"/>
      <c r="F358" s="1003"/>
      <c r="G358" s="1003"/>
      <c r="H358" s="1003"/>
      <c r="I358" s="1003"/>
      <c r="J358" s="1003"/>
      <c r="K358" s="1003"/>
      <c r="L358" s="1003"/>
      <c r="M358" s="1003"/>
      <c r="N358" s="1003"/>
      <c r="O358" s="1003"/>
      <c r="P358" s="1003"/>
      <c r="Q358" s="1003"/>
    </row>
    <row r="359" spans="3:17" ht="15.75" customHeight="1">
      <c r="C359" s="1003"/>
      <c r="D359" s="1003"/>
      <c r="E359" s="1003"/>
      <c r="F359" s="1003"/>
      <c r="G359" s="1003"/>
      <c r="H359" s="1003"/>
      <c r="I359" s="1003"/>
      <c r="J359" s="1003"/>
      <c r="K359" s="1003"/>
      <c r="L359" s="1003"/>
      <c r="M359" s="1003"/>
      <c r="N359" s="1003"/>
      <c r="O359" s="1003"/>
      <c r="P359" s="1003"/>
      <c r="Q359" s="1003"/>
    </row>
    <row r="360" spans="3:17" ht="15.75" customHeight="1">
      <c r="C360" s="1003"/>
      <c r="D360" s="1003"/>
      <c r="E360" s="1003"/>
      <c r="F360" s="1003"/>
      <c r="G360" s="1003"/>
      <c r="H360" s="1003"/>
      <c r="I360" s="1003"/>
      <c r="J360" s="1003"/>
      <c r="K360" s="1003"/>
      <c r="L360" s="1003"/>
      <c r="M360" s="1003"/>
      <c r="N360" s="1003"/>
      <c r="O360" s="1003"/>
      <c r="P360" s="1003"/>
      <c r="Q360" s="1003"/>
    </row>
    <row r="361" spans="3:17" ht="15.75" customHeight="1">
      <c r="C361" s="1003"/>
      <c r="D361" s="1003"/>
      <c r="E361" s="1003"/>
      <c r="F361" s="1003"/>
      <c r="G361" s="1003"/>
      <c r="H361" s="1003"/>
      <c r="I361" s="1003"/>
      <c r="J361" s="1003"/>
      <c r="K361" s="1003"/>
      <c r="L361" s="1003"/>
      <c r="M361" s="1003"/>
      <c r="N361" s="1003"/>
      <c r="O361" s="1003"/>
      <c r="P361" s="1003"/>
      <c r="Q361" s="1003"/>
    </row>
    <row r="362" spans="3:17" ht="15.75" customHeight="1">
      <c r="C362" s="1003"/>
      <c r="D362" s="1003"/>
      <c r="E362" s="1003"/>
      <c r="F362" s="1003"/>
      <c r="G362" s="1003"/>
      <c r="H362" s="1003"/>
      <c r="I362" s="1003"/>
      <c r="J362" s="1003"/>
      <c r="K362" s="1003"/>
      <c r="L362" s="1003"/>
      <c r="M362" s="1003"/>
      <c r="N362" s="1003"/>
      <c r="O362" s="1003"/>
      <c r="P362" s="1003"/>
      <c r="Q362" s="1003"/>
    </row>
    <row r="363" spans="3:17" ht="15.75" customHeight="1">
      <c r="C363" s="1003"/>
      <c r="D363" s="1003"/>
      <c r="E363" s="1003"/>
      <c r="F363" s="1003"/>
      <c r="G363" s="1003"/>
      <c r="H363" s="1003"/>
      <c r="I363" s="1003"/>
      <c r="J363" s="1003"/>
      <c r="K363" s="1003"/>
      <c r="L363" s="1003"/>
      <c r="M363" s="1003"/>
      <c r="N363" s="1003"/>
      <c r="O363" s="1003"/>
      <c r="P363" s="1003"/>
      <c r="Q363" s="1003"/>
    </row>
    <row r="364" spans="3:17" ht="15.75" customHeight="1">
      <c r="C364" s="1003"/>
      <c r="D364" s="1003"/>
      <c r="E364" s="1003"/>
      <c r="F364" s="1003"/>
      <c r="G364" s="1003"/>
      <c r="H364" s="1003"/>
      <c r="I364" s="1003"/>
      <c r="J364" s="1003"/>
      <c r="K364" s="1003"/>
      <c r="L364" s="1003"/>
      <c r="M364" s="1003"/>
      <c r="N364" s="1003"/>
      <c r="O364" s="1003"/>
      <c r="P364" s="1003"/>
      <c r="Q364" s="1003"/>
    </row>
    <row r="365" spans="3:17" ht="15.75" customHeight="1">
      <c r="C365" s="1003"/>
      <c r="D365" s="1003"/>
      <c r="E365" s="1003"/>
      <c r="F365" s="1003"/>
      <c r="G365" s="1003"/>
      <c r="H365" s="1003"/>
      <c r="I365" s="1003"/>
      <c r="J365" s="1003"/>
      <c r="K365" s="1003"/>
      <c r="L365" s="1003"/>
      <c r="M365" s="1003"/>
      <c r="N365" s="1003"/>
      <c r="O365" s="1003"/>
      <c r="P365" s="1003"/>
      <c r="Q365" s="1003"/>
    </row>
    <row r="366" spans="3:17" ht="15.75" customHeight="1">
      <c r="C366" s="1003"/>
      <c r="D366" s="1003"/>
      <c r="E366" s="1003"/>
      <c r="F366" s="1003"/>
      <c r="G366" s="1003"/>
      <c r="H366" s="1003"/>
      <c r="I366" s="1003"/>
      <c r="J366" s="1003"/>
      <c r="K366" s="1003"/>
      <c r="L366" s="1003"/>
      <c r="M366" s="1003"/>
      <c r="N366" s="1003"/>
      <c r="O366" s="1003"/>
      <c r="P366" s="1003"/>
      <c r="Q366" s="1003"/>
    </row>
    <row r="367" spans="3:17" ht="15.75" customHeight="1">
      <c r="C367" s="1003"/>
      <c r="D367" s="1003"/>
      <c r="E367" s="1003"/>
      <c r="F367" s="1003"/>
      <c r="G367" s="1003"/>
      <c r="H367" s="1003"/>
      <c r="I367" s="1003"/>
      <c r="J367" s="1003"/>
      <c r="K367" s="1003"/>
      <c r="L367" s="1003"/>
      <c r="M367" s="1003"/>
      <c r="N367" s="1003"/>
      <c r="O367" s="1003"/>
      <c r="P367" s="1003"/>
      <c r="Q367" s="1003"/>
    </row>
    <row r="368" spans="3:17" ht="15.75" customHeight="1">
      <c r="C368" s="1003"/>
      <c r="D368" s="1003"/>
      <c r="E368" s="1003"/>
      <c r="F368" s="1003"/>
      <c r="G368" s="1003"/>
      <c r="H368" s="1003"/>
      <c r="I368" s="1003"/>
      <c r="J368" s="1003"/>
      <c r="K368" s="1003"/>
      <c r="L368" s="1003"/>
      <c r="M368" s="1003"/>
      <c r="N368" s="1003"/>
      <c r="O368" s="1003"/>
      <c r="P368" s="1003"/>
      <c r="Q368" s="1003"/>
    </row>
    <row r="369" spans="3:17" ht="15.75" customHeight="1">
      <c r="C369" s="1003"/>
      <c r="D369" s="1003"/>
      <c r="E369" s="1003"/>
      <c r="F369" s="1003"/>
      <c r="G369" s="1003"/>
      <c r="H369" s="1003"/>
      <c r="I369" s="1003"/>
      <c r="J369" s="1003"/>
      <c r="K369" s="1003"/>
      <c r="L369" s="1003"/>
      <c r="M369" s="1003"/>
      <c r="N369" s="1003"/>
      <c r="O369" s="1003"/>
      <c r="P369" s="1003"/>
      <c r="Q369" s="1003"/>
    </row>
    <row r="370" spans="3:17" ht="15.75" customHeight="1">
      <c r="C370" s="1003"/>
      <c r="D370" s="1003"/>
      <c r="E370" s="1003"/>
      <c r="F370" s="1003"/>
      <c r="G370" s="1003"/>
      <c r="H370" s="1003"/>
      <c r="I370" s="1003"/>
      <c r="J370" s="1003"/>
      <c r="K370" s="1003"/>
      <c r="L370" s="1003"/>
      <c r="M370" s="1003"/>
      <c r="N370" s="1003"/>
      <c r="O370" s="1003"/>
      <c r="P370" s="1003"/>
      <c r="Q370" s="1003"/>
    </row>
    <row r="371" spans="3:17" ht="15.75" customHeight="1">
      <c r="C371" s="1003"/>
      <c r="D371" s="1003"/>
      <c r="E371" s="1003"/>
      <c r="F371" s="1003"/>
      <c r="G371" s="1003"/>
      <c r="H371" s="1003"/>
      <c r="I371" s="1003"/>
      <c r="J371" s="1003"/>
      <c r="K371" s="1003"/>
      <c r="L371" s="1003"/>
      <c r="M371" s="1003"/>
      <c r="N371" s="1003"/>
      <c r="O371" s="1003"/>
      <c r="P371" s="1003"/>
      <c r="Q371" s="1003"/>
    </row>
    <row r="372" spans="3:17" ht="15.75" customHeight="1">
      <c r="C372" s="1003"/>
      <c r="D372" s="1003"/>
      <c r="E372" s="1003"/>
      <c r="F372" s="1003"/>
      <c r="G372" s="1003"/>
      <c r="H372" s="1003"/>
      <c r="I372" s="1003"/>
      <c r="J372" s="1003"/>
      <c r="K372" s="1003"/>
      <c r="L372" s="1003"/>
      <c r="M372" s="1003"/>
      <c r="N372" s="1003"/>
      <c r="O372" s="1003"/>
      <c r="P372" s="1003"/>
      <c r="Q372" s="1003"/>
    </row>
    <row r="373" spans="3:17" ht="15.75" customHeight="1">
      <c r="C373" s="1003"/>
      <c r="D373" s="1003"/>
      <c r="E373" s="1003"/>
      <c r="F373" s="1003"/>
      <c r="G373" s="1003"/>
      <c r="H373" s="1003"/>
      <c r="I373" s="1003"/>
      <c r="J373" s="1003"/>
      <c r="K373" s="1003"/>
      <c r="L373" s="1003"/>
      <c r="M373" s="1003"/>
      <c r="N373" s="1003"/>
      <c r="O373" s="1003"/>
      <c r="P373" s="1003"/>
      <c r="Q373" s="1003"/>
    </row>
    <row r="374" spans="3:17" ht="15.75" customHeight="1">
      <c r="C374" s="1003"/>
      <c r="D374" s="1003"/>
      <c r="E374" s="1003"/>
      <c r="F374" s="1003"/>
      <c r="G374" s="1003"/>
      <c r="H374" s="1003"/>
      <c r="I374" s="1003"/>
      <c r="J374" s="1003"/>
      <c r="K374" s="1003"/>
      <c r="L374" s="1003"/>
      <c r="M374" s="1003"/>
      <c r="N374" s="1003"/>
      <c r="O374" s="1003"/>
      <c r="P374" s="1003"/>
      <c r="Q374" s="1003"/>
    </row>
    <row r="375" spans="3:17" ht="15.75" customHeight="1">
      <c r="C375" s="1003"/>
      <c r="D375" s="1003"/>
      <c r="E375" s="1003"/>
      <c r="F375" s="1003"/>
      <c r="G375" s="1003"/>
      <c r="H375" s="1003"/>
      <c r="I375" s="1003"/>
      <c r="J375" s="1003"/>
      <c r="K375" s="1003"/>
      <c r="L375" s="1003"/>
      <c r="M375" s="1003"/>
      <c r="N375" s="1003"/>
      <c r="O375" s="1003"/>
      <c r="P375" s="1003"/>
      <c r="Q375" s="1003"/>
    </row>
    <row r="376" spans="3:17" ht="15.75" customHeight="1">
      <c r="C376" s="1003"/>
      <c r="D376" s="1003"/>
      <c r="E376" s="1003"/>
      <c r="F376" s="1003"/>
      <c r="G376" s="1003"/>
      <c r="H376" s="1003"/>
      <c r="I376" s="1003"/>
      <c r="J376" s="1003"/>
      <c r="K376" s="1003"/>
      <c r="L376" s="1003"/>
      <c r="M376" s="1003"/>
      <c r="N376" s="1003"/>
      <c r="O376" s="1003"/>
      <c r="P376" s="1003"/>
      <c r="Q376" s="1003"/>
    </row>
    <row r="377" spans="3:17" ht="15.75" customHeight="1">
      <c r="C377" s="1003"/>
      <c r="D377" s="1003"/>
      <c r="E377" s="1003"/>
      <c r="F377" s="1003"/>
      <c r="G377" s="1003"/>
      <c r="H377" s="1003"/>
      <c r="I377" s="1003"/>
      <c r="J377" s="1003"/>
      <c r="K377" s="1003"/>
      <c r="L377" s="1003"/>
      <c r="M377" s="1003"/>
      <c r="N377" s="1003"/>
      <c r="O377" s="1003"/>
      <c r="P377" s="1003"/>
      <c r="Q377" s="1003"/>
    </row>
    <row r="378" spans="3:17" ht="15.75" customHeight="1">
      <c r="C378" s="1003"/>
      <c r="D378" s="1003"/>
      <c r="E378" s="1003"/>
      <c r="F378" s="1003"/>
      <c r="G378" s="1003"/>
      <c r="H378" s="1003"/>
      <c r="I378" s="1003"/>
      <c r="J378" s="1003"/>
      <c r="K378" s="1003"/>
      <c r="L378" s="1003"/>
      <c r="M378" s="1003"/>
      <c r="N378" s="1003"/>
      <c r="O378" s="1003"/>
      <c r="P378" s="1003"/>
      <c r="Q378" s="1003"/>
    </row>
    <row r="379" spans="3:17" ht="15.75" customHeight="1">
      <c r="C379" s="1003"/>
      <c r="D379" s="1003"/>
      <c r="E379" s="1003"/>
      <c r="F379" s="1003"/>
      <c r="G379" s="1003"/>
      <c r="H379" s="1003"/>
      <c r="I379" s="1003"/>
      <c r="J379" s="1003"/>
      <c r="K379" s="1003"/>
      <c r="L379" s="1003"/>
      <c r="M379" s="1003"/>
      <c r="N379" s="1003"/>
      <c r="O379" s="1003"/>
      <c r="P379" s="1003"/>
      <c r="Q379" s="1003"/>
    </row>
    <row r="380" spans="3:17" ht="15.75" customHeight="1">
      <c r="C380" s="1003"/>
      <c r="D380" s="1003"/>
      <c r="E380" s="1003"/>
      <c r="F380" s="1003"/>
      <c r="G380" s="1003"/>
      <c r="H380" s="1003"/>
      <c r="I380" s="1003"/>
      <c r="J380" s="1003"/>
      <c r="K380" s="1003"/>
      <c r="L380" s="1003"/>
      <c r="M380" s="1003"/>
      <c r="N380" s="1003"/>
      <c r="O380" s="1003"/>
      <c r="P380" s="1003"/>
      <c r="Q380" s="1003"/>
    </row>
    <row r="381" spans="3:17" ht="15.75" customHeight="1">
      <c r="C381" s="1003"/>
      <c r="D381" s="1003"/>
      <c r="E381" s="1003"/>
      <c r="F381" s="1003"/>
      <c r="G381" s="1003"/>
      <c r="H381" s="1003"/>
      <c r="I381" s="1003"/>
      <c r="J381" s="1003"/>
      <c r="K381" s="1003"/>
      <c r="L381" s="1003"/>
      <c r="M381" s="1003"/>
      <c r="N381" s="1003"/>
      <c r="O381" s="1003"/>
      <c r="P381" s="1003"/>
      <c r="Q381" s="1003"/>
    </row>
    <row r="382" spans="3:17" ht="15.75" customHeight="1">
      <c r="C382" s="1003"/>
      <c r="D382" s="1003"/>
      <c r="E382" s="1003"/>
      <c r="F382" s="1003"/>
      <c r="G382" s="1003"/>
      <c r="H382" s="1003"/>
      <c r="I382" s="1003"/>
      <c r="J382" s="1003"/>
      <c r="K382" s="1003"/>
      <c r="L382" s="1003"/>
      <c r="M382" s="1003"/>
      <c r="N382" s="1003"/>
      <c r="O382" s="1003"/>
      <c r="P382" s="1003"/>
      <c r="Q382" s="1003"/>
    </row>
    <row r="383" spans="3:17" ht="15.75" customHeight="1">
      <c r="C383" s="1003"/>
      <c r="D383" s="1003"/>
      <c r="E383" s="1003"/>
      <c r="F383" s="1003"/>
      <c r="G383" s="1003"/>
      <c r="H383" s="1003"/>
      <c r="I383" s="1003"/>
      <c r="J383" s="1003"/>
      <c r="K383" s="1003"/>
      <c r="L383" s="1003"/>
      <c r="M383" s="1003"/>
      <c r="N383" s="1003"/>
      <c r="O383" s="1003"/>
      <c r="P383" s="1003"/>
      <c r="Q383" s="1003"/>
    </row>
    <row r="384" spans="3:17" ht="15.75" customHeight="1">
      <c r="C384" s="1003"/>
      <c r="D384" s="1003"/>
      <c r="E384" s="1003"/>
      <c r="F384" s="1003"/>
      <c r="G384" s="1003"/>
      <c r="H384" s="1003"/>
      <c r="I384" s="1003"/>
      <c r="J384" s="1003"/>
      <c r="K384" s="1003"/>
      <c r="L384" s="1003"/>
      <c r="M384" s="1003"/>
      <c r="N384" s="1003"/>
      <c r="O384" s="1003"/>
      <c r="P384" s="1003"/>
      <c r="Q384" s="1003"/>
    </row>
    <row r="385" spans="3:17" ht="15.75" customHeight="1">
      <c r="C385" s="1003"/>
      <c r="D385" s="1003"/>
      <c r="E385" s="1003"/>
      <c r="F385" s="1003"/>
      <c r="G385" s="1003"/>
      <c r="H385" s="1003"/>
      <c r="I385" s="1003"/>
      <c r="J385" s="1003"/>
      <c r="K385" s="1003"/>
      <c r="L385" s="1003"/>
      <c r="M385" s="1003"/>
      <c r="N385" s="1003"/>
      <c r="O385" s="1003"/>
      <c r="P385" s="1003"/>
      <c r="Q385" s="1003"/>
    </row>
    <row r="386" spans="3:17" ht="15.75" customHeight="1">
      <c r="C386" s="1003"/>
      <c r="D386" s="1003"/>
      <c r="E386" s="1003"/>
      <c r="F386" s="1003"/>
      <c r="G386" s="1003"/>
      <c r="H386" s="1003"/>
      <c r="I386" s="1003"/>
      <c r="J386" s="1003"/>
      <c r="K386" s="1003"/>
      <c r="L386" s="1003"/>
      <c r="M386" s="1003"/>
      <c r="N386" s="1003"/>
      <c r="O386" s="1003"/>
      <c r="P386" s="1003"/>
      <c r="Q386" s="1003"/>
    </row>
    <row r="387" spans="3:17" ht="15.75" customHeight="1">
      <c r="C387" s="1003"/>
      <c r="D387" s="1003"/>
      <c r="E387" s="1003"/>
      <c r="F387" s="1003"/>
      <c r="G387" s="1003"/>
      <c r="H387" s="1003"/>
      <c r="I387" s="1003"/>
      <c r="J387" s="1003"/>
      <c r="K387" s="1003"/>
      <c r="L387" s="1003"/>
      <c r="M387" s="1003"/>
      <c r="N387" s="1003"/>
      <c r="O387" s="1003"/>
      <c r="P387" s="1003"/>
      <c r="Q387" s="1003"/>
    </row>
    <row r="388" spans="3:17" ht="15.75" customHeight="1">
      <c r="C388" s="1003"/>
      <c r="D388" s="1003"/>
      <c r="E388" s="1003"/>
      <c r="F388" s="1003"/>
      <c r="G388" s="1003"/>
      <c r="H388" s="1003"/>
      <c r="I388" s="1003"/>
      <c r="J388" s="1003"/>
      <c r="K388" s="1003"/>
      <c r="L388" s="1003"/>
      <c r="M388" s="1003"/>
      <c r="N388" s="1003"/>
      <c r="O388" s="1003"/>
      <c r="P388" s="1003"/>
      <c r="Q388" s="1003"/>
    </row>
    <row r="389" spans="3:17" ht="15.75" customHeight="1">
      <c r="C389" s="1003"/>
      <c r="D389" s="1003"/>
      <c r="E389" s="1003"/>
      <c r="F389" s="1003"/>
      <c r="G389" s="1003"/>
      <c r="H389" s="1003"/>
      <c r="I389" s="1003"/>
      <c r="J389" s="1003"/>
      <c r="K389" s="1003"/>
      <c r="L389" s="1003"/>
      <c r="M389" s="1003"/>
      <c r="N389" s="1003"/>
      <c r="O389" s="1003"/>
      <c r="P389" s="1003"/>
      <c r="Q389" s="1003"/>
    </row>
    <row r="390" spans="3:17" ht="15.75" customHeight="1">
      <c r="C390" s="1003"/>
      <c r="D390" s="1003"/>
      <c r="E390" s="1003"/>
      <c r="F390" s="1003"/>
      <c r="G390" s="1003"/>
      <c r="H390" s="1003"/>
      <c r="I390" s="1003"/>
      <c r="J390" s="1003"/>
      <c r="K390" s="1003"/>
      <c r="L390" s="1003"/>
      <c r="M390" s="1003"/>
      <c r="N390" s="1003"/>
      <c r="O390" s="1003"/>
      <c r="P390" s="1003"/>
      <c r="Q390" s="1003"/>
    </row>
    <row r="391" spans="3:17" ht="15.75" customHeight="1">
      <c r="C391" s="1003"/>
      <c r="D391" s="1003"/>
      <c r="E391" s="1003"/>
      <c r="F391" s="1003"/>
      <c r="G391" s="1003"/>
      <c r="H391" s="1003"/>
      <c r="I391" s="1003"/>
      <c r="J391" s="1003"/>
      <c r="K391" s="1003"/>
      <c r="L391" s="1003"/>
      <c r="M391" s="1003"/>
      <c r="N391" s="1003"/>
      <c r="O391" s="1003"/>
      <c r="P391" s="1003"/>
      <c r="Q391" s="1003"/>
    </row>
    <row r="392" spans="3:17" ht="15.75" customHeight="1">
      <c r="C392" s="1003"/>
      <c r="D392" s="1003"/>
      <c r="E392" s="1003"/>
      <c r="F392" s="1003"/>
      <c r="G392" s="1003"/>
      <c r="H392" s="1003"/>
      <c r="I392" s="1003"/>
      <c r="J392" s="1003"/>
      <c r="K392" s="1003"/>
      <c r="L392" s="1003"/>
      <c r="M392" s="1003"/>
      <c r="N392" s="1003"/>
      <c r="O392" s="1003"/>
      <c r="P392" s="1003"/>
      <c r="Q392" s="1003"/>
    </row>
    <row r="393" spans="3:17" ht="15.75" customHeight="1">
      <c r="C393" s="1003"/>
      <c r="D393" s="1003"/>
      <c r="E393" s="1003"/>
      <c r="F393" s="1003"/>
      <c r="G393" s="1003"/>
      <c r="H393" s="1003"/>
      <c r="I393" s="1003"/>
      <c r="J393" s="1003"/>
      <c r="K393" s="1003"/>
      <c r="L393" s="1003"/>
      <c r="M393" s="1003"/>
      <c r="N393" s="1003"/>
      <c r="O393" s="1003"/>
      <c r="P393" s="1003"/>
      <c r="Q393" s="1003"/>
    </row>
    <row r="394" spans="3:17" ht="15.75" customHeight="1">
      <c r="C394" s="1003"/>
      <c r="D394" s="1003"/>
      <c r="E394" s="1003"/>
      <c r="F394" s="1003"/>
      <c r="G394" s="1003"/>
      <c r="H394" s="1003"/>
      <c r="I394" s="1003"/>
      <c r="J394" s="1003"/>
      <c r="K394" s="1003"/>
      <c r="L394" s="1003"/>
      <c r="M394" s="1003"/>
      <c r="N394" s="1003"/>
      <c r="O394" s="1003"/>
      <c r="P394" s="1003"/>
      <c r="Q394" s="1003"/>
    </row>
    <row r="395" spans="3:17" ht="15.75" customHeight="1">
      <c r="C395" s="1003"/>
      <c r="D395" s="1003"/>
      <c r="E395" s="1003"/>
      <c r="F395" s="1003"/>
      <c r="G395" s="1003"/>
      <c r="H395" s="1003"/>
      <c r="I395" s="1003"/>
      <c r="J395" s="1003"/>
      <c r="K395" s="1003"/>
      <c r="L395" s="1003"/>
      <c r="M395" s="1003"/>
      <c r="N395" s="1003"/>
      <c r="O395" s="1003"/>
      <c r="P395" s="1003"/>
      <c r="Q395" s="1003"/>
    </row>
    <row r="396" spans="3:17" ht="15.75" customHeight="1">
      <c r="C396" s="1003"/>
      <c r="D396" s="1003"/>
      <c r="E396" s="1003"/>
      <c r="F396" s="1003"/>
      <c r="G396" s="1003"/>
      <c r="H396" s="1003"/>
      <c r="I396" s="1003"/>
      <c r="J396" s="1003"/>
      <c r="K396" s="1003"/>
      <c r="L396" s="1003"/>
      <c r="M396" s="1003"/>
      <c r="N396" s="1003"/>
      <c r="O396" s="1003"/>
      <c r="P396" s="1003"/>
      <c r="Q396" s="1003"/>
    </row>
    <row r="397" spans="3:17" ht="15.75" customHeight="1">
      <c r="C397" s="1003"/>
      <c r="D397" s="1003"/>
      <c r="E397" s="1003"/>
      <c r="F397" s="1003"/>
      <c r="G397" s="1003"/>
      <c r="H397" s="1003"/>
      <c r="I397" s="1003"/>
      <c r="J397" s="1003"/>
      <c r="K397" s="1003"/>
      <c r="L397" s="1003"/>
      <c r="M397" s="1003"/>
      <c r="N397" s="1003"/>
      <c r="O397" s="1003"/>
      <c r="P397" s="1003"/>
      <c r="Q397" s="1003"/>
    </row>
    <row r="398" spans="3:17" ht="15.75" customHeight="1">
      <c r="C398" s="1003"/>
      <c r="D398" s="1003"/>
      <c r="E398" s="1003"/>
      <c r="F398" s="1003"/>
      <c r="G398" s="1003"/>
      <c r="H398" s="1003"/>
      <c r="I398" s="1003"/>
      <c r="J398" s="1003"/>
      <c r="K398" s="1003"/>
      <c r="L398" s="1003"/>
      <c r="M398" s="1003"/>
      <c r="N398" s="1003"/>
      <c r="O398" s="1003"/>
      <c r="P398" s="1003"/>
      <c r="Q398" s="1003"/>
    </row>
    <row r="399" spans="3:17" ht="15.75" customHeight="1">
      <c r="C399" s="1003"/>
      <c r="D399" s="1003"/>
      <c r="E399" s="1003"/>
      <c r="F399" s="1003"/>
      <c r="G399" s="1003"/>
      <c r="H399" s="1003"/>
      <c r="I399" s="1003"/>
      <c r="J399" s="1003"/>
      <c r="K399" s="1003"/>
      <c r="L399" s="1003"/>
      <c r="M399" s="1003"/>
      <c r="N399" s="1003"/>
      <c r="O399" s="1003"/>
      <c r="P399" s="1003"/>
      <c r="Q399" s="1003"/>
    </row>
    <row r="400" spans="3:17" ht="15.75" customHeight="1">
      <c r="C400" s="1003"/>
      <c r="D400" s="1003"/>
      <c r="E400" s="1003"/>
      <c r="F400" s="1003"/>
      <c r="G400" s="1003"/>
      <c r="H400" s="1003"/>
      <c r="I400" s="1003"/>
      <c r="J400" s="1003"/>
      <c r="K400" s="1003"/>
      <c r="L400" s="1003"/>
      <c r="M400" s="1003"/>
      <c r="N400" s="1003"/>
      <c r="O400" s="1003"/>
      <c r="P400" s="1003"/>
      <c r="Q400" s="1003"/>
    </row>
    <row r="401" spans="3:17" ht="15.75" customHeight="1">
      <c r="C401" s="1003"/>
      <c r="D401" s="1003"/>
      <c r="E401" s="1003"/>
      <c r="F401" s="1003"/>
      <c r="G401" s="1003"/>
      <c r="H401" s="1003"/>
      <c r="I401" s="1003"/>
      <c r="J401" s="1003"/>
      <c r="K401" s="1003"/>
      <c r="L401" s="1003"/>
      <c r="M401" s="1003"/>
      <c r="N401" s="1003"/>
      <c r="O401" s="1003"/>
      <c r="P401" s="1003"/>
      <c r="Q401" s="1003"/>
    </row>
    <row r="402" spans="3:17" ht="15.75" customHeight="1">
      <c r="C402" s="1003"/>
      <c r="D402" s="1003"/>
      <c r="E402" s="1003"/>
      <c r="F402" s="1003"/>
      <c r="G402" s="1003"/>
      <c r="H402" s="1003"/>
      <c r="I402" s="1003"/>
      <c r="J402" s="1003"/>
      <c r="K402" s="1003"/>
      <c r="L402" s="1003"/>
      <c r="M402" s="1003"/>
      <c r="N402" s="1003"/>
      <c r="O402" s="1003"/>
      <c r="P402" s="1003"/>
      <c r="Q402" s="1003"/>
    </row>
    <row r="403" spans="3:17" ht="15.75" customHeight="1">
      <c r="C403" s="1003"/>
      <c r="D403" s="1003"/>
      <c r="E403" s="1003"/>
      <c r="F403" s="1003"/>
      <c r="G403" s="1003"/>
      <c r="H403" s="1003"/>
      <c r="I403" s="1003"/>
      <c r="J403" s="1003"/>
      <c r="K403" s="1003"/>
      <c r="L403" s="1003"/>
      <c r="M403" s="1003"/>
      <c r="N403" s="1003"/>
      <c r="O403" s="1003"/>
      <c r="P403" s="1003"/>
      <c r="Q403" s="1003"/>
    </row>
    <row r="404" spans="3:17" ht="15.75" customHeight="1">
      <c r="C404" s="1003"/>
      <c r="D404" s="1003"/>
      <c r="E404" s="1003"/>
      <c r="F404" s="1003"/>
      <c r="G404" s="1003"/>
      <c r="H404" s="1003"/>
      <c r="I404" s="1003"/>
      <c r="J404" s="1003"/>
      <c r="K404" s="1003"/>
      <c r="L404" s="1003"/>
      <c r="M404" s="1003"/>
      <c r="N404" s="1003"/>
      <c r="O404" s="1003"/>
      <c r="P404" s="1003"/>
      <c r="Q404" s="1003"/>
    </row>
    <row r="405" spans="3:17" ht="15.75" customHeight="1">
      <c r="C405" s="1003"/>
      <c r="D405" s="1003"/>
      <c r="E405" s="1003"/>
      <c r="F405" s="1003"/>
      <c r="G405" s="1003"/>
      <c r="H405" s="1003"/>
      <c r="I405" s="1003"/>
      <c r="J405" s="1003"/>
      <c r="K405" s="1003"/>
      <c r="L405" s="1003"/>
      <c r="M405" s="1003"/>
      <c r="N405" s="1003"/>
      <c r="O405" s="1003"/>
      <c r="P405" s="1003"/>
      <c r="Q405" s="1003"/>
    </row>
    <row r="406" spans="3:17" ht="15.75" customHeight="1">
      <c r="C406" s="1003"/>
      <c r="D406" s="1003"/>
      <c r="E406" s="1003"/>
      <c r="F406" s="1003"/>
      <c r="G406" s="1003"/>
      <c r="H406" s="1003"/>
      <c r="I406" s="1003"/>
      <c r="J406" s="1003"/>
      <c r="K406" s="1003"/>
      <c r="L406" s="1003"/>
      <c r="M406" s="1003"/>
      <c r="N406" s="1003"/>
      <c r="O406" s="1003"/>
      <c r="P406" s="1003"/>
      <c r="Q406" s="1003"/>
    </row>
    <row r="407" spans="3:17" ht="15.75" customHeight="1">
      <c r="C407" s="1003"/>
      <c r="D407" s="1003"/>
      <c r="E407" s="1003"/>
      <c r="F407" s="1003"/>
      <c r="G407" s="1003"/>
      <c r="H407" s="1003"/>
      <c r="I407" s="1003"/>
      <c r="J407" s="1003"/>
      <c r="K407" s="1003"/>
      <c r="L407" s="1003"/>
      <c r="M407" s="1003"/>
      <c r="N407" s="1003"/>
      <c r="O407" s="1003"/>
      <c r="P407" s="1003"/>
      <c r="Q407" s="1003"/>
    </row>
    <row r="408" spans="3:17" ht="15.75" customHeight="1">
      <c r="C408" s="1003"/>
      <c r="D408" s="1003"/>
      <c r="E408" s="1003"/>
      <c r="F408" s="1003"/>
      <c r="G408" s="1003"/>
      <c r="H408" s="1003"/>
      <c r="I408" s="1003"/>
      <c r="J408" s="1003"/>
      <c r="K408" s="1003"/>
      <c r="L408" s="1003"/>
      <c r="M408" s="1003"/>
      <c r="N408" s="1003"/>
      <c r="O408" s="1003"/>
      <c r="P408" s="1003"/>
      <c r="Q408" s="1003"/>
    </row>
    <row r="409" spans="3:17" ht="15.75" customHeight="1">
      <c r="C409" s="1003"/>
      <c r="D409" s="1003"/>
      <c r="E409" s="1003"/>
      <c r="F409" s="1003"/>
      <c r="G409" s="1003"/>
      <c r="H409" s="1003"/>
      <c r="I409" s="1003"/>
      <c r="J409" s="1003"/>
      <c r="K409" s="1003"/>
      <c r="L409" s="1003"/>
      <c r="M409" s="1003"/>
      <c r="N409" s="1003"/>
      <c r="O409" s="1003"/>
      <c r="P409" s="1003"/>
      <c r="Q409" s="1003"/>
    </row>
    <row r="410" spans="3:17" ht="15.75" customHeight="1">
      <c r="C410" s="1003"/>
      <c r="D410" s="1003"/>
      <c r="E410" s="1003"/>
      <c r="F410" s="1003"/>
      <c r="G410" s="1003"/>
      <c r="H410" s="1003"/>
      <c r="I410" s="1003"/>
      <c r="J410" s="1003"/>
      <c r="K410" s="1003"/>
      <c r="L410" s="1003"/>
      <c r="M410" s="1003"/>
      <c r="N410" s="1003"/>
      <c r="O410" s="1003"/>
      <c r="P410" s="1003"/>
      <c r="Q410" s="1003"/>
    </row>
    <row r="411" spans="3:17" ht="15.75" customHeight="1">
      <c r="C411" s="1003"/>
      <c r="D411" s="1003"/>
      <c r="E411" s="1003"/>
      <c r="F411" s="1003"/>
      <c r="G411" s="1003"/>
      <c r="H411" s="1003"/>
      <c r="I411" s="1003"/>
      <c r="J411" s="1003"/>
      <c r="K411" s="1003"/>
      <c r="L411" s="1003"/>
      <c r="M411" s="1003"/>
      <c r="N411" s="1003"/>
      <c r="O411" s="1003"/>
      <c r="P411" s="1003"/>
      <c r="Q411" s="1003"/>
    </row>
    <row r="412" spans="3:17" ht="15.75" customHeight="1">
      <c r="C412" s="1003"/>
      <c r="D412" s="1003"/>
      <c r="E412" s="1003"/>
      <c r="F412" s="1003"/>
      <c r="G412" s="1003"/>
      <c r="H412" s="1003"/>
      <c r="I412" s="1003"/>
      <c r="J412" s="1003"/>
      <c r="K412" s="1003"/>
      <c r="L412" s="1003"/>
      <c r="M412" s="1003"/>
      <c r="N412" s="1003"/>
      <c r="O412" s="1003"/>
      <c r="P412" s="1003"/>
      <c r="Q412" s="1003"/>
    </row>
    <row r="413" spans="3:17" ht="15.75" customHeight="1">
      <c r="C413" s="1003"/>
      <c r="D413" s="1003"/>
      <c r="E413" s="1003"/>
      <c r="F413" s="1003"/>
      <c r="G413" s="1003"/>
      <c r="H413" s="1003"/>
      <c r="I413" s="1003"/>
      <c r="J413" s="1003"/>
      <c r="K413" s="1003"/>
      <c r="L413" s="1003"/>
      <c r="M413" s="1003"/>
      <c r="N413" s="1003"/>
      <c r="O413" s="1003"/>
      <c r="P413" s="1003"/>
      <c r="Q413" s="1003"/>
    </row>
    <row r="414" spans="3:17" ht="15.75" customHeight="1">
      <c r="C414" s="1003"/>
      <c r="D414" s="1003"/>
      <c r="E414" s="1003"/>
      <c r="F414" s="1003"/>
      <c r="G414" s="1003"/>
      <c r="H414" s="1003"/>
      <c r="I414" s="1003"/>
      <c r="J414" s="1003"/>
      <c r="K414" s="1003"/>
      <c r="L414" s="1003"/>
      <c r="M414" s="1003"/>
      <c r="N414" s="1003"/>
      <c r="O414" s="1003"/>
      <c r="P414" s="1003"/>
      <c r="Q414" s="1003"/>
    </row>
    <row r="415" spans="3:17" ht="15.75" customHeight="1">
      <c r="C415" s="1003"/>
      <c r="D415" s="1003"/>
      <c r="E415" s="1003"/>
      <c r="F415" s="1003"/>
      <c r="G415" s="1003"/>
      <c r="H415" s="1003"/>
      <c r="I415" s="1003"/>
      <c r="J415" s="1003"/>
      <c r="K415" s="1003"/>
      <c r="L415" s="1003"/>
      <c r="M415" s="1003"/>
      <c r="N415" s="1003"/>
      <c r="O415" s="1003"/>
      <c r="P415" s="1003"/>
      <c r="Q415" s="1003"/>
    </row>
    <row r="416" spans="3:17" ht="15.75" customHeight="1">
      <c r="C416" s="1003"/>
      <c r="D416" s="1003"/>
      <c r="E416" s="1003"/>
      <c r="F416" s="1003"/>
      <c r="G416" s="1003"/>
      <c r="H416" s="1003"/>
      <c r="I416" s="1003"/>
      <c r="J416" s="1003"/>
      <c r="K416" s="1003"/>
      <c r="L416" s="1003"/>
      <c r="M416" s="1003"/>
      <c r="N416" s="1003"/>
      <c r="O416" s="1003"/>
      <c r="P416" s="1003"/>
      <c r="Q416" s="1003"/>
    </row>
    <row r="417" spans="3:17" ht="15.75" customHeight="1">
      <c r="C417" s="1003"/>
      <c r="D417" s="1003"/>
      <c r="E417" s="1003"/>
      <c r="F417" s="1003"/>
      <c r="G417" s="1003"/>
      <c r="H417" s="1003"/>
      <c r="I417" s="1003"/>
      <c r="J417" s="1003"/>
      <c r="K417" s="1003"/>
      <c r="L417" s="1003"/>
      <c r="M417" s="1003"/>
      <c r="N417" s="1003"/>
      <c r="O417" s="1003"/>
      <c r="P417" s="1003"/>
      <c r="Q417" s="1003"/>
    </row>
    <row r="418" spans="3:17" ht="15.75" customHeight="1">
      <c r="C418" s="1003"/>
      <c r="D418" s="1003"/>
      <c r="E418" s="1003"/>
      <c r="F418" s="1003"/>
      <c r="G418" s="1003"/>
      <c r="H418" s="1003"/>
      <c r="I418" s="1003"/>
      <c r="J418" s="1003"/>
      <c r="K418" s="1003"/>
      <c r="L418" s="1003"/>
      <c r="M418" s="1003"/>
      <c r="N418" s="1003"/>
      <c r="O418" s="1003"/>
      <c r="P418" s="1003"/>
      <c r="Q418" s="1003"/>
    </row>
    <row r="419" spans="3:17" ht="15.75" customHeight="1">
      <c r="C419" s="1003"/>
      <c r="D419" s="1003"/>
      <c r="E419" s="1003"/>
      <c r="F419" s="1003"/>
      <c r="G419" s="1003"/>
      <c r="H419" s="1003"/>
      <c r="I419" s="1003"/>
      <c r="J419" s="1003"/>
      <c r="K419" s="1003"/>
      <c r="L419" s="1003"/>
      <c r="M419" s="1003"/>
      <c r="N419" s="1003"/>
      <c r="O419" s="1003"/>
      <c r="P419" s="1003"/>
      <c r="Q419" s="1003"/>
    </row>
    <row r="420" spans="3:17" ht="15.75" customHeight="1">
      <c r="C420" s="1003"/>
      <c r="D420" s="1003"/>
      <c r="E420" s="1003"/>
      <c r="F420" s="1003"/>
      <c r="G420" s="1003"/>
      <c r="H420" s="1003"/>
      <c r="I420" s="1003"/>
      <c r="J420" s="1003"/>
      <c r="K420" s="1003"/>
      <c r="L420" s="1003"/>
      <c r="M420" s="1003"/>
      <c r="N420" s="1003"/>
      <c r="O420" s="1003"/>
      <c r="P420" s="1003"/>
      <c r="Q420" s="1003"/>
    </row>
    <row r="421" spans="3:17" ht="15.75" customHeight="1">
      <c r="C421" s="1003"/>
      <c r="D421" s="1003"/>
      <c r="E421" s="1003"/>
      <c r="F421" s="1003"/>
      <c r="G421" s="1003"/>
      <c r="H421" s="1003"/>
      <c r="I421" s="1003"/>
      <c r="J421" s="1003"/>
      <c r="K421" s="1003"/>
      <c r="L421" s="1003"/>
      <c r="M421" s="1003"/>
      <c r="N421" s="1003"/>
      <c r="O421" s="1003"/>
      <c r="P421" s="1003"/>
      <c r="Q421" s="1003"/>
    </row>
    <row r="422" spans="3:17" ht="15.75" customHeight="1">
      <c r="C422" s="1003"/>
      <c r="D422" s="1003"/>
      <c r="E422" s="1003"/>
      <c r="F422" s="1003"/>
      <c r="G422" s="1003"/>
      <c r="H422" s="1003"/>
      <c r="I422" s="1003"/>
      <c r="J422" s="1003"/>
      <c r="K422" s="1003"/>
      <c r="L422" s="1003"/>
      <c r="M422" s="1003"/>
      <c r="N422" s="1003"/>
      <c r="O422" s="1003"/>
      <c r="P422" s="1003"/>
      <c r="Q422" s="1003"/>
    </row>
    <row r="423" spans="3:17" ht="15.75" customHeight="1">
      <c r="C423" s="1003"/>
      <c r="D423" s="1003"/>
      <c r="E423" s="1003"/>
      <c r="F423" s="1003"/>
      <c r="G423" s="1003"/>
      <c r="H423" s="1003"/>
      <c r="I423" s="1003"/>
      <c r="J423" s="1003"/>
      <c r="K423" s="1003"/>
      <c r="L423" s="1003"/>
      <c r="M423" s="1003"/>
      <c r="N423" s="1003"/>
      <c r="O423" s="1003"/>
      <c r="P423" s="1003"/>
      <c r="Q423" s="1003"/>
    </row>
    <row r="424" spans="3:17" ht="15.75" customHeight="1">
      <c r="C424" s="1003"/>
      <c r="D424" s="1003"/>
      <c r="E424" s="1003"/>
      <c r="F424" s="1003"/>
      <c r="G424" s="1003"/>
      <c r="H424" s="1003"/>
      <c r="I424" s="1003"/>
      <c r="J424" s="1003"/>
      <c r="K424" s="1003"/>
      <c r="L424" s="1003"/>
      <c r="M424" s="1003"/>
      <c r="N424" s="1003"/>
      <c r="O424" s="1003"/>
      <c r="P424" s="1003"/>
      <c r="Q424" s="1003"/>
    </row>
    <row r="425" spans="3:17" ht="15.75" customHeight="1">
      <c r="C425" s="1003"/>
      <c r="D425" s="1003"/>
      <c r="E425" s="1003"/>
      <c r="F425" s="1003"/>
      <c r="G425" s="1003"/>
      <c r="H425" s="1003"/>
      <c r="I425" s="1003"/>
      <c r="J425" s="1003"/>
      <c r="K425" s="1003"/>
      <c r="L425" s="1003"/>
      <c r="M425" s="1003"/>
      <c r="N425" s="1003"/>
      <c r="O425" s="1003"/>
      <c r="P425" s="1003"/>
      <c r="Q425" s="1003"/>
    </row>
    <row r="426" spans="3:17" ht="15.75" customHeight="1">
      <c r="C426" s="1003"/>
      <c r="D426" s="1003"/>
      <c r="E426" s="1003"/>
      <c r="F426" s="1003"/>
      <c r="G426" s="1003"/>
      <c r="H426" s="1003"/>
      <c r="I426" s="1003"/>
      <c r="J426" s="1003"/>
      <c r="K426" s="1003"/>
      <c r="L426" s="1003"/>
      <c r="M426" s="1003"/>
      <c r="N426" s="1003"/>
      <c r="O426" s="1003"/>
      <c r="P426" s="1003"/>
      <c r="Q426" s="1003"/>
    </row>
    <row r="427" spans="3:17" ht="15.75" customHeight="1">
      <c r="C427" s="1003"/>
      <c r="D427" s="1003"/>
      <c r="E427" s="1003"/>
      <c r="F427" s="1003"/>
      <c r="G427" s="1003"/>
      <c r="H427" s="1003"/>
      <c r="I427" s="1003"/>
      <c r="J427" s="1003"/>
      <c r="K427" s="1003"/>
      <c r="L427" s="1003"/>
      <c r="M427" s="1003"/>
      <c r="N427" s="1003"/>
      <c r="O427" s="1003"/>
      <c r="P427" s="1003"/>
      <c r="Q427" s="1003"/>
    </row>
    <row r="428" spans="3:17" ht="15.75" customHeight="1">
      <c r="C428" s="1003"/>
      <c r="D428" s="1003"/>
      <c r="E428" s="1003"/>
      <c r="F428" s="1003"/>
      <c r="G428" s="1003"/>
      <c r="H428" s="1003"/>
      <c r="I428" s="1003"/>
      <c r="J428" s="1003"/>
      <c r="K428" s="1003"/>
      <c r="L428" s="1003"/>
      <c r="M428" s="1003"/>
      <c r="N428" s="1003"/>
      <c r="O428" s="1003"/>
      <c r="P428" s="1003"/>
      <c r="Q428" s="1003"/>
    </row>
    <row r="429" spans="3:17" ht="15.75" customHeight="1">
      <c r="C429" s="1003"/>
      <c r="D429" s="1003"/>
      <c r="E429" s="1003"/>
      <c r="F429" s="1003"/>
      <c r="G429" s="1003"/>
      <c r="H429" s="1003"/>
      <c r="I429" s="1003"/>
      <c r="J429" s="1003"/>
      <c r="K429" s="1003"/>
      <c r="L429" s="1003"/>
      <c r="M429" s="1003"/>
      <c r="N429" s="1003"/>
      <c r="O429" s="1003"/>
      <c r="P429" s="1003"/>
      <c r="Q429" s="1003"/>
    </row>
    <row r="430" spans="3:17" ht="15.75" customHeight="1">
      <c r="C430" s="1003"/>
      <c r="D430" s="1003"/>
      <c r="E430" s="1003"/>
      <c r="F430" s="1003"/>
      <c r="G430" s="1003"/>
      <c r="H430" s="1003"/>
      <c r="I430" s="1003"/>
      <c r="J430" s="1003"/>
      <c r="K430" s="1003"/>
      <c r="L430" s="1003"/>
      <c r="M430" s="1003"/>
      <c r="N430" s="1003"/>
      <c r="O430" s="1003"/>
      <c r="P430" s="1003"/>
      <c r="Q430" s="1003"/>
    </row>
    <row r="431" spans="3:17" ht="15.75" customHeight="1">
      <c r="C431" s="1003"/>
      <c r="D431" s="1003"/>
      <c r="E431" s="1003"/>
      <c r="F431" s="1003"/>
      <c r="G431" s="1003"/>
      <c r="H431" s="1003"/>
      <c r="I431" s="1003"/>
      <c r="J431" s="1003"/>
      <c r="K431" s="1003"/>
      <c r="L431" s="1003"/>
      <c r="M431" s="1003"/>
      <c r="N431" s="1003"/>
      <c r="O431" s="1003"/>
      <c r="P431" s="1003"/>
      <c r="Q431" s="1003"/>
    </row>
    <row r="432" spans="3:17" ht="15.75" customHeight="1">
      <c r="C432" s="1003"/>
      <c r="D432" s="1003"/>
      <c r="E432" s="1003"/>
      <c r="F432" s="1003"/>
      <c r="G432" s="1003"/>
      <c r="H432" s="1003"/>
      <c r="I432" s="1003"/>
      <c r="J432" s="1003"/>
      <c r="K432" s="1003"/>
      <c r="L432" s="1003"/>
      <c r="M432" s="1003"/>
      <c r="N432" s="1003"/>
      <c r="O432" s="1003"/>
      <c r="P432" s="1003"/>
      <c r="Q432" s="1003"/>
    </row>
    <row r="433" spans="3:17" ht="15.75" customHeight="1">
      <c r="C433" s="1003"/>
      <c r="D433" s="1003"/>
      <c r="E433" s="1003"/>
      <c r="F433" s="1003"/>
      <c r="G433" s="1003"/>
      <c r="H433" s="1003"/>
      <c r="I433" s="1003"/>
      <c r="J433" s="1003"/>
      <c r="K433" s="1003"/>
      <c r="L433" s="1003"/>
      <c r="M433" s="1003"/>
      <c r="N433" s="1003"/>
      <c r="O433" s="1003"/>
      <c r="P433" s="1003"/>
      <c r="Q433" s="1003"/>
    </row>
    <row r="434" spans="3:17" ht="15.75" customHeight="1">
      <c r="C434" s="1003"/>
      <c r="D434" s="1003"/>
      <c r="E434" s="1003"/>
      <c r="F434" s="1003"/>
      <c r="G434" s="1003"/>
      <c r="H434" s="1003"/>
      <c r="I434" s="1003"/>
      <c r="J434" s="1003"/>
      <c r="K434" s="1003"/>
      <c r="L434" s="1003"/>
      <c r="M434" s="1003"/>
      <c r="N434" s="1003"/>
      <c r="O434" s="1003"/>
      <c r="P434" s="1003"/>
      <c r="Q434" s="1003"/>
    </row>
    <row r="435" spans="3:17" ht="15.75" customHeight="1">
      <c r="C435" s="1003"/>
      <c r="D435" s="1003"/>
      <c r="E435" s="1003"/>
      <c r="F435" s="1003"/>
      <c r="G435" s="1003"/>
      <c r="H435" s="1003"/>
      <c r="I435" s="1003"/>
      <c r="J435" s="1003"/>
      <c r="K435" s="1003"/>
      <c r="L435" s="1003"/>
      <c r="M435" s="1003"/>
      <c r="N435" s="1003"/>
      <c r="O435" s="1003"/>
      <c r="P435" s="1003"/>
      <c r="Q435" s="1003"/>
    </row>
    <row r="436" spans="3:17" ht="15.75" customHeight="1">
      <c r="C436" s="1003"/>
      <c r="D436" s="1003"/>
      <c r="E436" s="1003"/>
      <c r="F436" s="1003"/>
      <c r="G436" s="1003"/>
      <c r="H436" s="1003"/>
      <c r="I436" s="1003"/>
      <c r="J436" s="1003"/>
      <c r="K436" s="1003"/>
      <c r="L436" s="1003"/>
      <c r="M436" s="1003"/>
      <c r="N436" s="1003"/>
      <c r="O436" s="1003"/>
      <c r="P436" s="1003"/>
      <c r="Q436" s="1003"/>
    </row>
    <row r="437" spans="3:17" ht="15.75" customHeight="1">
      <c r="C437" s="1003"/>
      <c r="D437" s="1003"/>
      <c r="E437" s="1003"/>
      <c r="F437" s="1003"/>
      <c r="G437" s="1003"/>
      <c r="H437" s="1003"/>
      <c r="I437" s="1003"/>
      <c r="J437" s="1003"/>
      <c r="K437" s="1003"/>
      <c r="L437" s="1003"/>
      <c r="M437" s="1003"/>
      <c r="N437" s="1003"/>
      <c r="O437" s="1003"/>
      <c r="P437" s="1003"/>
      <c r="Q437" s="1003"/>
    </row>
    <row r="438" spans="3:17" ht="15.75" customHeight="1">
      <c r="C438" s="1003"/>
      <c r="D438" s="1003"/>
      <c r="E438" s="1003"/>
      <c r="F438" s="1003"/>
      <c r="G438" s="1003"/>
      <c r="H438" s="1003"/>
      <c r="I438" s="1003"/>
      <c r="J438" s="1003"/>
      <c r="K438" s="1003"/>
      <c r="L438" s="1003"/>
      <c r="M438" s="1003"/>
      <c r="N438" s="1003"/>
      <c r="O438" s="1003"/>
      <c r="P438" s="1003"/>
      <c r="Q438" s="1003"/>
    </row>
    <row r="439" spans="3:17" ht="15.75" customHeight="1">
      <c r="C439" s="1003"/>
      <c r="D439" s="1003"/>
      <c r="E439" s="1003"/>
      <c r="F439" s="1003"/>
      <c r="G439" s="1003"/>
      <c r="H439" s="1003"/>
      <c r="I439" s="1003"/>
      <c r="J439" s="1003"/>
      <c r="K439" s="1003"/>
      <c r="L439" s="1003"/>
      <c r="M439" s="1003"/>
      <c r="N439" s="1003"/>
      <c r="O439" s="1003"/>
      <c r="P439" s="1003"/>
      <c r="Q439" s="1003"/>
    </row>
    <row r="440" spans="3:17" ht="15.75" customHeight="1">
      <c r="C440" s="1003"/>
      <c r="D440" s="1003"/>
      <c r="E440" s="1003"/>
      <c r="F440" s="1003"/>
      <c r="G440" s="1003"/>
      <c r="H440" s="1003"/>
      <c r="I440" s="1003"/>
      <c r="J440" s="1003"/>
      <c r="K440" s="1003"/>
      <c r="L440" s="1003"/>
      <c r="M440" s="1003"/>
      <c r="N440" s="1003"/>
      <c r="O440" s="1003"/>
      <c r="P440" s="1003"/>
      <c r="Q440" s="1003"/>
    </row>
    <row r="441" spans="3:17" ht="15.75" customHeight="1">
      <c r="C441" s="1003"/>
      <c r="D441" s="1003"/>
      <c r="E441" s="1003"/>
      <c r="F441" s="1003"/>
      <c r="G441" s="1003"/>
      <c r="H441" s="1003"/>
      <c r="I441" s="1003"/>
      <c r="J441" s="1003"/>
      <c r="K441" s="1003"/>
      <c r="L441" s="1003"/>
      <c r="M441" s="1003"/>
      <c r="N441" s="1003"/>
      <c r="O441" s="1003"/>
      <c r="P441" s="1003"/>
      <c r="Q441" s="1003"/>
    </row>
    <row r="442" spans="3:17" ht="15.75" customHeight="1">
      <c r="C442" s="1003"/>
      <c r="D442" s="1003"/>
      <c r="E442" s="1003"/>
      <c r="F442" s="1003"/>
      <c r="G442" s="1003"/>
      <c r="H442" s="1003"/>
      <c r="I442" s="1003"/>
      <c r="J442" s="1003"/>
      <c r="K442" s="1003"/>
      <c r="L442" s="1003"/>
      <c r="M442" s="1003"/>
      <c r="N442" s="1003"/>
      <c r="O442" s="1003"/>
      <c r="P442" s="1003"/>
      <c r="Q442" s="1003"/>
    </row>
    <row r="443" spans="3:17" ht="15.75" customHeight="1">
      <c r="C443" s="1003"/>
      <c r="D443" s="1003"/>
      <c r="E443" s="1003"/>
      <c r="F443" s="1003"/>
      <c r="G443" s="1003"/>
      <c r="H443" s="1003"/>
      <c r="I443" s="1003"/>
      <c r="J443" s="1003"/>
      <c r="K443" s="1003"/>
      <c r="L443" s="1003"/>
      <c r="M443" s="1003"/>
      <c r="N443" s="1003"/>
      <c r="O443" s="1003"/>
      <c r="P443" s="1003"/>
      <c r="Q443" s="1003"/>
    </row>
    <row r="444" spans="3:17" ht="15.75" customHeight="1">
      <c r="C444" s="1003"/>
      <c r="D444" s="1003"/>
      <c r="E444" s="1003"/>
      <c r="F444" s="1003"/>
      <c r="G444" s="1003"/>
      <c r="H444" s="1003"/>
      <c r="I444" s="1003"/>
      <c r="J444" s="1003"/>
      <c r="K444" s="1003"/>
      <c r="L444" s="1003"/>
      <c r="M444" s="1003"/>
      <c r="N444" s="1003"/>
      <c r="O444" s="1003"/>
      <c r="P444" s="1003"/>
      <c r="Q444" s="1003"/>
    </row>
    <row r="445" spans="3:17" ht="15.75" customHeight="1">
      <c r="C445" s="1003"/>
      <c r="D445" s="1003"/>
      <c r="E445" s="1003"/>
      <c r="F445" s="1003"/>
      <c r="G445" s="1003"/>
      <c r="H445" s="1003"/>
      <c r="I445" s="1003"/>
      <c r="J445" s="1003"/>
      <c r="K445" s="1003"/>
      <c r="L445" s="1003"/>
      <c r="M445" s="1003"/>
      <c r="N445" s="1003"/>
      <c r="O445" s="1003"/>
      <c r="P445" s="1003"/>
      <c r="Q445" s="1003"/>
    </row>
    <row r="446" spans="3:17" ht="15.75" customHeight="1">
      <c r="C446" s="1003"/>
      <c r="D446" s="1003"/>
      <c r="E446" s="1003"/>
      <c r="F446" s="1003"/>
      <c r="G446" s="1003"/>
      <c r="H446" s="1003"/>
      <c r="I446" s="1003"/>
      <c r="J446" s="1003"/>
      <c r="K446" s="1003"/>
      <c r="L446" s="1003"/>
      <c r="M446" s="1003"/>
      <c r="N446" s="1003"/>
      <c r="O446" s="1003"/>
      <c r="P446" s="1003"/>
      <c r="Q446" s="1003"/>
    </row>
    <row r="447" spans="3:17" ht="15.75" customHeight="1">
      <c r="C447" s="1003"/>
      <c r="D447" s="1003"/>
      <c r="E447" s="1003"/>
      <c r="F447" s="1003"/>
      <c r="G447" s="1003"/>
      <c r="H447" s="1003"/>
      <c r="I447" s="1003"/>
      <c r="J447" s="1003"/>
      <c r="K447" s="1003"/>
      <c r="L447" s="1003"/>
      <c r="M447" s="1003"/>
      <c r="N447" s="1003"/>
      <c r="O447" s="1003"/>
      <c r="P447" s="1003"/>
      <c r="Q447" s="1003"/>
    </row>
    <row r="448" spans="3:17" ht="15.75" customHeight="1">
      <c r="C448" s="1003"/>
      <c r="D448" s="1003"/>
      <c r="E448" s="1003"/>
      <c r="F448" s="1003"/>
      <c r="G448" s="1003"/>
      <c r="H448" s="1003"/>
      <c r="I448" s="1003"/>
      <c r="J448" s="1003"/>
      <c r="K448" s="1003"/>
      <c r="L448" s="1003"/>
      <c r="M448" s="1003"/>
      <c r="N448" s="1003"/>
      <c r="O448" s="1003"/>
      <c r="P448" s="1003"/>
      <c r="Q448" s="1003"/>
    </row>
    <row r="449" spans="3:17" ht="15.75" customHeight="1">
      <c r="C449" s="1003"/>
      <c r="D449" s="1003"/>
      <c r="E449" s="1003"/>
      <c r="F449" s="1003"/>
      <c r="G449" s="1003"/>
      <c r="H449" s="1003"/>
      <c r="I449" s="1003"/>
      <c r="J449" s="1003"/>
      <c r="K449" s="1003"/>
      <c r="L449" s="1003"/>
      <c r="M449" s="1003"/>
      <c r="N449" s="1003"/>
      <c r="O449" s="1003"/>
      <c r="P449" s="1003"/>
      <c r="Q449" s="1003"/>
    </row>
    <row r="450" spans="3:17" ht="15.75" customHeight="1">
      <c r="C450" s="1003"/>
      <c r="D450" s="1003"/>
      <c r="E450" s="1003"/>
      <c r="F450" s="1003"/>
      <c r="G450" s="1003"/>
      <c r="H450" s="1003"/>
      <c r="I450" s="1003"/>
      <c r="J450" s="1003"/>
      <c r="K450" s="1003"/>
      <c r="L450" s="1003"/>
      <c r="M450" s="1003"/>
      <c r="N450" s="1003"/>
      <c r="O450" s="1003"/>
      <c r="P450" s="1003"/>
      <c r="Q450" s="1003"/>
    </row>
    <row r="451" spans="3:17" ht="15.75" customHeight="1">
      <c r="C451" s="1003"/>
      <c r="D451" s="1003"/>
      <c r="E451" s="1003"/>
      <c r="F451" s="1003"/>
      <c r="G451" s="1003"/>
      <c r="H451" s="1003"/>
      <c r="I451" s="1003"/>
      <c r="J451" s="1003"/>
      <c r="K451" s="1003"/>
      <c r="L451" s="1003"/>
      <c r="M451" s="1003"/>
      <c r="N451" s="1003"/>
      <c r="O451" s="1003"/>
      <c r="P451" s="1003"/>
      <c r="Q451" s="1003"/>
    </row>
    <row r="452" spans="3:17" ht="15.75" customHeight="1">
      <c r="C452" s="1003"/>
      <c r="D452" s="1003"/>
      <c r="E452" s="1003"/>
      <c r="F452" s="1003"/>
      <c r="G452" s="1003"/>
      <c r="H452" s="1003"/>
      <c r="I452" s="1003"/>
      <c r="J452" s="1003"/>
      <c r="K452" s="1003"/>
      <c r="L452" s="1003"/>
      <c r="M452" s="1003"/>
      <c r="N452" s="1003"/>
      <c r="O452" s="1003"/>
      <c r="P452" s="1003"/>
      <c r="Q452" s="1003"/>
    </row>
    <row r="453" spans="3:17" ht="15.75" customHeight="1">
      <c r="C453" s="1003"/>
      <c r="D453" s="1003"/>
      <c r="E453" s="1003"/>
      <c r="F453" s="1003"/>
      <c r="G453" s="1003"/>
      <c r="H453" s="1003"/>
      <c r="I453" s="1003"/>
      <c r="J453" s="1003"/>
      <c r="K453" s="1003"/>
      <c r="L453" s="1003"/>
      <c r="M453" s="1003"/>
      <c r="N453" s="1003"/>
      <c r="O453" s="1003"/>
      <c r="P453" s="1003"/>
      <c r="Q453" s="1003"/>
    </row>
    <row r="454" spans="3:17" ht="15.75" customHeight="1">
      <c r="C454" s="1003"/>
      <c r="D454" s="1003"/>
      <c r="E454" s="1003"/>
      <c r="F454" s="1003"/>
      <c r="G454" s="1003"/>
      <c r="H454" s="1003"/>
      <c r="I454" s="1003"/>
      <c r="J454" s="1003"/>
      <c r="K454" s="1003"/>
      <c r="L454" s="1003"/>
      <c r="M454" s="1003"/>
      <c r="N454" s="1003"/>
      <c r="O454" s="1003"/>
      <c r="P454" s="1003"/>
      <c r="Q454" s="1003"/>
    </row>
    <row r="455" spans="3:17" ht="15.75" customHeight="1">
      <c r="C455" s="1003"/>
      <c r="D455" s="1003"/>
      <c r="E455" s="1003"/>
      <c r="F455" s="1003"/>
      <c r="G455" s="1003"/>
      <c r="H455" s="1003"/>
      <c r="I455" s="1003"/>
      <c r="J455" s="1003"/>
      <c r="K455" s="1003"/>
      <c r="L455" s="1003"/>
      <c r="M455" s="1003"/>
      <c r="N455" s="1003"/>
      <c r="O455" s="1003"/>
      <c r="P455" s="1003"/>
      <c r="Q455" s="1003"/>
    </row>
    <row r="456" spans="3:17" ht="15.75" customHeight="1">
      <c r="C456" s="1003"/>
      <c r="D456" s="1003"/>
      <c r="E456" s="1003"/>
      <c r="F456" s="1003"/>
      <c r="G456" s="1003"/>
      <c r="H456" s="1003"/>
      <c r="I456" s="1003"/>
      <c r="J456" s="1003"/>
      <c r="K456" s="1003"/>
      <c r="L456" s="1003"/>
      <c r="M456" s="1003"/>
      <c r="N456" s="1003"/>
      <c r="O456" s="1003"/>
      <c r="P456" s="1003"/>
      <c r="Q456" s="1003"/>
    </row>
    <row r="457" spans="3:17" ht="15.75" customHeight="1">
      <c r="C457" s="1003"/>
      <c r="D457" s="1003"/>
      <c r="E457" s="1003"/>
      <c r="F457" s="1003"/>
      <c r="G457" s="1003"/>
      <c r="H457" s="1003"/>
      <c r="I457" s="1003"/>
      <c r="J457" s="1003"/>
      <c r="K457" s="1003"/>
      <c r="L457" s="1003"/>
      <c r="M457" s="1003"/>
      <c r="N457" s="1003"/>
      <c r="O457" s="1003"/>
      <c r="P457" s="1003"/>
      <c r="Q457" s="1003"/>
    </row>
    <row r="458" spans="3:17" ht="15.75" customHeight="1">
      <c r="C458" s="1003"/>
      <c r="D458" s="1003"/>
      <c r="E458" s="1003"/>
      <c r="F458" s="1003"/>
      <c r="G458" s="1003"/>
      <c r="H458" s="1003"/>
      <c r="I458" s="1003"/>
      <c r="J458" s="1003"/>
      <c r="K458" s="1003"/>
      <c r="L458" s="1003"/>
      <c r="M458" s="1003"/>
      <c r="N458" s="1003"/>
      <c r="O458" s="1003"/>
      <c r="P458" s="1003"/>
      <c r="Q458" s="1003"/>
    </row>
    <row r="459" spans="3:17" ht="15.75" customHeight="1">
      <c r="C459" s="1003"/>
      <c r="D459" s="1003"/>
      <c r="E459" s="1003"/>
      <c r="F459" s="1003"/>
      <c r="G459" s="1003"/>
      <c r="H459" s="1003"/>
      <c r="I459" s="1003"/>
      <c r="J459" s="1003"/>
      <c r="K459" s="1003"/>
      <c r="L459" s="1003"/>
      <c r="M459" s="1003"/>
      <c r="N459" s="1003"/>
      <c r="O459" s="1003"/>
      <c r="P459" s="1003"/>
      <c r="Q459" s="1003"/>
    </row>
    <row r="460" spans="3:17" ht="15.75" customHeight="1">
      <c r="C460" s="1003"/>
      <c r="D460" s="1003"/>
      <c r="E460" s="1003"/>
      <c r="F460" s="1003"/>
      <c r="G460" s="1003"/>
      <c r="H460" s="1003"/>
      <c r="I460" s="1003"/>
      <c r="J460" s="1003"/>
      <c r="K460" s="1003"/>
      <c r="L460" s="1003"/>
      <c r="M460" s="1003"/>
      <c r="N460" s="1003"/>
      <c r="O460" s="1003"/>
      <c r="P460" s="1003"/>
      <c r="Q460" s="1003"/>
    </row>
    <row r="461" spans="3:17" ht="15.75" customHeight="1">
      <c r="C461" s="1003"/>
      <c r="D461" s="1003"/>
      <c r="E461" s="1003"/>
      <c r="F461" s="1003"/>
      <c r="G461" s="1003"/>
      <c r="H461" s="1003"/>
      <c r="I461" s="1003"/>
      <c r="J461" s="1003"/>
      <c r="K461" s="1003"/>
      <c r="L461" s="1003"/>
      <c r="M461" s="1003"/>
      <c r="N461" s="1003"/>
      <c r="O461" s="1003"/>
      <c r="P461" s="1003"/>
      <c r="Q461" s="1003"/>
    </row>
    <row r="462" spans="3:17" ht="15.75" customHeight="1">
      <c r="C462" s="1003"/>
      <c r="D462" s="1003"/>
      <c r="E462" s="1003"/>
      <c r="F462" s="1003"/>
      <c r="G462" s="1003"/>
      <c r="H462" s="1003"/>
      <c r="I462" s="1003"/>
      <c r="J462" s="1003"/>
      <c r="K462" s="1003"/>
      <c r="L462" s="1003"/>
      <c r="M462" s="1003"/>
      <c r="N462" s="1003"/>
      <c r="O462" s="1003"/>
      <c r="P462" s="1003"/>
      <c r="Q462" s="1003"/>
    </row>
    <row r="463" spans="3:17" ht="15.75" customHeight="1">
      <c r="C463" s="1003"/>
      <c r="D463" s="1003"/>
      <c r="E463" s="1003"/>
      <c r="F463" s="1003"/>
      <c r="G463" s="1003"/>
      <c r="H463" s="1003"/>
      <c r="I463" s="1003"/>
      <c r="J463" s="1003"/>
      <c r="K463" s="1003"/>
      <c r="L463" s="1003"/>
      <c r="M463" s="1003"/>
      <c r="N463" s="1003"/>
      <c r="O463" s="1003"/>
      <c r="P463" s="1003"/>
      <c r="Q463" s="1003"/>
    </row>
    <row r="464" spans="3:17" ht="15.75" customHeight="1">
      <c r="C464" s="1003"/>
      <c r="D464" s="1003"/>
      <c r="E464" s="1003"/>
      <c r="F464" s="1003"/>
      <c r="G464" s="1003"/>
      <c r="H464" s="1003"/>
      <c r="I464" s="1003"/>
      <c r="J464" s="1003"/>
      <c r="K464" s="1003"/>
      <c r="L464" s="1003"/>
      <c r="M464" s="1003"/>
      <c r="N464" s="1003"/>
      <c r="O464" s="1003"/>
      <c r="P464" s="1003"/>
      <c r="Q464" s="1003"/>
    </row>
    <row r="465" spans="3:17" ht="15.75" customHeight="1">
      <c r="C465" s="1003"/>
      <c r="D465" s="1003"/>
      <c r="E465" s="1003"/>
      <c r="F465" s="1003"/>
      <c r="G465" s="1003"/>
      <c r="H465" s="1003"/>
      <c r="I465" s="1003"/>
      <c r="J465" s="1003"/>
      <c r="K465" s="1003"/>
      <c r="L465" s="1003"/>
      <c r="M465" s="1003"/>
      <c r="N465" s="1003"/>
      <c r="O465" s="1003"/>
      <c r="P465" s="1003"/>
      <c r="Q465" s="1003"/>
    </row>
    <row r="466" spans="3:17" ht="15.75" customHeight="1">
      <c r="C466" s="1003"/>
      <c r="D466" s="1003"/>
      <c r="E466" s="1003"/>
      <c r="F466" s="1003"/>
      <c r="G466" s="1003"/>
      <c r="H466" s="1003"/>
      <c r="I466" s="1003"/>
      <c r="J466" s="1003"/>
      <c r="K466" s="1003"/>
      <c r="L466" s="1003"/>
      <c r="M466" s="1003"/>
      <c r="N466" s="1003"/>
      <c r="O466" s="1003"/>
      <c r="P466" s="1003"/>
      <c r="Q466" s="1003"/>
    </row>
    <row r="467" spans="3:17" ht="15.75" customHeight="1">
      <c r="C467" s="1003"/>
      <c r="D467" s="1003"/>
      <c r="E467" s="1003"/>
      <c r="F467" s="1003"/>
      <c r="G467" s="1003"/>
      <c r="H467" s="1003"/>
      <c r="I467" s="1003"/>
      <c r="J467" s="1003"/>
      <c r="K467" s="1003"/>
      <c r="L467" s="1003"/>
      <c r="M467" s="1003"/>
      <c r="N467" s="1003"/>
      <c r="O467" s="1003"/>
      <c r="P467" s="1003"/>
      <c r="Q467" s="1003"/>
    </row>
    <row r="468" spans="3:17" ht="15.75" customHeight="1">
      <c r="C468" s="1003"/>
      <c r="D468" s="1003"/>
      <c r="E468" s="1003"/>
      <c r="F468" s="1003"/>
      <c r="G468" s="1003"/>
      <c r="H468" s="1003"/>
      <c r="I468" s="1003"/>
      <c r="J468" s="1003"/>
      <c r="K468" s="1003"/>
      <c r="L468" s="1003"/>
      <c r="M468" s="1003"/>
      <c r="N468" s="1003"/>
      <c r="O468" s="1003"/>
      <c r="P468" s="1003"/>
      <c r="Q468" s="1003"/>
    </row>
    <row r="469" spans="3:17" ht="15.75" customHeight="1">
      <c r="C469" s="1003"/>
      <c r="D469" s="1003"/>
      <c r="E469" s="1003"/>
      <c r="F469" s="1003"/>
      <c r="G469" s="1003"/>
      <c r="H469" s="1003"/>
      <c r="I469" s="1003"/>
      <c r="J469" s="1003"/>
      <c r="K469" s="1003"/>
      <c r="L469" s="1003"/>
      <c r="M469" s="1003"/>
      <c r="N469" s="1003"/>
      <c r="O469" s="1003"/>
      <c r="P469" s="1003"/>
      <c r="Q469" s="1003"/>
    </row>
    <row r="470" spans="3:17" ht="15.75" customHeight="1">
      <c r="C470" s="1003"/>
      <c r="D470" s="1003"/>
      <c r="E470" s="1003"/>
      <c r="F470" s="1003"/>
      <c r="G470" s="1003"/>
      <c r="H470" s="1003"/>
      <c r="I470" s="1003"/>
      <c r="J470" s="1003"/>
      <c r="K470" s="1003"/>
      <c r="L470" s="1003"/>
      <c r="M470" s="1003"/>
      <c r="N470" s="1003"/>
      <c r="O470" s="1003"/>
      <c r="P470" s="1003"/>
      <c r="Q470" s="1003"/>
    </row>
    <row r="471" spans="3:17" ht="15.75" customHeight="1">
      <c r="C471" s="1003"/>
      <c r="D471" s="1003"/>
      <c r="E471" s="1003"/>
      <c r="F471" s="1003"/>
      <c r="G471" s="1003"/>
      <c r="H471" s="1003"/>
      <c r="I471" s="1003"/>
      <c r="J471" s="1003"/>
      <c r="K471" s="1003"/>
      <c r="L471" s="1003"/>
      <c r="M471" s="1003"/>
      <c r="N471" s="1003"/>
      <c r="O471" s="1003"/>
      <c r="P471" s="1003"/>
      <c r="Q471" s="1003"/>
    </row>
    <row r="472" spans="3:17" ht="15.75" customHeight="1">
      <c r="C472" s="1003"/>
      <c r="D472" s="1003"/>
      <c r="E472" s="1003"/>
      <c r="F472" s="1003"/>
      <c r="G472" s="1003"/>
      <c r="H472" s="1003"/>
      <c r="I472" s="1003"/>
      <c r="J472" s="1003"/>
      <c r="K472" s="1003"/>
      <c r="L472" s="1003"/>
      <c r="M472" s="1003"/>
      <c r="N472" s="1003"/>
      <c r="O472" s="1003"/>
      <c r="P472" s="1003"/>
      <c r="Q472" s="1003"/>
    </row>
    <row r="473" spans="3:17" ht="15.75" customHeight="1">
      <c r="C473" s="1003"/>
      <c r="D473" s="1003"/>
      <c r="E473" s="1003"/>
      <c r="F473" s="1003"/>
      <c r="G473" s="1003"/>
      <c r="H473" s="1003"/>
      <c r="I473" s="1003"/>
      <c r="J473" s="1003"/>
      <c r="K473" s="1003"/>
      <c r="L473" s="1003"/>
      <c r="M473" s="1003"/>
      <c r="N473" s="1003"/>
      <c r="O473" s="1003"/>
      <c r="P473" s="1003"/>
      <c r="Q473" s="1003"/>
    </row>
    <row r="474" spans="3:17" ht="15.75" customHeight="1">
      <c r="C474" s="1003"/>
      <c r="D474" s="1003"/>
      <c r="E474" s="1003"/>
      <c r="F474" s="1003"/>
      <c r="G474" s="1003"/>
      <c r="H474" s="1003"/>
      <c r="I474" s="1003"/>
      <c r="J474" s="1003"/>
      <c r="K474" s="1003"/>
      <c r="L474" s="1003"/>
      <c r="M474" s="1003"/>
      <c r="N474" s="1003"/>
      <c r="O474" s="1003"/>
      <c r="P474" s="1003"/>
      <c r="Q474" s="1003"/>
    </row>
    <row r="475" spans="3:17" ht="15.75" customHeight="1">
      <c r="C475" s="1003"/>
      <c r="D475" s="1003"/>
      <c r="E475" s="1003"/>
      <c r="F475" s="1003"/>
      <c r="G475" s="1003"/>
      <c r="H475" s="1003"/>
      <c r="I475" s="1003"/>
      <c r="J475" s="1003"/>
      <c r="K475" s="1003"/>
      <c r="L475" s="1003"/>
      <c r="M475" s="1003"/>
      <c r="N475" s="1003"/>
      <c r="O475" s="1003"/>
      <c r="P475" s="1003"/>
      <c r="Q475" s="1003"/>
    </row>
    <row r="476" spans="3:17" ht="15.75" customHeight="1">
      <c r="C476" s="1003"/>
      <c r="D476" s="1003"/>
      <c r="E476" s="1003"/>
      <c r="F476" s="1003"/>
      <c r="G476" s="1003"/>
      <c r="H476" s="1003"/>
      <c r="I476" s="1003"/>
      <c r="J476" s="1003"/>
      <c r="K476" s="1003"/>
      <c r="L476" s="1003"/>
      <c r="M476" s="1003"/>
      <c r="N476" s="1003"/>
      <c r="O476" s="1003"/>
      <c r="P476" s="1003"/>
      <c r="Q476" s="1003"/>
    </row>
    <row r="477" spans="3:17" ht="15.75" customHeight="1">
      <c r="C477" s="1003"/>
      <c r="D477" s="1003"/>
      <c r="E477" s="1003"/>
      <c r="F477" s="1003"/>
      <c r="G477" s="1003"/>
      <c r="H477" s="1003"/>
      <c r="I477" s="1003"/>
      <c r="J477" s="1003"/>
      <c r="K477" s="1003"/>
      <c r="L477" s="1003"/>
      <c r="M477" s="1003"/>
      <c r="N477" s="1003"/>
      <c r="O477" s="1003"/>
      <c r="P477" s="1003"/>
      <c r="Q477" s="1003"/>
    </row>
    <row r="478" spans="3:17" ht="15.75" customHeight="1">
      <c r="C478" s="1003"/>
      <c r="D478" s="1003"/>
      <c r="E478" s="1003"/>
      <c r="F478" s="1003"/>
      <c r="G478" s="1003"/>
      <c r="H478" s="1003"/>
      <c r="I478" s="1003"/>
      <c r="J478" s="1003"/>
      <c r="K478" s="1003"/>
      <c r="L478" s="1003"/>
      <c r="M478" s="1003"/>
      <c r="N478" s="1003"/>
      <c r="O478" s="1003"/>
      <c r="P478" s="1003"/>
      <c r="Q478" s="1003"/>
    </row>
    <row r="479" spans="3:17" ht="15.75" customHeight="1">
      <c r="C479" s="1003"/>
      <c r="D479" s="1003"/>
      <c r="E479" s="1003"/>
      <c r="F479" s="1003"/>
      <c r="G479" s="1003"/>
      <c r="H479" s="1003"/>
      <c r="I479" s="1003"/>
      <c r="J479" s="1003"/>
      <c r="K479" s="1003"/>
      <c r="L479" s="1003"/>
      <c r="M479" s="1003"/>
      <c r="N479" s="1003"/>
      <c r="O479" s="1003"/>
      <c r="P479" s="1003"/>
      <c r="Q479" s="1003"/>
    </row>
    <row r="480" spans="3:17" ht="15.75" customHeight="1">
      <c r="C480" s="1003"/>
      <c r="D480" s="1003"/>
      <c r="E480" s="1003"/>
      <c r="F480" s="1003"/>
      <c r="G480" s="1003"/>
      <c r="H480" s="1003"/>
      <c r="I480" s="1003"/>
      <c r="J480" s="1003"/>
      <c r="K480" s="1003"/>
      <c r="L480" s="1003"/>
      <c r="M480" s="1003"/>
      <c r="N480" s="1003"/>
      <c r="O480" s="1003"/>
      <c r="P480" s="1003"/>
      <c r="Q480" s="1003"/>
    </row>
    <row r="481" spans="3:17" ht="15.75" customHeight="1">
      <c r="C481" s="1003"/>
      <c r="D481" s="1003"/>
      <c r="E481" s="1003"/>
      <c r="F481" s="1003"/>
      <c r="G481" s="1003"/>
      <c r="H481" s="1003"/>
      <c r="I481" s="1003"/>
      <c r="J481" s="1003"/>
      <c r="K481" s="1003"/>
      <c r="L481" s="1003"/>
      <c r="M481" s="1003"/>
      <c r="N481" s="1003"/>
      <c r="O481" s="1003"/>
      <c r="P481" s="1003"/>
      <c r="Q481" s="1003"/>
    </row>
    <row r="482" spans="3:17" ht="15.75" customHeight="1">
      <c r="C482" s="1003"/>
      <c r="D482" s="1003"/>
      <c r="E482" s="1003"/>
      <c r="F482" s="1003"/>
      <c r="G482" s="1003"/>
      <c r="H482" s="1003"/>
      <c r="I482" s="1003"/>
      <c r="J482" s="1003"/>
      <c r="K482" s="1003"/>
      <c r="L482" s="1003"/>
      <c r="M482" s="1003"/>
      <c r="N482" s="1003"/>
      <c r="O482" s="1003"/>
      <c r="P482" s="1003"/>
      <c r="Q482" s="1003"/>
    </row>
    <row r="483" spans="3:17" ht="15.75" customHeight="1">
      <c r="C483" s="1003"/>
      <c r="D483" s="1003"/>
      <c r="E483" s="1003"/>
      <c r="F483" s="1003"/>
      <c r="G483" s="1003"/>
      <c r="H483" s="1003"/>
      <c r="I483" s="1003"/>
      <c r="J483" s="1003"/>
      <c r="K483" s="1003"/>
      <c r="L483" s="1003"/>
      <c r="M483" s="1003"/>
      <c r="N483" s="1003"/>
      <c r="O483" s="1003"/>
      <c r="P483" s="1003"/>
      <c r="Q483" s="1003"/>
    </row>
    <row r="484" spans="3:17" ht="15.75" customHeight="1">
      <c r="C484" s="1003"/>
      <c r="D484" s="1003"/>
      <c r="E484" s="1003"/>
      <c r="F484" s="1003"/>
      <c r="G484" s="1003"/>
      <c r="H484" s="1003"/>
      <c r="I484" s="1003"/>
      <c r="J484" s="1003"/>
      <c r="K484" s="1003"/>
      <c r="L484" s="1003"/>
      <c r="M484" s="1003"/>
      <c r="N484" s="1003"/>
      <c r="O484" s="1003"/>
      <c r="P484" s="1003"/>
      <c r="Q484" s="1003"/>
    </row>
    <row r="485" spans="3:17" ht="15.75" customHeight="1">
      <c r="C485" s="1003"/>
      <c r="D485" s="1003"/>
      <c r="E485" s="1003"/>
      <c r="F485" s="1003"/>
      <c r="G485" s="1003"/>
      <c r="H485" s="1003"/>
      <c r="I485" s="1003"/>
      <c r="J485" s="1003"/>
      <c r="K485" s="1003"/>
      <c r="L485" s="1003"/>
      <c r="M485" s="1003"/>
      <c r="N485" s="1003"/>
      <c r="O485" s="1003"/>
      <c r="P485" s="1003"/>
      <c r="Q485" s="1003"/>
    </row>
    <row r="486" spans="3:17" ht="15.75" customHeight="1">
      <c r="C486" s="1003"/>
      <c r="D486" s="1003"/>
      <c r="E486" s="1003"/>
      <c r="F486" s="1003"/>
      <c r="G486" s="1003"/>
      <c r="H486" s="1003"/>
      <c r="I486" s="1003"/>
      <c r="J486" s="1003"/>
      <c r="K486" s="1003"/>
      <c r="L486" s="1003"/>
      <c r="M486" s="1003"/>
      <c r="N486" s="1003"/>
      <c r="O486" s="1003"/>
      <c r="P486" s="1003"/>
      <c r="Q486" s="1003"/>
    </row>
    <row r="487" spans="3:17" ht="15.75" customHeight="1">
      <c r="C487" s="1003"/>
      <c r="D487" s="1003"/>
      <c r="E487" s="1003"/>
      <c r="F487" s="1003"/>
      <c r="G487" s="1003"/>
      <c r="H487" s="1003"/>
      <c r="I487" s="1003"/>
      <c r="J487" s="1003"/>
      <c r="K487" s="1003"/>
      <c r="L487" s="1003"/>
      <c r="M487" s="1003"/>
      <c r="N487" s="1003"/>
      <c r="O487" s="1003"/>
      <c r="P487" s="1003"/>
      <c r="Q487" s="1003"/>
    </row>
    <row r="488" spans="3:17" ht="15.75" customHeight="1">
      <c r="C488" s="1003"/>
      <c r="D488" s="1003"/>
      <c r="E488" s="1003"/>
      <c r="F488" s="1003"/>
      <c r="G488" s="1003"/>
      <c r="H488" s="1003"/>
      <c r="I488" s="1003"/>
      <c r="J488" s="1003"/>
      <c r="K488" s="1003"/>
      <c r="L488" s="1003"/>
      <c r="M488" s="1003"/>
      <c r="N488" s="1003"/>
      <c r="O488" s="1003"/>
      <c r="P488" s="1003"/>
      <c r="Q488" s="1003"/>
    </row>
    <row r="489" spans="3:17" ht="15.75" customHeight="1">
      <c r="C489" s="1003"/>
      <c r="D489" s="1003"/>
      <c r="E489" s="1003"/>
      <c r="F489" s="1003"/>
      <c r="G489" s="1003"/>
      <c r="H489" s="1003"/>
      <c r="I489" s="1003"/>
      <c r="J489" s="1003"/>
      <c r="K489" s="1003"/>
      <c r="L489" s="1003"/>
      <c r="M489" s="1003"/>
      <c r="N489" s="1003"/>
      <c r="O489" s="1003"/>
      <c r="P489" s="1003"/>
      <c r="Q489" s="1003"/>
    </row>
    <row r="490" spans="3:17" ht="15.75" customHeight="1">
      <c r="C490" s="1003"/>
      <c r="D490" s="1003"/>
      <c r="E490" s="1003"/>
      <c r="F490" s="1003"/>
      <c r="G490" s="1003"/>
      <c r="H490" s="1003"/>
      <c r="I490" s="1003"/>
      <c r="J490" s="1003"/>
      <c r="K490" s="1003"/>
      <c r="L490" s="1003"/>
      <c r="M490" s="1003"/>
      <c r="N490" s="1003"/>
      <c r="O490" s="1003"/>
      <c r="P490" s="1003"/>
      <c r="Q490" s="1003"/>
    </row>
    <row r="491" spans="3:17" ht="15.75" customHeight="1">
      <c r="C491" s="1003"/>
      <c r="D491" s="1003"/>
      <c r="E491" s="1003"/>
      <c r="F491" s="1003"/>
      <c r="G491" s="1003"/>
      <c r="H491" s="1003"/>
      <c r="I491" s="1003"/>
      <c r="J491" s="1003"/>
      <c r="K491" s="1003"/>
      <c r="L491" s="1003"/>
      <c r="M491" s="1003"/>
      <c r="N491" s="1003"/>
      <c r="O491" s="1003"/>
      <c r="P491" s="1003"/>
      <c r="Q491" s="1003"/>
    </row>
    <row r="492" spans="3:17" ht="15.75" customHeight="1">
      <c r="C492" s="1003"/>
      <c r="D492" s="1003"/>
      <c r="E492" s="1003"/>
      <c r="F492" s="1003"/>
      <c r="G492" s="1003"/>
      <c r="H492" s="1003"/>
      <c r="I492" s="1003"/>
      <c r="J492" s="1003"/>
      <c r="K492" s="1003"/>
      <c r="L492" s="1003"/>
      <c r="M492" s="1003"/>
      <c r="N492" s="1003"/>
      <c r="O492" s="1003"/>
      <c r="P492" s="1003"/>
      <c r="Q492" s="1003"/>
    </row>
    <row r="493" spans="3:17" ht="15.75" customHeight="1">
      <c r="C493" s="1003"/>
      <c r="D493" s="1003"/>
      <c r="E493" s="1003"/>
      <c r="F493" s="1003"/>
      <c r="G493" s="1003"/>
      <c r="H493" s="1003"/>
      <c r="I493" s="1003"/>
      <c r="J493" s="1003"/>
      <c r="K493" s="1003"/>
      <c r="L493" s="1003"/>
      <c r="M493" s="1003"/>
      <c r="N493" s="1003"/>
      <c r="O493" s="1003"/>
      <c r="P493" s="1003"/>
      <c r="Q493" s="1003"/>
    </row>
    <row r="494" spans="3:17" ht="15.75" customHeight="1">
      <c r="C494" s="1003"/>
      <c r="D494" s="1003"/>
      <c r="E494" s="1003"/>
      <c r="F494" s="1003"/>
      <c r="G494" s="1003"/>
      <c r="H494" s="1003"/>
      <c r="I494" s="1003"/>
      <c r="J494" s="1003"/>
      <c r="K494" s="1003"/>
      <c r="L494" s="1003"/>
      <c r="M494" s="1003"/>
      <c r="N494" s="1003"/>
      <c r="O494" s="1003"/>
      <c r="P494" s="1003"/>
      <c r="Q494" s="1003"/>
    </row>
    <row r="495" spans="3:17" ht="15.75" customHeight="1">
      <c r="C495" s="1003"/>
      <c r="D495" s="1003"/>
      <c r="E495" s="1003"/>
      <c r="F495" s="1003"/>
      <c r="G495" s="1003"/>
      <c r="H495" s="1003"/>
      <c r="I495" s="1003"/>
      <c r="J495" s="1003"/>
      <c r="K495" s="1003"/>
      <c r="L495" s="1003"/>
      <c r="M495" s="1003"/>
      <c r="N495" s="1003"/>
      <c r="O495" s="1003"/>
      <c r="P495" s="1003"/>
      <c r="Q495" s="1003"/>
    </row>
    <row r="496" spans="3:17" ht="15.75" customHeight="1">
      <c r="C496" s="1003"/>
      <c r="D496" s="1003"/>
      <c r="E496" s="1003"/>
      <c r="F496" s="1003"/>
      <c r="G496" s="1003"/>
      <c r="H496" s="1003"/>
      <c r="I496" s="1003"/>
      <c r="J496" s="1003"/>
      <c r="K496" s="1003"/>
      <c r="L496" s="1003"/>
      <c r="M496" s="1003"/>
      <c r="N496" s="1003"/>
      <c r="O496" s="1003"/>
      <c r="P496" s="1003"/>
      <c r="Q496" s="1003"/>
    </row>
    <row r="497" spans="3:17" ht="15.75" customHeight="1">
      <c r="C497" s="1003"/>
      <c r="D497" s="1003"/>
      <c r="E497" s="1003"/>
      <c r="F497" s="1003"/>
      <c r="G497" s="1003"/>
      <c r="H497" s="1003"/>
      <c r="I497" s="1003"/>
      <c r="J497" s="1003"/>
      <c r="K497" s="1003"/>
      <c r="L497" s="1003"/>
      <c r="M497" s="1003"/>
      <c r="N497" s="1003"/>
      <c r="O497" s="1003"/>
      <c r="P497" s="1003"/>
      <c r="Q497" s="1003"/>
    </row>
    <row r="498" spans="3:17" ht="15.75" customHeight="1">
      <c r="C498" s="1003"/>
      <c r="D498" s="1003"/>
      <c r="E498" s="1003"/>
      <c r="F498" s="1003"/>
      <c r="G498" s="1003"/>
      <c r="H498" s="1003"/>
      <c r="I498" s="1003"/>
      <c r="J498" s="1003"/>
      <c r="K498" s="1003"/>
      <c r="L498" s="1003"/>
      <c r="M498" s="1003"/>
      <c r="N498" s="1003"/>
      <c r="O498" s="1003"/>
      <c r="P498" s="1003"/>
      <c r="Q498" s="1003"/>
    </row>
    <row r="499" spans="3:17" ht="15.75" customHeight="1">
      <c r="C499" s="1003"/>
      <c r="D499" s="1003"/>
      <c r="E499" s="1003"/>
      <c r="F499" s="1003"/>
      <c r="G499" s="1003"/>
      <c r="H499" s="1003"/>
      <c r="I499" s="1003"/>
      <c r="J499" s="1003"/>
      <c r="K499" s="1003"/>
      <c r="L499" s="1003"/>
      <c r="M499" s="1003"/>
      <c r="N499" s="1003"/>
      <c r="O499" s="1003"/>
      <c r="P499" s="1003"/>
      <c r="Q499" s="1003"/>
    </row>
    <row r="500" spans="3:17" ht="15.75" customHeight="1">
      <c r="C500" s="1003"/>
      <c r="D500" s="1003"/>
      <c r="E500" s="1003"/>
      <c r="F500" s="1003"/>
      <c r="G500" s="1003"/>
      <c r="H500" s="1003"/>
      <c r="I500" s="1003"/>
      <c r="J500" s="1003"/>
      <c r="K500" s="1003"/>
      <c r="L500" s="1003"/>
      <c r="M500" s="1003"/>
      <c r="N500" s="1003"/>
      <c r="O500" s="1003"/>
      <c r="P500" s="1003"/>
      <c r="Q500" s="1003"/>
    </row>
    <row r="501" spans="3:17" ht="15.75" customHeight="1">
      <c r="C501" s="1003"/>
      <c r="D501" s="1003"/>
      <c r="E501" s="1003"/>
      <c r="F501" s="1003"/>
      <c r="G501" s="1003"/>
      <c r="H501" s="1003"/>
      <c r="I501" s="1003"/>
      <c r="J501" s="1003"/>
      <c r="K501" s="1003"/>
      <c r="L501" s="1003"/>
      <c r="M501" s="1003"/>
      <c r="N501" s="1003"/>
      <c r="O501" s="1003"/>
      <c r="P501" s="1003"/>
      <c r="Q501" s="1003"/>
    </row>
    <row r="502" spans="3:17" ht="15.75" customHeight="1">
      <c r="C502" s="1003"/>
      <c r="D502" s="1003"/>
      <c r="E502" s="1003"/>
      <c r="F502" s="1003"/>
      <c r="G502" s="1003"/>
      <c r="H502" s="1003"/>
      <c r="I502" s="1003"/>
      <c r="J502" s="1003"/>
      <c r="K502" s="1003"/>
      <c r="L502" s="1003"/>
      <c r="M502" s="1003"/>
      <c r="N502" s="1003"/>
      <c r="O502" s="1003"/>
      <c r="P502" s="1003"/>
      <c r="Q502" s="1003"/>
    </row>
    <row r="503" spans="3:17" ht="15.75" customHeight="1">
      <c r="C503" s="1003"/>
      <c r="D503" s="1003"/>
      <c r="E503" s="1003"/>
      <c r="F503" s="1003"/>
      <c r="G503" s="1003"/>
      <c r="H503" s="1003"/>
      <c r="I503" s="1003"/>
      <c r="J503" s="1003"/>
      <c r="K503" s="1003"/>
      <c r="L503" s="1003"/>
      <c r="M503" s="1003"/>
      <c r="N503" s="1003"/>
      <c r="O503" s="1003"/>
      <c r="P503" s="1003"/>
      <c r="Q503" s="1003"/>
    </row>
    <row r="504" spans="3:17" ht="15.75" customHeight="1">
      <c r="C504" s="1003"/>
      <c r="D504" s="1003"/>
      <c r="E504" s="1003"/>
      <c r="F504" s="1003"/>
      <c r="G504" s="1003"/>
      <c r="H504" s="1003"/>
      <c r="I504" s="1003"/>
      <c r="J504" s="1003"/>
      <c r="K504" s="1003"/>
      <c r="L504" s="1003"/>
      <c r="M504" s="1003"/>
      <c r="N504" s="1003"/>
      <c r="O504" s="1003"/>
      <c r="P504" s="1003"/>
      <c r="Q504" s="1003"/>
    </row>
    <row r="505" spans="3:17" ht="15.75" customHeight="1">
      <c r="C505" s="1003"/>
      <c r="D505" s="1003"/>
      <c r="E505" s="1003"/>
      <c r="F505" s="1003"/>
      <c r="G505" s="1003"/>
      <c r="H505" s="1003"/>
      <c r="I505" s="1003"/>
      <c r="J505" s="1003"/>
      <c r="K505" s="1003"/>
      <c r="L505" s="1003"/>
      <c r="M505" s="1003"/>
      <c r="N505" s="1003"/>
      <c r="O505" s="1003"/>
      <c r="P505" s="1003"/>
      <c r="Q505" s="1003"/>
    </row>
    <row r="506" spans="3:17" ht="15.75" customHeight="1">
      <c r="C506" s="1003"/>
      <c r="D506" s="1003"/>
      <c r="E506" s="1003"/>
      <c r="F506" s="1003"/>
      <c r="G506" s="1003"/>
      <c r="H506" s="1003"/>
      <c r="I506" s="1003"/>
      <c r="J506" s="1003"/>
      <c r="K506" s="1003"/>
      <c r="L506" s="1003"/>
      <c r="M506" s="1003"/>
      <c r="N506" s="1003"/>
      <c r="O506" s="1003"/>
      <c r="P506" s="1003"/>
      <c r="Q506" s="1003"/>
    </row>
    <row r="507" spans="3:17" ht="15.75" customHeight="1">
      <c r="C507" s="1003"/>
      <c r="D507" s="1003"/>
      <c r="E507" s="1003"/>
      <c r="F507" s="1003"/>
      <c r="G507" s="1003"/>
      <c r="H507" s="1003"/>
      <c r="I507" s="1003"/>
      <c r="J507" s="1003"/>
      <c r="K507" s="1003"/>
      <c r="L507" s="1003"/>
      <c r="M507" s="1003"/>
      <c r="N507" s="1003"/>
      <c r="O507" s="1003"/>
      <c r="P507" s="1003"/>
      <c r="Q507" s="1003"/>
    </row>
    <row r="508" spans="3:17" ht="15.75" customHeight="1">
      <c r="C508" s="1003"/>
      <c r="D508" s="1003"/>
      <c r="E508" s="1003"/>
      <c r="F508" s="1003"/>
      <c r="G508" s="1003"/>
      <c r="H508" s="1003"/>
      <c r="I508" s="1003"/>
      <c r="J508" s="1003"/>
      <c r="K508" s="1003"/>
      <c r="L508" s="1003"/>
      <c r="M508" s="1003"/>
      <c r="N508" s="1003"/>
      <c r="O508" s="1003"/>
      <c r="P508" s="1003"/>
      <c r="Q508" s="1003"/>
    </row>
    <row r="509" spans="3:17" ht="15.75" customHeight="1">
      <c r="C509" s="1003"/>
      <c r="D509" s="1003"/>
      <c r="E509" s="1003"/>
      <c r="F509" s="1003"/>
      <c r="G509" s="1003"/>
      <c r="H509" s="1003"/>
      <c r="I509" s="1003"/>
      <c r="J509" s="1003"/>
      <c r="K509" s="1003"/>
      <c r="L509" s="1003"/>
      <c r="M509" s="1003"/>
      <c r="N509" s="1003"/>
      <c r="O509" s="1003"/>
      <c r="P509" s="1003"/>
      <c r="Q509" s="1003"/>
    </row>
    <row r="510" spans="3:17" ht="15.75" customHeight="1">
      <c r="C510" s="1003"/>
      <c r="D510" s="1003"/>
      <c r="E510" s="1003"/>
      <c r="F510" s="1003"/>
      <c r="G510" s="1003"/>
      <c r="H510" s="1003"/>
      <c r="I510" s="1003"/>
      <c r="J510" s="1003"/>
      <c r="K510" s="1003"/>
      <c r="L510" s="1003"/>
      <c r="M510" s="1003"/>
      <c r="N510" s="1003"/>
      <c r="O510" s="1003"/>
      <c r="P510" s="1003"/>
      <c r="Q510" s="1003"/>
    </row>
    <row r="511" spans="3:17" ht="15.75" customHeight="1">
      <c r="C511" s="1003"/>
      <c r="D511" s="1003"/>
      <c r="E511" s="1003"/>
      <c r="F511" s="1003"/>
      <c r="G511" s="1003"/>
      <c r="H511" s="1003"/>
      <c r="I511" s="1003"/>
      <c r="J511" s="1003"/>
      <c r="K511" s="1003"/>
      <c r="L511" s="1003"/>
      <c r="M511" s="1003"/>
      <c r="N511" s="1003"/>
      <c r="O511" s="1003"/>
      <c r="P511" s="1003"/>
      <c r="Q511" s="1003"/>
    </row>
    <row r="512" spans="3:17" ht="15.75" customHeight="1">
      <c r="C512" s="1003"/>
      <c r="D512" s="1003"/>
      <c r="E512" s="1003"/>
      <c r="F512" s="1003"/>
      <c r="G512" s="1003"/>
      <c r="H512" s="1003"/>
      <c r="I512" s="1003"/>
      <c r="J512" s="1003"/>
      <c r="K512" s="1003"/>
      <c r="L512" s="1003"/>
      <c r="M512" s="1003"/>
      <c r="N512" s="1003"/>
      <c r="O512" s="1003"/>
      <c r="P512" s="1003"/>
      <c r="Q512" s="1003"/>
    </row>
    <row r="513" spans="3:17" ht="15.75" customHeight="1">
      <c r="C513" s="1003"/>
      <c r="D513" s="1003"/>
      <c r="E513" s="1003"/>
      <c r="F513" s="1003"/>
      <c r="G513" s="1003"/>
      <c r="H513" s="1003"/>
      <c r="I513" s="1003"/>
      <c r="J513" s="1003"/>
      <c r="K513" s="1003"/>
      <c r="L513" s="1003"/>
      <c r="M513" s="1003"/>
      <c r="N513" s="1003"/>
      <c r="O513" s="1003"/>
      <c r="P513" s="1003"/>
      <c r="Q513" s="1003"/>
    </row>
    <row r="514" spans="3:17" ht="15.75" customHeight="1">
      <c r="C514" s="1003"/>
      <c r="D514" s="1003"/>
      <c r="E514" s="1003"/>
      <c r="F514" s="1003"/>
      <c r="G514" s="1003"/>
      <c r="H514" s="1003"/>
      <c r="I514" s="1003"/>
      <c r="J514" s="1003"/>
      <c r="K514" s="1003"/>
      <c r="L514" s="1003"/>
      <c r="M514" s="1003"/>
      <c r="N514" s="1003"/>
      <c r="O514" s="1003"/>
      <c r="P514" s="1003"/>
      <c r="Q514" s="1003"/>
    </row>
    <row r="515" spans="3:17" ht="15.75" customHeight="1">
      <c r="C515" s="1003"/>
      <c r="D515" s="1003"/>
      <c r="E515" s="1003"/>
      <c r="F515" s="1003"/>
      <c r="G515" s="1003"/>
      <c r="H515" s="1003"/>
      <c r="I515" s="1003"/>
      <c r="J515" s="1003"/>
      <c r="K515" s="1003"/>
      <c r="L515" s="1003"/>
      <c r="M515" s="1003"/>
      <c r="N515" s="1003"/>
      <c r="O515" s="1003"/>
      <c r="P515" s="1003"/>
      <c r="Q515" s="1003"/>
    </row>
    <row r="516" spans="3:17" ht="15.75" customHeight="1">
      <c r="C516" s="1003"/>
      <c r="D516" s="1003"/>
      <c r="E516" s="1003"/>
      <c r="F516" s="1003"/>
      <c r="G516" s="1003"/>
      <c r="H516" s="1003"/>
      <c r="I516" s="1003"/>
      <c r="J516" s="1003"/>
      <c r="K516" s="1003"/>
      <c r="L516" s="1003"/>
      <c r="M516" s="1003"/>
      <c r="N516" s="1003"/>
      <c r="O516" s="1003"/>
      <c r="P516" s="1003"/>
      <c r="Q516" s="1003"/>
    </row>
    <row r="517" spans="3:17" ht="15.75" customHeight="1">
      <c r="C517" s="1003"/>
      <c r="D517" s="1003"/>
      <c r="E517" s="1003"/>
      <c r="F517" s="1003"/>
      <c r="G517" s="1003"/>
      <c r="H517" s="1003"/>
      <c r="I517" s="1003"/>
      <c r="J517" s="1003"/>
      <c r="K517" s="1003"/>
      <c r="L517" s="1003"/>
      <c r="M517" s="1003"/>
      <c r="N517" s="1003"/>
      <c r="O517" s="1003"/>
      <c r="P517" s="1003"/>
      <c r="Q517" s="1003"/>
    </row>
    <row r="518" spans="3:17" ht="15.75" customHeight="1">
      <c r="C518" s="1003"/>
      <c r="D518" s="1003"/>
      <c r="E518" s="1003"/>
      <c r="F518" s="1003"/>
      <c r="G518" s="1003"/>
      <c r="H518" s="1003"/>
      <c r="I518" s="1003"/>
      <c r="J518" s="1003"/>
      <c r="K518" s="1003"/>
      <c r="L518" s="1003"/>
      <c r="M518" s="1003"/>
      <c r="N518" s="1003"/>
      <c r="O518" s="1003"/>
      <c r="P518" s="1003"/>
      <c r="Q518" s="1003"/>
    </row>
    <row r="519" spans="3:17" ht="15.75" customHeight="1">
      <c r="C519" s="1003"/>
      <c r="D519" s="1003"/>
      <c r="E519" s="1003"/>
      <c r="F519" s="1003"/>
      <c r="G519" s="1003"/>
      <c r="H519" s="1003"/>
      <c r="I519" s="1003"/>
      <c r="J519" s="1003"/>
      <c r="K519" s="1003"/>
      <c r="L519" s="1003"/>
      <c r="M519" s="1003"/>
      <c r="N519" s="1003"/>
      <c r="O519" s="1003"/>
      <c r="P519" s="1003"/>
      <c r="Q519" s="1003"/>
    </row>
    <row r="520" spans="3:17" ht="15.75" customHeight="1">
      <c r="C520" s="1003"/>
      <c r="D520" s="1003"/>
      <c r="E520" s="1003"/>
      <c r="F520" s="1003"/>
      <c r="G520" s="1003"/>
      <c r="H520" s="1003"/>
      <c r="I520" s="1003"/>
      <c r="J520" s="1003"/>
      <c r="K520" s="1003"/>
      <c r="L520" s="1003"/>
      <c r="M520" s="1003"/>
      <c r="N520" s="1003"/>
      <c r="O520" s="1003"/>
      <c r="P520" s="1003"/>
      <c r="Q520" s="1003"/>
    </row>
    <row r="521" spans="3:17" ht="15.75" customHeight="1">
      <c r="C521" s="1003"/>
      <c r="D521" s="1003"/>
      <c r="E521" s="1003"/>
      <c r="F521" s="1003"/>
      <c r="G521" s="1003"/>
      <c r="H521" s="1003"/>
      <c r="I521" s="1003"/>
      <c r="J521" s="1003"/>
      <c r="K521" s="1003"/>
      <c r="L521" s="1003"/>
      <c r="M521" s="1003"/>
      <c r="N521" s="1003"/>
      <c r="O521" s="1003"/>
      <c r="P521" s="1003"/>
      <c r="Q521" s="1003"/>
    </row>
    <row r="522" spans="3:17" ht="15.75" customHeight="1">
      <c r="C522" s="1003"/>
      <c r="D522" s="1003"/>
      <c r="E522" s="1003"/>
      <c r="F522" s="1003"/>
      <c r="G522" s="1003"/>
      <c r="H522" s="1003"/>
      <c r="I522" s="1003"/>
      <c r="J522" s="1003"/>
      <c r="K522" s="1003"/>
      <c r="L522" s="1003"/>
      <c r="M522" s="1003"/>
      <c r="N522" s="1003"/>
      <c r="O522" s="1003"/>
      <c r="P522" s="1003"/>
      <c r="Q522" s="1003"/>
    </row>
    <row r="523" spans="3:17" ht="15.75" customHeight="1">
      <c r="C523" s="1003"/>
      <c r="D523" s="1003"/>
      <c r="E523" s="1003"/>
      <c r="F523" s="1003"/>
      <c r="G523" s="1003"/>
      <c r="H523" s="1003"/>
      <c r="I523" s="1003"/>
      <c r="J523" s="1003"/>
      <c r="K523" s="1003"/>
      <c r="L523" s="1003"/>
      <c r="M523" s="1003"/>
      <c r="N523" s="1003"/>
      <c r="O523" s="1003"/>
      <c r="P523" s="1003"/>
      <c r="Q523" s="1003"/>
    </row>
    <row r="524" spans="3:17" ht="15.75" customHeight="1">
      <c r="C524" s="1003"/>
      <c r="D524" s="1003"/>
      <c r="E524" s="1003"/>
      <c r="F524" s="1003"/>
      <c r="G524" s="1003"/>
      <c r="H524" s="1003"/>
      <c r="I524" s="1003"/>
      <c r="J524" s="1003"/>
      <c r="K524" s="1003"/>
      <c r="L524" s="1003"/>
      <c r="M524" s="1003"/>
      <c r="N524" s="1003"/>
      <c r="O524" s="1003"/>
      <c r="P524" s="1003"/>
      <c r="Q524" s="1003"/>
    </row>
    <row r="525" spans="3:17" ht="15.75" customHeight="1">
      <c r="C525" s="1003"/>
      <c r="D525" s="1003"/>
      <c r="E525" s="1003"/>
      <c r="F525" s="1003"/>
      <c r="G525" s="1003"/>
      <c r="H525" s="1003"/>
      <c r="I525" s="1003"/>
      <c r="J525" s="1003"/>
      <c r="K525" s="1003"/>
      <c r="L525" s="1003"/>
      <c r="M525" s="1003"/>
      <c r="N525" s="1003"/>
      <c r="O525" s="1003"/>
      <c r="P525" s="1003"/>
      <c r="Q525" s="1003"/>
    </row>
    <row r="526" spans="3:17" ht="15.75" customHeight="1">
      <c r="C526" s="1003"/>
      <c r="D526" s="1003"/>
      <c r="E526" s="1003"/>
      <c r="F526" s="1003"/>
      <c r="G526" s="1003"/>
      <c r="H526" s="1003"/>
      <c r="I526" s="1003"/>
      <c r="J526" s="1003"/>
      <c r="K526" s="1003"/>
      <c r="L526" s="1003"/>
      <c r="M526" s="1003"/>
      <c r="N526" s="1003"/>
      <c r="O526" s="1003"/>
      <c r="P526" s="1003"/>
      <c r="Q526" s="1003"/>
    </row>
    <row r="527" spans="3:17" ht="15.75" customHeight="1">
      <c r="C527" s="1003"/>
      <c r="D527" s="1003"/>
      <c r="E527" s="1003"/>
      <c r="F527" s="1003"/>
      <c r="G527" s="1003"/>
      <c r="H527" s="1003"/>
      <c r="I527" s="1003"/>
      <c r="J527" s="1003"/>
      <c r="K527" s="1003"/>
      <c r="L527" s="1003"/>
      <c r="M527" s="1003"/>
      <c r="N527" s="1003"/>
      <c r="O527" s="1003"/>
      <c r="P527" s="1003"/>
      <c r="Q527" s="1003"/>
    </row>
    <row r="528" spans="3:17" ht="15.75" customHeight="1">
      <c r="C528" s="1003"/>
      <c r="D528" s="1003"/>
      <c r="E528" s="1003"/>
      <c r="F528" s="1003"/>
      <c r="G528" s="1003"/>
      <c r="H528" s="1003"/>
      <c r="I528" s="1003"/>
      <c r="J528" s="1003"/>
      <c r="K528" s="1003"/>
      <c r="L528" s="1003"/>
      <c r="M528" s="1003"/>
      <c r="N528" s="1003"/>
      <c r="O528" s="1003"/>
      <c r="P528" s="1003"/>
      <c r="Q528" s="1003"/>
    </row>
    <row r="529" spans="3:17" ht="15.75" customHeight="1">
      <c r="C529" s="1003"/>
      <c r="D529" s="1003"/>
      <c r="E529" s="1003"/>
      <c r="F529" s="1003"/>
      <c r="G529" s="1003"/>
      <c r="H529" s="1003"/>
      <c r="I529" s="1003"/>
      <c r="J529" s="1003"/>
      <c r="K529" s="1003"/>
      <c r="L529" s="1003"/>
      <c r="M529" s="1003"/>
      <c r="N529" s="1003"/>
      <c r="O529" s="1003"/>
      <c r="P529" s="1003"/>
      <c r="Q529" s="1003"/>
    </row>
    <row r="530" spans="3:17" ht="15.75" customHeight="1">
      <c r="C530" s="1003"/>
      <c r="D530" s="1003"/>
      <c r="E530" s="1003"/>
      <c r="F530" s="1003"/>
      <c r="G530" s="1003"/>
      <c r="H530" s="1003"/>
      <c r="I530" s="1003"/>
      <c r="J530" s="1003"/>
      <c r="K530" s="1003"/>
      <c r="L530" s="1003"/>
      <c r="M530" s="1003"/>
      <c r="N530" s="1003"/>
      <c r="O530" s="1003"/>
      <c r="P530" s="1003"/>
      <c r="Q530" s="1003"/>
    </row>
    <row r="531" spans="3:17" ht="15.75" customHeight="1">
      <c r="C531" s="1003"/>
      <c r="D531" s="1003"/>
      <c r="E531" s="1003"/>
      <c r="F531" s="1003"/>
      <c r="G531" s="1003"/>
      <c r="H531" s="1003"/>
      <c r="I531" s="1003"/>
      <c r="J531" s="1003"/>
      <c r="K531" s="1003"/>
      <c r="L531" s="1003"/>
      <c r="M531" s="1003"/>
      <c r="N531" s="1003"/>
      <c r="O531" s="1003"/>
      <c r="P531" s="1003"/>
      <c r="Q531" s="1003"/>
    </row>
    <row r="532" spans="3:17" ht="15.75" customHeight="1">
      <c r="C532" s="1003"/>
      <c r="D532" s="1003"/>
      <c r="E532" s="1003"/>
      <c r="F532" s="1003"/>
      <c r="G532" s="1003"/>
      <c r="H532" s="1003"/>
      <c r="I532" s="1003"/>
      <c r="J532" s="1003"/>
      <c r="K532" s="1003"/>
      <c r="L532" s="1003"/>
      <c r="M532" s="1003"/>
      <c r="N532" s="1003"/>
      <c r="O532" s="1003"/>
      <c r="P532" s="1003"/>
      <c r="Q532" s="1003"/>
    </row>
    <row r="533" spans="3:17" ht="15.75" customHeight="1">
      <c r="C533" s="1003"/>
      <c r="D533" s="1003"/>
      <c r="E533" s="1003"/>
      <c r="F533" s="1003"/>
      <c r="G533" s="1003"/>
      <c r="H533" s="1003"/>
      <c r="I533" s="1003"/>
      <c r="J533" s="1003"/>
      <c r="K533" s="1003"/>
      <c r="L533" s="1003"/>
      <c r="M533" s="1003"/>
      <c r="N533" s="1003"/>
      <c r="O533" s="1003"/>
      <c r="P533" s="1003"/>
      <c r="Q533" s="1003"/>
    </row>
    <row r="534" spans="3:17" ht="15.75" customHeight="1">
      <c r="C534" s="1003"/>
      <c r="D534" s="1003"/>
      <c r="E534" s="1003"/>
      <c r="F534" s="1003"/>
      <c r="G534" s="1003"/>
      <c r="H534" s="1003"/>
      <c r="I534" s="1003"/>
      <c r="J534" s="1003"/>
      <c r="K534" s="1003"/>
      <c r="L534" s="1003"/>
      <c r="M534" s="1003"/>
      <c r="N534" s="1003"/>
      <c r="O534" s="1003"/>
      <c r="P534" s="1003"/>
      <c r="Q534" s="1003"/>
    </row>
    <row r="535" spans="3:17" ht="15.75" customHeight="1">
      <c r="C535" s="1003"/>
      <c r="D535" s="1003"/>
      <c r="E535" s="1003"/>
      <c r="F535" s="1003"/>
      <c r="G535" s="1003"/>
      <c r="H535" s="1003"/>
      <c r="I535" s="1003"/>
      <c r="J535" s="1003"/>
      <c r="K535" s="1003"/>
      <c r="L535" s="1003"/>
      <c r="M535" s="1003"/>
      <c r="N535" s="1003"/>
      <c r="O535" s="1003"/>
      <c r="P535" s="1003"/>
      <c r="Q535" s="1003"/>
    </row>
    <row r="536" spans="3:17" ht="15.75" customHeight="1">
      <c r="C536" s="1003"/>
      <c r="D536" s="1003"/>
      <c r="E536" s="1003"/>
      <c r="F536" s="1003"/>
      <c r="G536" s="1003"/>
      <c r="H536" s="1003"/>
      <c r="I536" s="1003"/>
      <c r="J536" s="1003"/>
      <c r="K536" s="1003"/>
      <c r="L536" s="1003"/>
      <c r="M536" s="1003"/>
      <c r="N536" s="1003"/>
      <c r="O536" s="1003"/>
      <c r="P536" s="1003"/>
      <c r="Q536" s="1003"/>
    </row>
    <row r="537" spans="3:17" ht="15.75" customHeight="1">
      <c r="C537" s="1003"/>
      <c r="D537" s="1003"/>
      <c r="E537" s="1003"/>
      <c r="F537" s="1003"/>
      <c r="G537" s="1003"/>
      <c r="H537" s="1003"/>
      <c r="I537" s="1003"/>
      <c r="J537" s="1003"/>
      <c r="K537" s="1003"/>
      <c r="L537" s="1003"/>
      <c r="M537" s="1003"/>
      <c r="N537" s="1003"/>
      <c r="O537" s="1003"/>
      <c r="P537" s="1003"/>
      <c r="Q537" s="1003"/>
    </row>
    <row r="538" spans="3:17" ht="15.75" customHeight="1">
      <c r="C538" s="1003"/>
      <c r="D538" s="1003"/>
      <c r="E538" s="1003"/>
      <c r="F538" s="1003"/>
      <c r="G538" s="1003"/>
      <c r="H538" s="1003"/>
      <c r="I538" s="1003"/>
      <c r="J538" s="1003"/>
      <c r="K538" s="1003"/>
      <c r="L538" s="1003"/>
      <c r="M538" s="1003"/>
      <c r="N538" s="1003"/>
      <c r="O538" s="1003"/>
      <c r="P538" s="1003"/>
      <c r="Q538" s="1003"/>
    </row>
    <row r="539" spans="3:17" ht="15.75" customHeight="1">
      <c r="C539" s="1003"/>
      <c r="D539" s="1003"/>
      <c r="E539" s="1003"/>
      <c r="F539" s="1003"/>
      <c r="G539" s="1003"/>
      <c r="H539" s="1003"/>
      <c r="I539" s="1003"/>
      <c r="J539" s="1003"/>
      <c r="K539" s="1003"/>
      <c r="L539" s="1003"/>
      <c r="M539" s="1003"/>
      <c r="N539" s="1003"/>
      <c r="O539" s="1003"/>
      <c r="P539" s="1003"/>
      <c r="Q539" s="1003"/>
    </row>
    <row r="540" spans="3:17" ht="15.75" customHeight="1">
      <c r="C540" s="1003"/>
      <c r="D540" s="1003"/>
      <c r="E540" s="1003"/>
      <c r="F540" s="1003"/>
      <c r="G540" s="1003"/>
      <c r="H540" s="1003"/>
      <c r="I540" s="1003"/>
      <c r="J540" s="1003"/>
      <c r="K540" s="1003"/>
      <c r="L540" s="1003"/>
      <c r="M540" s="1003"/>
      <c r="N540" s="1003"/>
      <c r="O540" s="1003"/>
      <c r="P540" s="1003"/>
      <c r="Q540" s="1003"/>
    </row>
    <row r="541" spans="3:17" ht="15.75" customHeight="1">
      <c r="C541" s="1003"/>
      <c r="D541" s="1003"/>
      <c r="E541" s="1003"/>
      <c r="F541" s="1003"/>
      <c r="G541" s="1003"/>
      <c r="H541" s="1003"/>
      <c r="I541" s="1003"/>
      <c r="J541" s="1003"/>
      <c r="K541" s="1003"/>
      <c r="L541" s="1003"/>
      <c r="M541" s="1003"/>
      <c r="N541" s="1003"/>
      <c r="O541" s="1003"/>
      <c r="P541" s="1003"/>
      <c r="Q541" s="1003"/>
    </row>
    <row r="542" spans="3:17" ht="15.75" customHeight="1">
      <c r="C542" s="1003"/>
      <c r="D542" s="1003"/>
      <c r="E542" s="1003"/>
      <c r="F542" s="1003"/>
      <c r="G542" s="1003"/>
      <c r="H542" s="1003"/>
      <c r="I542" s="1003"/>
      <c r="J542" s="1003"/>
      <c r="K542" s="1003"/>
      <c r="L542" s="1003"/>
      <c r="M542" s="1003"/>
      <c r="N542" s="1003"/>
      <c r="O542" s="1003"/>
      <c r="P542" s="1003"/>
      <c r="Q542" s="1003"/>
    </row>
    <row r="543" spans="3:17" ht="15.75" customHeight="1">
      <c r="C543" s="1003"/>
      <c r="D543" s="1003"/>
      <c r="E543" s="1003"/>
      <c r="F543" s="1003"/>
      <c r="G543" s="1003"/>
      <c r="H543" s="1003"/>
      <c r="I543" s="1003"/>
      <c r="J543" s="1003"/>
      <c r="K543" s="1003"/>
      <c r="L543" s="1003"/>
      <c r="M543" s="1003"/>
      <c r="N543" s="1003"/>
      <c r="O543" s="1003"/>
      <c r="P543" s="1003"/>
      <c r="Q543" s="1003"/>
    </row>
    <row r="544" spans="3:17" ht="15.75" customHeight="1">
      <c r="C544" s="1003"/>
      <c r="D544" s="1003"/>
      <c r="E544" s="1003"/>
      <c r="F544" s="1003"/>
      <c r="G544" s="1003"/>
      <c r="H544" s="1003"/>
      <c r="I544" s="1003"/>
      <c r="J544" s="1003"/>
      <c r="K544" s="1003"/>
      <c r="L544" s="1003"/>
      <c r="M544" s="1003"/>
      <c r="N544" s="1003"/>
      <c r="O544" s="1003"/>
      <c r="P544" s="1003"/>
      <c r="Q544" s="1003"/>
    </row>
    <row r="545" spans="3:17" ht="15.75" customHeight="1">
      <c r="C545" s="1003"/>
      <c r="D545" s="1003"/>
      <c r="E545" s="1003"/>
      <c r="F545" s="1003"/>
      <c r="G545" s="1003"/>
      <c r="H545" s="1003"/>
      <c r="I545" s="1003"/>
      <c r="J545" s="1003"/>
      <c r="K545" s="1003"/>
      <c r="L545" s="1003"/>
      <c r="M545" s="1003"/>
      <c r="N545" s="1003"/>
      <c r="O545" s="1003"/>
      <c r="P545" s="1003"/>
      <c r="Q545" s="1003"/>
    </row>
    <row r="546" spans="3:17" ht="15.75" customHeight="1">
      <c r="C546" s="1003"/>
      <c r="D546" s="1003"/>
      <c r="E546" s="1003"/>
      <c r="F546" s="1003"/>
      <c r="G546" s="1003"/>
      <c r="H546" s="1003"/>
      <c r="I546" s="1003"/>
      <c r="J546" s="1003"/>
      <c r="K546" s="1003"/>
      <c r="L546" s="1003"/>
      <c r="M546" s="1003"/>
      <c r="N546" s="1003"/>
      <c r="O546" s="1003"/>
      <c r="P546" s="1003"/>
      <c r="Q546" s="1003"/>
    </row>
    <row r="547" spans="3:17" ht="15.75" customHeight="1">
      <c r="C547" s="1003"/>
      <c r="D547" s="1003"/>
      <c r="E547" s="1003"/>
      <c r="F547" s="1003"/>
      <c r="G547" s="1003"/>
      <c r="H547" s="1003"/>
      <c r="I547" s="1003"/>
      <c r="J547" s="1003"/>
      <c r="K547" s="1003"/>
      <c r="L547" s="1003"/>
      <c r="M547" s="1003"/>
      <c r="N547" s="1003"/>
      <c r="O547" s="1003"/>
      <c r="P547" s="1003"/>
      <c r="Q547" s="1003"/>
    </row>
    <row r="548" spans="3:17" ht="15.75" customHeight="1">
      <c r="C548" s="1003"/>
      <c r="D548" s="1003"/>
      <c r="E548" s="1003"/>
      <c r="F548" s="1003"/>
      <c r="G548" s="1003"/>
      <c r="H548" s="1003"/>
      <c r="I548" s="1003"/>
      <c r="J548" s="1003"/>
      <c r="K548" s="1003"/>
      <c r="L548" s="1003"/>
      <c r="M548" s="1003"/>
      <c r="N548" s="1003"/>
      <c r="O548" s="1003"/>
      <c r="P548" s="1003"/>
      <c r="Q548" s="1003"/>
    </row>
    <row r="549" spans="3:17" ht="15.75" customHeight="1">
      <c r="C549" s="1003"/>
      <c r="D549" s="1003"/>
      <c r="E549" s="1003"/>
      <c r="F549" s="1003"/>
      <c r="G549" s="1003"/>
      <c r="H549" s="1003"/>
      <c r="I549" s="1003"/>
      <c r="J549" s="1003"/>
      <c r="K549" s="1003"/>
      <c r="L549" s="1003"/>
      <c r="M549" s="1003"/>
      <c r="N549" s="1003"/>
      <c r="O549" s="1003"/>
      <c r="P549" s="1003"/>
      <c r="Q549" s="1003"/>
    </row>
    <row r="550" spans="3:17" ht="15.75" customHeight="1">
      <c r="C550" s="1003"/>
      <c r="D550" s="1003"/>
      <c r="E550" s="1003"/>
      <c r="F550" s="1003"/>
      <c r="G550" s="1003"/>
      <c r="H550" s="1003"/>
      <c r="I550" s="1003"/>
      <c r="J550" s="1003"/>
      <c r="K550" s="1003"/>
      <c r="L550" s="1003"/>
      <c r="M550" s="1003"/>
      <c r="N550" s="1003"/>
      <c r="O550" s="1003"/>
      <c r="P550" s="1003"/>
      <c r="Q550" s="1003"/>
    </row>
    <row r="551" spans="3:17" ht="15.75" customHeight="1">
      <c r="C551" s="1003"/>
      <c r="D551" s="1003"/>
      <c r="E551" s="1003"/>
      <c r="F551" s="1003"/>
      <c r="G551" s="1003"/>
      <c r="H551" s="1003"/>
      <c r="I551" s="1003"/>
      <c r="J551" s="1003"/>
      <c r="K551" s="1003"/>
      <c r="L551" s="1003"/>
      <c r="M551" s="1003"/>
      <c r="N551" s="1003"/>
      <c r="O551" s="1003"/>
      <c r="P551" s="1003"/>
      <c r="Q551" s="1003"/>
    </row>
    <row r="552" spans="3:17" ht="15.75" customHeight="1">
      <c r="C552" s="1003"/>
      <c r="D552" s="1003"/>
      <c r="E552" s="1003"/>
      <c r="F552" s="1003"/>
      <c r="G552" s="1003"/>
      <c r="H552" s="1003"/>
      <c r="I552" s="1003"/>
      <c r="J552" s="1003"/>
      <c r="K552" s="1003"/>
      <c r="L552" s="1003"/>
      <c r="M552" s="1003"/>
      <c r="N552" s="1003"/>
      <c r="O552" s="1003"/>
      <c r="P552" s="1003"/>
      <c r="Q552" s="1003"/>
    </row>
    <row r="553" spans="3:17" ht="15.75" customHeight="1">
      <c r="C553" s="1003"/>
      <c r="D553" s="1003"/>
      <c r="E553" s="1003"/>
      <c r="F553" s="1003"/>
      <c r="G553" s="1003"/>
      <c r="H553" s="1003"/>
      <c r="I553" s="1003"/>
      <c r="J553" s="1003"/>
      <c r="K553" s="1003"/>
      <c r="L553" s="1003"/>
      <c r="M553" s="1003"/>
      <c r="N553" s="1003"/>
      <c r="O553" s="1003"/>
      <c r="P553" s="1003"/>
      <c r="Q553" s="1003"/>
    </row>
    <row r="554" spans="3:17" ht="15.75" customHeight="1">
      <c r="C554" s="1003"/>
      <c r="D554" s="1003"/>
      <c r="E554" s="1003"/>
      <c r="F554" s="1003"/>
      <c r="G554" s="1003"/>
      <c r="H554" s="1003"/>
      <c r="I554" s="1003"/>
      <c r="J554" s="1003"/>
      <c r="K554" s="1003"/>
      <c r="L554" s="1003"/>
      <c r="M554" s="1003"/>
      <c r="N554" s="1003"/>
      <c r="O554" s="1003"/>
      <c r="P554" s="1003"/>
      <c r="Q554" s="1003"/>
    </row>
    <row r="555" spans="3:17" ht="15.75" customHeight="1">
      <c r="C555" s="1003"/>
      <c r="D555" s="1003"/>
      <c r="E555" s="1003"/>
      <c r="F555" s="1003"/>
      <c r="G555" s="1003"/>
      <c r="H555" s="1003"/>
      <c r="I555" s="1003"/>
      <c r="J555" s="1003"/>
      <c r="K555" s="1003"/>
      <c r="L555" s="1003"/>
      <c r="M555" s="1003"/>
      <c r="N555" s="1003"/>
      <c r="O555" s="1003"/>
      <c r="P555" s="1003"/>
      <c r="Q555" s="1003"/>
    </row>
    <row r="556" spans="3:17" ht="15.75" customHeight="1">
      <c r="C556" s="1003"/>
      <c r="D556" s="1003"/>
      <c r="E556" s="1003"/>
      <c r="F556" s="1003"/>
      <c r="G556" s="1003"/>
      <c r="H556" s="1003"/>
      <c r="I556" s="1003"/>
      <c r="J556" s="1003"/>
      <c r="K556" s="1003"/>
      <c r="L556" s="1003"/>
      <c r="M556" s="1003"/>
      <c r="N556" s="1003"/>
      <c r="O556" s="1003"/>
      <c r="P556" s="1003"/>
      <c r="Q556" s="1003"/>
    </row>
    <row r="557" spans="3:17" ht="15.75" customHeight="1">
      <c r="C557" s="1003"/>
      <c r="D557" s="1003"/>
      <c r="E557" s="1003"/>
      <c r="F557" s="1003"/>
      <c r="G557" s="1003"/>
      <c r="H557" s="1003"/>
      <c r="I557" s="1003"/>
      <c r="J557" s="1003"/>
      <c r="K557" s="1003"/>
      <c r="L557" s="1003"/>
      <c r="M557" s="1003"/>
      <c r="N557" s="1003"/>
      <c r="O557" s="1003"/>
      <c r="P557" s="1003"/>
      <c r="Q557" s="1003"/>
    </row>
    <row r="558" spans="3:17" ht="15.75" customHeight="1">
      <c r="C558" s="1003"/>
      <c r="D558" s="1003"/>
      <c r="E558" s="1003"/>
      <c r="F558" s="1003"/>
      <c r="G558" s="1003"/>
      <c r="H558" s="1003"/>
      <c r="I558" s="1003"/>
      <c r="J558" s="1003"/>
      <c r="K558" s="1003"/>
      <c r="L558" s="1003"/>
      <c r="M558" s="1003"/>
      <c r="N558" s="1003"/>
      <c r="O558" s="1003"/>
      <c r="P558" s="1003"/>
      <c r="Q558" s="1003"/>
    </row>
    <row r="559" spans="3:17" ht="15.75" customHeight="1">
      <c r="C559" s="1003"/>
      <c r="D559" s="1003"/>
      <c r="E559" s="1003"/>
      <c r="F559" s="1003"/>
      <c r="G559" s="1003"/>
      <c r="H559" s="1003"/>
      <c r="I559" s="1003"/>
      <c r="J559" s="1003"/>
      <c r="K559" s="1003"/>
      <c r="L559" s="1003"/>
      <c r="M559" s="1003"/>
      <c r="N559" s="1003"/>
      <c r="O559" s="1003"/>
      <c r="P559" s="1003"/>
      <c r="Q559" s="1003"/>
    </row>
    <row r="560" spans="3:17" ht="15.75" customHeight="1">
      <c r="C560" s="1003"/>
      <c r="D560" s="1003"/>
      <c r="E560" s="1003"/>
      <c r="F560" s="1003"/>
      <c r="G560" s="1003"/>
      <c r="H560" s="1003"/>
      <c r="I560" s="1003"/>
      <c r="J560" s="1003"/>
      <c r="K560" s="1003"/>
      <c r="L560" s="1003"/>
      <c r="M560" s="1003"/>
      <c r="N560" s="1003"/>
      <c r="O560" s="1003"/>
      <c r="P560" s="1003"/>
      <c r="Q560" s="1003"/>
    </row>
    <row r="561" spans="3:17" ht="15.75" customHeight="1">
      <c r="C561" s="1003"/>
      <c r="D561" s="1003"/>
      <c r="E561" s="1003"/>
      <c r="F561" s="1003"/>
      <c r="G561" s="1003"/>
      <c r="H561" s="1003"/>
      <c r="I561" s="1003"/>
      <c r="J561" s="1003"/>
      <c r="K561" s="1003"/>
      <c r="L561" s="1003"/>
      <c r="M561" s="1003"/>
      <c r="N561" s="1003"/>
      <c r="O561" s="1003"/>
      <c r="P561" s="1003"/>
      <c r="Q561" s="1003"/>
    </row>
    <row r="562" spans="3:17" ht="15.75" customHeight="1">
      <c r="C562" s="1003"/>
      <c r="D562" s="1003"/>
      <c r="E562" s="1003"/>
      <c r="F562" s="1003"/>
      <c r="G562" s="1003"/>
      <c r="H562" s="1003"/>
      <c r="I562" s="1003"/>
      <c r="J562" s="1003"/>
      <c r="K562" s="1003"/>
      <c r="L562" s="1003"/>
      <c r="M562" s="1003"/>
      <c r="N562" s="1003"/>
      <c r="O562" s="1003"/>
      <c r="P562" s="1003"/>
      <c r="Q562" s="1003"/>
    </row>
    <row r="563" spans="3:17" ht="15.75" customHeight="1">
      <c r="C563" s="1003"/>
      <c r="D563" s="1003"/>
      <c r="E563" s="1003"/>
      <c r="F563" s="1003"/>
      <c r="G563" s="1003"/>
      <c r="H563" s="1003"/>
      <c r="I563" s="1003"/>
      <c r="J563" s="1003"/>
      <c r="K563" s="1003"/>
      <c r="L563" s="1003"/>
      <c r="M563" s="1003"/>
      <c r="N563" s="1003"/>
      <c r="O563" s="1003"/>
      <c r="P563" s="1003"/>
      <c r="Q563" s="1003"/>
    </row>
    <row r="564" spans="3:17" ht="15.75" customHeight="1">
      <c r="C564" s="1003"/>
      <c r="D564" s="1003"/>
      <c r="E564" s="1003"/>
      <c r="F564" s="1003"/>
      <c r="G564" s="1003"/>
      <c r="H564" s="1003"/>
      <c r="I564" s="1003"/>
      <c r="J564" s="1003"/>
      <c r="K564" s="1003"/>
      <c r="L564" s="1003"/>
      <c r="M564" s="1003"/>
      <c r="N564" s="1003"/>
      <c r="O564" s="1003"/>
      <c r="P564" s="1003"/>
      <c r="Q564" s="1003"/>
    </row>
    <row r="565" spans="3:17" ht="15.75" customHeight="1">
      <c r="C565" s="1003"/>
      <c r="D565" s="1003"/>
      <c r="E565" s="1003"/>
      <c r="F565" s="1003"/>
      <c r="G565" s="1003"/>
      <c r="H565" s="1003"/>
      <c r="I565" s="1003"/>
      <c r="J565" s="1003"/>
      <c r="K565" s="1003"/>
      <c r="L565" s="1003"/>
      <c r="M565" s="1003"/>
      <c r="N565" s="1003"/>
      <c r="O565" s="1003"/>
      <c r="P565" s="1003"/>
      <c r="Q565" s="1003"/>
    </row>
    <row r="566" spans="3:17" ht="15.75" customHeight="1">
      <c r="C566" s="1003"/>
      <c r="D566" s="1003"/>
      <c r="E566" s="1003"/>
      <c r="F566" s="1003"/>
      <c r="G566" s="1003"/>
      <c r="H566" s="1003"/>
      <c r="I566" s="1003"/>
      <c r="J566" s="1003"/>
      <c r="K566" s="1003"/>
      <c r="L566" s="1003"/>
      <c r="M566" s="1003"/>
      <c r="N566" s="1003"/>
      <c r="O566" s="1003"/>
      <c r="P566" s="1003"/>
      <c r="Q566" s="1003"/>
    </row>
    <row r="567" spans="3:17" ht="15.75" customHeight="1">
      <c r="C567" s="1003"/>
      <c r="D567" s="1003"/>
      <c r="E567" s="1003"/>
      <c r="F567" s="1003"/>
      <c r="G567" s="1003"/>
      <c r="H567" s="1003"/>
      <c r="I567" s="1003"/>
      <c r="J567" s="1003"/>
      <c r="K567" s="1003"/>
      <c r="L567" s="1003"/>
      <c r="M567" s="1003"/>
      <c r="N567" s="1003"/>
      <c r="O567" s="1003"/>
      <c r="P567" s="1003"/>
      <c r="Q567" s="1003"/>
    </row>
    <row r="568" spans="3:17" ht="15.75" customHeight="1">
      <c r="C568" s="1003"/>
      <c r="D568" s="1003"/>
      <c r="E568" s="1003"/>
      <c r="F568" s="1003"/>
      <c r="G568" s="1003"/>
      <c r="H568" s="1003"/>
      <c r="I568" s="1003"/>
      <c r="J568" s="1003"/>
      <c r="K568" s="1003"/>
      <c r="L568" s="1003"/>
      <c r="M568" s="1003"/>
      <c r="N568" s="1003"/>
      <c r="O568" s="1003"/>
      <c r="P568" s="1003"/>
      <c r="Q568" s="1003"/>
    </row>
    <row r="569" spans="3:17" ht="15.75" customHeight="1">
      <c r="C569" s="1003"/>
      <c r="D569" s="1003"/>
      <c r="E569" s="1003"/>
      <c r="F569" s="1003"/>
      <c r="G569" s="1003"/>
      <c r="H569" s="1003"/>
      <c r="I569" s="1003"/>
      <c r="J569" s="1003"/>
      <c r="K569" s="1003"/>
      <c r="L569" s="1003"/>
      <c r="M569" s="1003"/>
      <c r="N569" s="1003"/>
      <c r="O569" s="1003"/>
      <c r="P569" s="1003"/>
      <c r="Q569" s="1003"/>
    </row>
    <row r="570" spans="3:17" ht="15.75" customHeight="1">
      <c r="C570" s="1003"/>
      <c r="D570" s="1003"/>
      <c r="E570" s="1003"/>
      <c r="F570" s="1003"/>
      <c r="G570" s="1003"/>
      <c r="H570" s="1003"/>
      <c r="I570" s="1003"/>
      <c r="J570" s="1003"/>
      <c r="K570" s="1003"/>
      <c r="L570" s="1003"/>
      <c r="M570" s="1003"/>
      <c r="N570" s="1003"/>
      <c r="O570" s="1003"/>
      <c r="P570" s="1003"/>
      <c r="Q570" s="1003"/>
    </row>
    <row r="571" spans="3:17" ht="15.75" customHeight="1">
      <c r="C571" s="1003"/>
      <c r="D571" s="1003"/>
      <c r="E571" s="1003"/>
      <c r="F571" s="1003"/>
      <c r="G571" s="1003"/>
      <c r="H571" s="1003"/>
      <c r="I571" s="1003"/>
      <c r="J571" s="1003"/>
      <c r="K571" s="1003"/>
      <c r="L571" s="1003"/>
      <c r="M571" s="1003"/>
      <c r="N571" s="1003"/>
      <c r="O571" s="1003"/>
      <c r="P571" s="1003"/>
      <c r="Q571" s="1003"/>
    </row>
    <row r="572" spans="3:17" ht="15.75" customHeight="1">
      <c r="C572" s="1003"/>
      <c r="D572" s="1003"/>
      <c r="E572" s="1003"/>
      <c r="F572" s="1003"/>
      <c r="G572" s="1003"/>
      <c r="H572" s="1003"/>
      <c r="I572" s="1003"/>
      <c r="J572" s="1003"/>
      <c r="K572" s="1003"/>
      <c r="L572" s="1003"/>
      <c r="M572" s="1003"/>
      <c r="N572" s="1003"/>
      <c r="O572" s="1003"/>
      <c r="P572" s="1003"/>
      <c r="Q572" s="1003"/>
    </row>
    <row r="573" spans="3:17" ht="15.75" customHeight="1">
      <c r="C573" s="1003"/>
      <c r="D573" s="1003"/>
      <c r="E573" s="1003"/>
      <c r="F573" s="1003"/>
      <c r="G573" s="1003"/>
      <c r="H573" s="1003"/>
      <c r="I573" s="1003"/>
      <c r="J573" s="1003"/>
      <c r="K573" s="1003"/>
      <c r="L573" s="1003"/>
      <c r="M573" s="1003"/>
      <c r="N573" s="1003"/>
      <c r="O573" s="1003"/>
      <c r="P573" s="1003"/>
      <c r="Q573" s="1003"/>
    </row>
    <row r="574" spans="3:17" ht="15.75" customHeight="1">
      <c r="C574" s="1003"/>
      <c r="D574" s="1003"/>
      <c r="E574" s="1003"/>
      <c r="F574" s="1003"/>
      <c r="G574" s="1003"/>
      <c r="H574" s="1003"/>
      <c r="I574" s="1003"/>
      <c r="J574" s="1003"/>
      <c r="K574" s="1003"/>
      <c r="L574" s="1003"/>
      <c r="M574" s="1003"/>
      <c r="N574" s="1003"/>
      <c r="O574" s="1003"/>
      <c r="P574" s="1003"/>
      <c r="Q574" s="1003"/>
    </row>
    <row r="575" spans="3:17" ht="15.75" customHeight="1">
      <c r="C575" s="1003"/>
      <c r="D575" s="1003"/>
      <c r="E575" s="1003"/>
      <c r="F575" s="1003"/>
      <c r="G575" s="1003"/>
      <c r="H575" s="1003"/>
      <c r="I575" s="1003"/>
      <c r="J575" s="1003"/>
      <c r="K575" s="1003"/>
      <c r="L575" s="1003"/>
      <c r="M575" s="1003"/>
      <c r="N575" s="1003"/>
      <c r="O575" s="1003"/>
      <c r="P575" s="1003"/>
      <c r="Q575" s="1003"/>
    </row>
    <row r="576" spans="3:17" ht="15.75" customHeight="1">
      <c r="C576" s="1003"/>
      <c r="D576" s="1003"/>
      <c r="E576" s="1003"/>
      <c r="F576" s="1003"/>
      <c r="G576" s="1003"/>
      <c r="H576" s="1003"/>
      <c r="I576" s="1003"/>
      <c r="J576" s="1003"/>
      <c r="K576" s="1003"/>
      <c r="L576" s="1003"/>
      <c r="M576" s="1003"/>
      <c r="N576" s="1003"/>
      <c r="O576" s="1003"/>
      <c r="P576" s="1003"/>
      <c r="Q576" s="1003"/>
    </row>
    <row r="577" spans="3:17" ht="15.75" customHeight="1">
      <c r="C577" s="1003"/>
      <c r="D577" s="1003"/>
      <c r="E577" s="1003"/>
      <c r="F577" s="1003"/>
      <c r="G577" s="1003"/>
      <c r="H577" s="1003"/>
      <c r="I577" s="1003"/>
      <c r="J577" s="1003"/>
      <c r="K577" s="1003"/>
      <c r="L577" s="1003"/>
      <c r="M577" s="1003"/>
      <c r="N577" s="1003"/>
      <c r="O577" s="1003"/>
      <c r="P577" s="1003"/>
      <c r="Q577" s="1003"/>
    </row>
    <row r="578" spans="3:17" ht="15.75" customHeight="1">
      <c r="C578" s="1003"/>
      <c r="D578" s="1003"/>
      <c r="E578" s="1003"/>
      <c r="F578" s="1003"/>
      <c r="G578" s="1003"/>
      <c r="H578" s="1003"/>
      <c r="I578" s="1003"/>
      <c r="J578" s="1003"/>
      <c r="K578" s="1003"/>
      <c r="L578" s="1003"/>
      <c r="M578" s="1003"/>
      <c r="N578" s="1003"/>
      <c r="O578" s="1003"/>
      <c r="P578" s="1003"/>
      <c r="Q578" s="1003"/>
    </row>
    <row r="579" spans="3:17" ht="15.75" customHeight="1">
      <c r="C579" s="1003"/>
      <c r="D579" s="1003"/>
      <c r="E579" s="1003"/>
      <c r="F579" s="1003"/>
      <c r="G579" s="1003"/>
      <c r="H579" s="1003"/>
      <c r="I579" s="1003"/>
      <c r="J579" s="1003"/>
      <c r="K579" s="1003"/>
      <c r="L579" s="1003"/>
      <c r="M579" s="1003"/>
      <c r="N579" s="1003"/>
      <c r="O579" s="1003"/>
      <c r="P579" s="1003"/>
      <c r="Q579" s="1003"/>
    </row>
    <row r="580" spans="3:17" ht="15.75" customHeight="1">
      <c r="C580" s="1003"/>
      <c r="D580" s="1003"/>
      <c r="E580" s="1003"/>
      <c r="F580" s="1003"/>
      <c r="G580" s="1003"/>
      <c r="H580" s="1003"/>
      <c r="I580" s="1003"/>
      <c r="J580" s="1003"/>
      <c r="K580" s="1003"/>
      <c r="L580" s="1003"/>
      <c r="M580" s="1003"/>
      <c r="N580" s="1003"/>
      <c r="O580" s="1003"/>
      <c r="P580" s="1003"/>
      <c r="Q580" s="1003"/>
    </row>
    <row r="581" spans="3:17" ht="15.75" customHeight="1">
      <c r="C581" s="1003"/>
      <c r="D581" s="1003"/>
      <c r="E581" s="1003"/>
      <c r="F581" s="1003"/>
      <c r="G581" s="1003"/>
      <c r="H581" s="1003"/>
      <c r="I581" s="1003"/>
      <c r="J581" s="1003"/>
      <c r="K581" s="1003"/>
      <c r="L581" s="1003"/>
      <c r="M581" s="1003"/>
      <c r="N581" s="1003"/>
      <c r="O581" s="1003"/>
      <c r="P581" s="1003"/>
      <c r="Q581" s="1003"/>
    </row>
    <row r="582" spans="3:17" ht="15.75" customHeight="1">
      <c r="C582" s="1003"/>
      <c r="D582" s="1003"/>
      <c r="E582" s="1003"/>
      <c r="F582" s="1003"/>
      <c r="G582" s="1003"/>
      <c r="H582" s="1003"/>
      <c r="I582" s="1003"/>
      <c r="J582" s="1003"/>
      <c r="K582" s="1003"/>
      <c r="L582" s="1003"/>
      <c r="M582" s="1003"/>
      <c r="N582" s="1003"/>
      <c r="O582" s="1003"/>
      <c r="P582" s="1003"/>
      <c r="Q582" s="1003"/>
    </row>
    <row r="583" spans="3:17" ht="15.75" customHeight="1">
      <c r="C583" s="1003"/>
      <c r="D583" s="1003"/>
      <c r="E583" s="1003"/>
      <c r="F583" s="1003"/>
      <c r="G583" s="1003"/>
      <c r="H583" s="1003"/>
      <c r="I583" s="1003"/>
      <c r="J583" s="1003"/>
      <c r="K583" s="1003"/>
      <c r="L583" s="1003"/>
      <c r="M583" s="1003"/>
      <c r="N583" s="1003"/>
      <c r="O583" s="1003"/>
      <c r="P583" s="1003"/>
      <c r="Q583" s="1003"/>
    </row>
    <row r="584" spans="3:17" ht="15.75" customHeight="1">
      <c r="C584" s="1003"/>
      <c r="D584" s="1003"/>
      <c r="E584" s="1003"/>
      <c r="F584" s="1003"/>
      <c r="G584" s="1003"/>
      <c r="H584" s="1003"/>
      <c r="I584" s="1003"/>
      <c r="J584" s="1003"/>
      <c r="K584" s="1003"/>
      <c r="L584" s="1003"/>
      <c r="M584" s="1003"/>
      <c r="N584" s="1003"/>
      <c r="O584" s="1003"/>
      <c r="P584" s="1003"/>
      <c r="Q584" s="1003"/>
    </row>
    <row r="585" spans="3:17" ht="15.75" customHeight="1">
      <c r="C585" s="1003"/>
      <c r="D585" s="1003"/>
      <c r="E585" s="1003"/>
      <c r="F585" s="1003"/>
      <c r="G585" s="1003"/>
      <c r="H585" s="1003"/>
      <c r="I585" s="1003"/>
      <c r="J585" s="1003"/>
      <c r="K585" s="1003"/>
      <c r="L585" s="1003"/>
      <c r="M585" s="1003"/>
      <c r="N585" s="1003"/>
      <c r="O585" s="1003"/>
      <c r="P585" s="1003"/>
      <c r="Q585" s="1003"/>
    </row>
    <row r="586" spans="3:17" ht="15.75" customHeight="1">
      <c r="C586" s="1003"/>
      <c r="D586" s="1003"/>
      <c r="E586" s="1003"/>
      <c r="F586" s="1003"/>
      <c r="G586" s="1003"/>
      <c r="H586" s="1003"/>
      <c r="I586" s="1003"/>
      <c r="J586" s="1003"/>
      <c r="K586" s="1003"/>
      <c r="L586" s="1003"/>
      <c r="M586" s="1003"/>
      <c r="N586" s="1003"/>
      <c r="O586" s="1003"/>
      <c r="P586" s="1003"/>
      <c r="Q586" s="1003"/>
    </row>
    <row r="587" spans="3:17" ht="15.75" customHeight="1">
      <c r="C587" s="1003"/>
      <c r="D587" s="1003"/>
      <c r="E587" s="1003"/>
      <c r="F587" s="1003"/>
      <c r="G587" s="1003"/>
      <c r="H587" s="1003"/>
      <c r="I587" s="1003"/>
      <c r="J587" s="1003"/>
      <c r="K587" s="1003"/>
      <c r="L587" s="1003"/>
      <c r="M587" s="1003"/>
      <c r="N587" s="1003"/>
      <c r="O587" s="1003"/>
      <c r="P587" s="1003"/>
      <c r="Q587" s="1003"/>
    </row>
    <row r="588" spans="3:17" ht="15.75" customHeight="1">
      <c r="C588" s="1003"/>
      <c r="D588" s="1003"/>
      <c r="E588" s="1003"/>
      <c r="F588" s="1003"/>
      <c r="G588" s="1003"/>
      <c r="H588" s="1003"/>
      <c r="I588" s="1003"/>
      <c r="J588" s="1003"/>
      <c r="K588" s="1003"/>
      <c r="L588" s="1003"/>
      <c r="M588" s="1003"/>
      <c r="N588" s="1003"/>
      <c r="O588" s="1003"/>
      <c r="P588" s="1003"/>
      <c r="Q588" s="1003"/>
    </row>
    <row r="589" spans="3:17" ht="15.75" customHeight="1">
      <c r="C589" s="1003"/>
      <c r="D589" s="1003"/>
      <c r="E589" s="1003"/>
      <c r="F589" s="1003"/>
      <c r="G589" s="1003"/>
      <c r="H589" s="1003"/>
      <c r="I589" s="1003"/>
      <c r="J589" s="1003"/>
      <c r="K589" s="1003"/>
      <c r="L589" s="1003"/>
      <c r="M589" s="1003"/>
      <c r="N589" s="1003"/>
      <c r="O589" s="1003"/>
      <c r="P589" s="1003"/>
      <c r="Q589" s="1003"/>
    </row>
    <row r="590" spans="3:17" ht="15.75" customHeight="1">
      <c r="C590" s="1003"/>
      <c r="D590" s="1003"/>
      <c r="E590" s="1003"/>
      <c r="F590" s="1003"/>
      <c r="G590" s="1003"/>
      <c r="H590" s="1003"/>
      <c r="I590" s="1003"/>
      <c r="J590" s="1003"/>
      <c r="K590" s="1003"/>
      <c r="L590" s="1003"/>
      <c r="M590" s="1003"/>
      <c r="N590" s="1003"/>
      <c r="O590" s="1003"/>
      <c r="P590" s="1003"/>
      <c r="Q590" s="1003"/>
    </row>
    <row r="591" spans="3:17" ht="15.75" customHeight="1">
      <c r="C591" s="1003"/>
      <c r="D591" s="1003"/>
      <c r="E591" s="1003"/>
      <c r="F591" s="1003"/>
      <c r="G591" s="1003"/>
      <c r="H591" s="1003"/>
      <c r="I591" s="1003"/>
      <c r="J591" s="1003"/>
      <c r="K591" s="1003"/>
      <c r="L591" s="1003"/>
      <c r="M591" s="1003"/>
      <c r="N591" s="1003"/>
      <c r="O591" s="1003"/>
      <c r="P591" s="1003"/>
      <c r="Q591" s="1003"/>
    </row>
    <row r="592" spans="3:17" ht="15.75" customHeight="1">
      <c r="C592" s="1003"/>
      <c r="D592" s="1003"/>
      <c r="E592" s="1003"/>
      <c r="F592" s="1003"/>
      <c r="G592" s="1003"/>
      <c r="H592" s="1003"/>
      <c r="I592" s="1003"/>
      <c r="J592" s="1003"/>
      <c r="K592" s="1003"/>
      <c r="L592" s="1003"/>
      <c r="M592" s="1003"/>
      <c r="N592" s="1003"/>
      <c r="O592" s="1003"/>
      <c r="P592" s="1003"/>
      <c r="Q592" s="1003"/>
    </row>
    <row r="593" spans="3:17" ht="15.75" customHeight="1">
      <c r="C593" s="1003"/>
      <c r="D593" s="1003"/>
      <c r="E593" s="1003"/>
      <c r="F593" s="1003"/>
      <c r="G593" s="1003"/>
      <c r="H593" s="1003"/>
      <c r="I593" s="1003"/>
      <c r="J593" s="1003"/>
      <c r="K593" s="1003"/>
      <c r="L593" s="1003"/>
      <c r="M593" s="1003"/>
      <c r="N593" s="1003"/>
      <c r="O593" s="1003"/>
      <c r="P593" s="1003"/>
      <c r="Q593" s="1003"/>
    </row>
    <row r="594" spans="3:17" ht="15.75" customHeight="1">
      <c r="C594" s="1003"/>
      <c r="D594" s="1003"/>
      <c r="E594" s="1003"/>
      <c r="F594" s="1003"/>
      <c r="G594" s="1003"/>
      <c r="H594" s="1003"/>
      <c r="I594" s="1003"/>
      <c r="J594" s="1003"/>
      <c r="K594" s="1003"/>
      <c r="L594" s="1003"/>
      <c r="M594" s="1003"/>
      <c r="N594" s="1003"/>
      <c r="O594" s="1003"/>
      <c r="P594" s="1003"/>
      <c r="Q594" s="1003"/>
    </row>
    <row r="595" spans="3:17" ht="15.75" customHeight="1">
      <c r="C595" s="1003"/>
      <c r="D595" s="1003"/>
      <c r="E595" s="1003"/>
      <c r="F595" s="1003"/>
      <c r="G595" s="1003"/>
      <c r="H595" s="1003"/>
      <c r="I595" s="1003"/>
      <c r="J595" s="1003"/>
      <c r="K595" s="1003"/>
      <c r="L595" s="1003"/>
      <c r="M595" s="1003"/>
      <c r="N595" s="1003"/>
      <c r="O595" s="1003"/>
      <c r="P595" s="1003"/>
      <c r="Q595" s="1003"/>
    </row>
    <row r="596" spans="3:17" ht="15.75" customHeight="1">
      <c r="C596" s="1003"/>
      <c r="D596" s="1003"/>
      <c r="E596" s="1003"/>
      <c r="F596" s="1003"/>
      <c r="G596" s="1003"/>
      <c r="H596" s="1003"/>
      <c r="I596" s="1003"/>
      <c r="J596" s="1003"/>
      <c r="K596" s="1003"/>
      <c r="L596" s="1003"/>
      <c r="M596" s="1003"/>
      <c r="N596" s="1003"/>
      <c r="O596" s="1003"/>
      <c r="P596" s="1003"/>
      <c r="Q596" s="1003"/>
    </row>
    <row r="597" spans="3:17" ht="15.75" customHeight="1">
      <c r="C597" s="1003"/>
      <c r="D597" s="1003"/>
      <c r="E597" s="1003"/>
      <c r="F597" s="1003"/>
      <c r="G597" s="1003"/>
      <c r="H597" s="1003"/>
      <c r="I597" s="1003"/>
      <c r="J597" s="1003"/>
      <c r="K597" s="1003"/>
      <c r="L597" s="1003"/>
      <c r="M597" s="1003"/>
      <c r="N597" s="1003"/>
      <c r="O597" s="1003"/>
      <c r="P597" s="1003"/>
      <c r="Q597" s="1003"/>
    </row>
    <row r="598" spans="3:17" ht="15.75" customHeight="1">
      <c r="C598" s="1003"/>
      <c r="D598" s="1003"/>
      <c r="E598" s="1003"/>
      <c r="F598" s="1003"/>
      <c r="G598" s="1003"/>
      <c r="H598" s="1003"/>
      <c r="I598" s="1003"/>
      <c r="J598" s="1003"/>
      <c r="K598" s="1003"/>
      <c r="L598" s="1003"/>
      <c r="M598" s="1003"/>
      <c r="N598" s="1003"/>
      <c r="O598" s="1003"/>
      <c r="P598" s="1003"/>
      <c r="Q598" s="1003"/>
    </row>
    <row r="599" spans="3:17" ht="15.75" customHeight="1">
      <c r="C599" s="1003"/>
      <c r="D599" s="1003"/>
      <c r="E599" s="1003"/>
      <c r="F599" s="1003"/>
      <c r="G599" s="1003"/>
      <c r="H599" s="1003"/>
      <c r="I599" s="1003"/>
      <c r="J599" s="1003"/>
      <c r="K599" s="1003"/>
      <c r="L599" s="1003"/>
      <c r="M599" s="1003"/>
      <c r="N599" s="1003"/>
      <c r="O599" s="1003"/>
      <c r="P599" s="1003"/>
      <c r="Q599" s="1003"/>
    </row>
    <row r="600" spans="3:17" ht="15.75" customHeight="1">
      <c r="C600" s="1003"/>
      <c r="D600" s="1003"/>
      <c r="E600" s="1003"/>
      <c r="F600" s="1003"/>
      <c r="G600" s="1003"/>
      <c r="H600" s="1003"/>
      <c r="I600" s="1003"/>
      <c r="J600" s="1003"/>
      <c r="K600" s="1003"/>
      <c r="L600" s="1003"/>
      <c r="M600" s="1003"/>
      <c r="N600" s="1003"/>
      <c r="O600" s="1003"/>
      <c r="P600" s="1003"/>
      <c r="Q600" s="1003"/>
    </row>
    <row r="601" spans="3:17" ht="15.75" customHeight="1">
      <c r="C601" s="1003"/>
      <c r="D601" s="1003"/>
      <c r="E601" s="1003"/>
      <c r="F601" s="1003"/>
      <c r="G601" s="1003"/>
      <c r="H601" s="1003"/>
      <c r="I601" s="1003"/>
      <c r="J601" s="1003"/>
      <c r="K601" s="1003"/>
      <c r="L601" s="1003"/>
      <c r="M601" s="1003"/>
      <c r="N601" s="1003"/>
      <c r="O601" s="1003"/>
      <c r="P601" s="1003"/>
      <c r="Q601" s="1003"/>
    </row>
    <row r="602" spans="3:17" ht="15.75" customHeight="1">
      <c r="C602" s="1003"/>
      <c r="D602" s="1003"/>
      <c r="E602" s="1003"/>
      <c r="F602" s="1003"/>
      <c r="G602" s="1003"/>
      <c r="H602" s="1003"/>
      <c r="I602" s="1003"/>
      <c r="J602" s="1003"/>
      <c r="K602" s="1003"/>
      <c r="L602" s="1003"/>
      <c r="M602" s="1003"/>
      <c r="N602" s="1003"/>
      <c r="O602" s="1003"/>
      <c r="P602" s="1003"/>
      <c r="Q602" s="1003"/>
    </row>
    <row r="603" spans="3:17" ht="15.75" customHeight="1">
      <c r="C603" s="1003"/>
      <c r="D603" s="1003"/>
      <c r="E603" s="1003"/>
      <c r="F603" s="1003"/>
      <c r="G603" s="1003"/>
      <c r="H603" s="1003"/>
      <c r="I603" s="1003"/>
      <c r="J603" s="1003"/>
      <c r="K603" s="1003"/>
      <c r="L603" s="1003"/>
      <c r="M603" s="1003"/>
      <c r="N603" s="1003"/>
      <c r="O603" s="1003"/>
      <c r="P603" s="1003"/>
      <c r="Q603" s="1003"/>
    </row>
    <row r="604" spans="3:17" ht="15.75" customHeight="1">
      <c r="C604" s="1003"/>
      <c r="D604" s="1003"/>
      <c r="E604" s="1003"/>
      <c r="F604" s="1003"/>
      <c r="G604" s="1003"/>
      <c r="H604" s="1003"/>
      <c r="I604" s="1003"/>
      <c r="J604" s="1003"/>
      <c r="K604" s="1003"/>
      <c r="L604" s="1003"/>
      <c r="M604" s="1003"/>
      <c r="N604" s="1003"/>
      <c r="O604" s="1003"/>
      <c r="P604" s="1003"/>
      <c r="Q604" s="1003"/>
    </row>
    <row r="605" spans="3:17" ht="15.75" customHeight="1">
      <c r="C605" s="1003"/>
      <c r="D605" s="1003"/>
      <c r="E605" s="1003"/>
      <c r="F605" s="1003"/>
      <c r="G605" s="1003"/>
      <c r="H605" s="1003"/>
      <c r="I605" s="1003"/>
      <c r="J605" s="1003"/>
      <c r="K605" s="1003"/>
      <c r="L605" s="1003"/>
      <c r="M605" s="1003"/>
      <c r="N605" s="1003"/>
      <c r="O605" s="1003"/>
      <c r="P605" s="1003"/>
      <c r="Q605" s="1003"/>
    </row>
    <row r="606" spans="3:17" ht="15.75" customHeight="1">
      <c r="C606" s="1003"/>
      <c r="D606" s="1003"/>
      <c r="E606" s="1003"/>
      <c r="F606" s="1003"/>
      <c r="G606" s="1003"/>
      <c r="H606" s="1003"/>
      <c r="I606" s="1003"/>
      <c r="J606" s="1003"/>
      <c r="K606" s="1003"/>
      <c r="L606" s="1003"/>
      <c r="M606" s="1003"/>
      <c r="N606" s="1003"/>
      <c r="O606" s="1003"/>
      <c r="P606" s="1003"/>
      <c r="Q606" s="1003"/>
    </row>
    <row r="607" spans="3:17" ht="15.75" customHeight="1">
      <c r="C607" s="1003"/>
      <c r="D607" s="1003"/>
      <c r="E607" s="1003"/>
      <c r="F607" s="1003"/>
      <c r="G607" s="1003"/>
      <c r="H607" s="1003"/>
      <c r="I607" s="1003"/>
      <c r="J607" s="1003"/>
      <c r="K607" s="1003"/>
      <c r="L607" s="1003"/>
      <c r="M607" s="1003"/>
      <c r="N607" s="1003"/>
      <c r="O607" s="1003"/>
      <c r="P607" s="1003"/>
      <c r="Q607" s="1003"/>
    </row>
    <row r="608" spans="3:17" ht="15.75" customHeight="1">
      <c r="C608" s="1003"/>
      <c r="D608" s="1003"/>
      <c r="E608" s="1003"/>
      <c r="F608" s="1003"/>
      <c r="G608" s="1003"/>
      <c r="H608" s="1003"/>
      <c r="I608" s="1003"/>
      <c r="J608" s="1003"/>
      <c r="K608" s="1003"/>
      <c r="L608" s="1003"/>
      <c r="M608" s="1003"/>
      <c r="N608" s="1003"/>
      <c r="O608" s="1003"/>
      <c r="P608" s="1003"/>
      <c r="Q608" s="1003"/>
    </row>
    <row r="609" spans="3:17" ht="15.75" customHeight="1">
      <c r="C609" s="1003"/>
      <c r="D609" s="1003"/>
      <c r="E609" s="1003"/>
      <c r="F609" s="1003"/>
      <c r="G609" s="1003"/>
      <c r="H609" s="1003"/>
      <c r="I609" s="1003"/>
      <c r="J609" s="1003"/>
      <c r="K609" s="1003"/>
      <c r="L609" s="1003"/>
      <c r="M609" s="1003"/>
      <c r="N609" s="1003"/>
      <c r="O609" s="1003"/>
      <c r="P609" s="1003"/>
      <c r="Q609" s="1003"/>
    </row>
    <row r="610" spans="3:17" ht="15.75" customHeight="1">
      <c r="C610" s="1003"/>
      <c r="D610" s="1003"/>
      <c r="E610" s="1003"/>
      <c r="F610" s="1003"/>
      <c r="G610" s="1003"/>
      <c r="H610" s="1003"/>
      <c r="I610" s="1003"/>
      <c r="J610" s="1003"/>
      <c r="K610" s="1003"/>
      <c r="L610" s="1003"/>
      <c r="M610" s="1003"/>
      <c r="N610" s="1003"/>
      <c r="O610" s="1003"/>
      <c r="P610" s="1003"/>
      <c r="Q610" s="1003"/>
    </row>
    <row r="611" spans="3:17" ht="15.75" customHeight="1">
      <c r="C611" s="1003"/>
      <c r="D611" s="1003"/>
      <c r="E611" s="1003"/>
      <c r="F611" s="1003"/>
      <c r="G611" s="1003"/>
      <c r="H611" s="1003"/>
      <c r="I611" s="1003"/>
      <c r="J611" s="1003"/>
      <c r="K611" s="1003"/>
      <c r="L611" s="1003"/>
      <c r="M611" s="1003"/>
      <c r="N611" s="1003"/>
      <c r="O611" s="1003"/>
      <c r="P611" s="1003"/>
      <c r="Q611" s="1003"/>
    </row>
    <row r="612" spans="3:17" ht="15.75" customHeight="1">
      <c r="C612" s="1003"/>
      <c r="D612" s="1003"/>
      <c r="E612" s="1003"/>
      <c r="F612" s="1003"/>
      <c r="G612" s="1003"/>
      <c r="H612" s="1003"/>
      <c r="I612" s="1003"/>
      <c r="J612" s="1003"/>
      <c r="K612" s="1003"/>
      <c r="L612" s="1003"/>
      <c r="M612" s="1003"/>
      <c r="N612" s="1003"/>
      <c r="O612" s="1003"/>
      <c r="P612" s="1003"/>
      <c r="Q612" s="1003"/>
    </row>
    <row r="613" spans="3:17" ht="15.75" customHeight="1">
      <c r="C613" s="1003"/>
      <c r="D613" s="1003"/>
      <c r="E613" s="1003"/>
      <c r="F613" s="1003"/>
      <c r="G613" s="1003"/>
      <c r="H613" s="1003"/>
      <c r="I613" s="1003"/>
      <c r="J613" s="1003"/>
      <c r="K613" s="1003"/>
      <c r="L613" s="1003"/>
      <c r="M613" s="1003"/>
      <c r="N613" s="1003"/>
      <c r="O613" s="1003"/>
      <c r="P613" s="1003"/>
      <c r="Q613" s="1003"/>
    </row>
    <row r="614" spans="3:17" ht="15.75" customHeight="1">
      <c r="C614" s="1003"/>
      <c r="D614" s="1003"/>
      <c r="E614" s="1003"/>
      <c r="F614" s="1003"/>
      <c r="G614" s="1003"/>
      <c r="H614" s="1003"/>
      <c r="I614" s="1003"/>
      <c r="J614" s="1003"/>
      <c r="K614" s="1003"/>
      <c r="L614" s="1003"/>
      <c r="M614" s="1003"/>
      <c r="N614" s="1003"/>
      <c r="O614" s="1003"/>
      <c r="P614" s="1003"/>
      <c r="Q614" s="1003"/>
    </row>
    <row r="615" spans="3:17" ht="15.75" customHeight="1">
      <c r="C615" s="1003"/>
      <c r="D615" s="1003"/>
      <c r="E615" s="1003"/>
      <c r="F615" s="1003"/>
      <c r="G615" s="1003"/>
      <c r="H615" s="1003"/>
      <c r="I615" s="1003"/>
      <c r="J615" s="1003"/>
      <c r="K615" s="1003"/>
      <c r="L615" s="1003"/>
      <c r="M615" s="1003"/>
      <c r="N615" s="1003"/>
      <c r="O615" s="1003"/>
      <c r="P615" s="1003"/>
      <c r="Q615" s="1003"/>
    </row>
    <row r="616" spans="3:17" ht="15.75" customHeight="1">
      <c r="C616" s="1003"/>
      <c r="D616" s="1003"/>
      <c r="E616" s="1003"/>
      <c r="F616" s="1003"/>
      <c r="G616" s="1003"/>
      <c r="H616" s="1003"/>
      <c r="I616" s="1003"/>
      <c r="J616" s="1003"/>
      <c r="K616" s="1003"/>
      <c r="L616" s="1003"/>
      <c r="M616" s="1003"/>
      <c r="N616" s="1003"/>
      <c r="O616" s="1003"/>
      <c r="P616" s="1003"/>
      <c r="Q616" s="1003"/>
    </row>
    <row r="617" spans="3:17" ht="15.75" customHeight="1">
      <c r="C617" s="1003"/>
      <c r="D617" s="1003"/>
      <c r="E617" s="1003"/>
      <c r="F617" s="1003"/>
      <c r="G617" s="1003"/>
      <c r="H617" s="1003"/>
      <c r="I617" s="1003"/>
      <c r="J617" s="1003"/>
      <c r="K617" s="1003"/>
      <c r="L617" s="1003"/>
      <c r="M617" s="1003"/>
      <c r="N617" s="1003"/>
      <c r="O617" s="1003"/>
      <c r="P617" s="1003"/>
      <c r="Q617" s="1003"/>
    </row>
    <row r="618" spans="3:17" ht="15.75" customHeight="1">
      <c r="C618" s="1003"/>
      <c r="D618" s="1003"/>
      <c r="E618" s="1003"/>
      <c r="F618" s="1003"/>
      <c r="G618" s="1003"/>
      <c r="H618" s="1003"/>
      <c r="I618" s="1003"/>
      <c r="J618" s="1003"/>
      <c r="K618" s="1003"/>
      <c r="L618" s="1003"/>
      <c r="M618" s="1003"/>
      <c r="N618" s="1003"/>
      <c r="O618" s="1003"/>
      <c r="P618" s="1003"/>
      <c r="Q618" s="1003"/>
    </row>
    <row r="619" spans="3:17" ht="15.75" customHeight="1">
      <c r="C619" s="1003"/>
      <c r="D619" s="1003"/>
      <c r="E619" s="1003"/>
      <c r="F619" s="1003"/>
      <c r="G619" s="1003"/>
      <c r="H619" s="1003"/>
      <c r="I619" s="1003"/>
      <c r="J619" s="1003"/>
      <c r="K619" s="1003"/>
      <c r="L619" s="1003"/>
      <c r="M619" s="1003"/>
      <c r="N619" s="1003"/>
      <c r="O619" s="1003"/>
      <c r="P619" s="1003"/>
      <c r="Q619" s="1003"/>
    </row>
    <row r="620" spans="3:17" ht="15.75" customHeight="1">
      <c r="C620" s="1003"/>
      <c r="D620" s="1003"/>
      <c r="E620" s="1003"/>
      <c r="F620" s="1003"/>
      <c r="G620" s="1003"/>
      <c r="H620" s="1003"/>
      <c r="I620" s="1003"/>
      <c r="J620" s="1003"/>
      <c r="K620" s="1003"/>
      <c r="L620" s="1003"/>
      <c r="M620" s="1003"/>
      <c r="N620" s="1003"/>
      <c r="O620" s="1003"/>
      <c r="P620" s="1003"/>
      <c r="Q620" s="1003"/>
    </row>
    <row r="621" spans="3:17" ht="15.75" customHeight="1">
      <c r="C621" s="1003"/>
      <c r="D621" s="1003"/>
      <c r="E621" s="1003"/>
      <c r="F621" s="1003"/>
      <c r="G621" s="1003"/>
      <c r="H621" s="1003"/>
      <c r="I621" s="1003"/>
      <c r="J621" s="1003"/>
      <c r="K621" s="1003"/>
      <c r="L621" s="1003"/>
      <c r="M621" s="1003"/>
      <c r="N621" s="1003"/>
      <c r="O621" s="1003"/>
      <c r="P621" s="1003"/>
      <c r="Q621" s="1003"/>
    </row>
    <row r="622" spans="3:17" ht="15.75" customHeight="1">
      <c r="C622" s="1003"/>
      <c r="D622" s="1003"/>
      <c r="E622" s="1003"/>
      <c r="F622" s="1003"/>
      <c r="G622" s="1003"/>
      <c r="H622" s="1003"/>
      <c r="I622" s="1003"/>
      <c r="J622" s="1003"/>
      <c r="K622" s="1003"/>
      <c r="L622" s="1003"/>
      <c r="M622" s="1003"/>
      <c r="N622" s="1003"/>
      <c r="O622" s="1003"/>
      <c r="P622" s="1003"/>
      <c r="Q622" s="1003"/>
    </row>
    <row r="623" spans="3:17" ht="15.75" customHeight="1">
      <c r="C623" s="1003"/>
      <c r="D623" s="1003"/>
      <c r="E623" s="1003"/>
      <c r="F623" s="1003"/>
      <c r="G623" s="1003"/>
      <c r="H623" s="1003"/>
      <c r="I623" s="1003"/>
      <c r="J623" s="1003"/>
      <c r="K623" s="1003"/>
      <c r="L623" s="1003"/>
      <c r="M623" s="1003"/>
      <c r="N623" s="1003"/>
      <c r="O623" s="1003"/>
      <c r="P623" s="1003"/>
      <c r="Q623" s="1003"/>
    </row>
    <row r="624" spans="3:17" ht="15.75" customHeight="1">
      <c r="C624" s="1003"/>
      <c r="D624" s="1003"/>
      <c r="E624" s="1003"/>
      <c r="F624" s="1003"/>
      <c r="G624" s="1003"/>
      <c r="H624" s="1003"/>
      <c r="I624" s="1003"/>
      <c r="J624" s="1003"/>
      <c r="K624" s="1003"/>
      <c r="L624" s="1003"/>
      <c r="M624" s="1003"/>
      <c r="N624" s="1003"/>
      <c r="O624" s="1003"/>
      <c r="P624" s="1003"/>
      <c r="Q624" s="1003"/>
    </row>
    <row r="625" spans="3:17" ht="15.75" customHeight="1">
      <c r="C625" s="1003"/>
      <c r="D625" s="1003"/>
      <c r="E625" s="1003"/>
      <c r="F625" s="1003"/>
      <c r="G625" s="1003"/>
      <c r="H625" s="1003"/>
      <c r="I625" s="1003"/>
      <c r="J625" s="1003"/>
      <c r="K625" s="1003"/>
      <c r="L625" s="1003"/>
      <c r="M625" s="1003"/>
      <c r="N625" s="1003"/>
      <c r="O625" s="1003"/>
      <c r="P625" s="1003"/>
      <c r="Q625" s="1003"/>
    </row>
    <row r="626" spans="3:17" ht="15.75" customHeight="1">
      <c r="C626" s="1003"/>
      <c r="D626" s="1003"/>
      <c r="E626" s="1003"/>
      <c r="F626" s="1003"/>
      <c r="G626" s="1003"/>
      <c r="H626" s="1003"/>
      <c r="I626" s="1003"/>
      <c r="J626" s="1003"/>
      <c r="K626" s="1003"/>
      <c r="L626" s="1003"/>
      <c r="M626" s="1003"/>
      <c r="N626" s="1003"/>
      <c r="O626" s="1003"/>
      <c r="P626" s="1003"/>
      <c r="Q626" s="1003"/>
    </row>
    <row r="627" spans="3:17" ht="15.75" customHeight="1">
      <c r="C627" s="1003"/>
      <c r="D627" s="1003"/>
      <c r="E627" s="1003"/>
      <c r="F627" s="1003"/>
      <c r="G627" s="1003"/>
      <c r="H627" s="1003"/>
      <c r="I627" s="1003"/>
      <c r="J627" s="1003"/>
      <c r="K627" s="1003"/>
      <c r="L627" s="1003"/>
      <c r="M627" s="1003"/>
      <c r="N627" s="1003"/>
      <c r="O627" s="1003"/>
      <c r="P627" s="1003"/>
      <c r="Q627" s="1003"/>
    </row>
    <row r="628" spans="3:17" ht="15.75" customHeight="1">
      <c r="C628" s="1003"/>
      <c r="D628" s="1003"/>
      <c r="E628" s="1003"/>
      <c r="F628" s="1003"/>
      <c r="G628" s="1003"/>
      <c r="H628" s="1003"/>
      <c r="I628" s="1003"/>
      <c r="J628" s="1003"/>
      <c r="K628" s="1003"/>
      <c r="L628" s="1003"/>
      <c r="M628" s="1003"/>
      <c r="N628" s="1003"/>
      <c r="O628" s="1003"/>
      <c r="P628" s="1003"/>
      <c r="Q628" s="1003"/>
    </row>
    <row r="629" spans="3:17" ht="15.75" customHeight="1">
      <c r="C629" s="1003"/>
      <c r="D629" s="1003"/>
      <c r="E629" s="1003"/>
      <c r="F629" s="1003"/>
      <c r="G629" s="1003"/>
      <c r="H629" s="1003"/>
      <c r="I629" s="1003"/>
      <c r="J629" s="1003"/>
      <c r="K629" s="1003"/>
      <c r="L629" s="1003"/>
      <c r="M629" s="1003"/>
      <c r="N629" s="1003"/>
      <c r="O629" s="1003"/>
      <c r="P629" s="1003"/>
      <c r="Q629" s="1003"/>
    </row>
    <row r="630" spans="3:17" ht="15.75" customHeight="1">
      <c r="C630" s="1003"/>
      <c r="D630" s="1003"/>
      <c r="E630" s="1003"/>
      <c r="F630" s="1003"/>
      <c r="G630" s="1003"/>
      <c r="H630" s="1003"/>
      <c r="I630" s="1003"/>
      <c r="J630" s="1003"/>
      <c r="K630" s="1003"/>
      <c r="L630" s="1003"/>
      <c r="M630" s="1003"/>
      <c r="N630" s="1003"/>
      <c r="O630" s="1003"/>
      <c r="P630" s="1003"/>
      <c r="Q630" s="1003"/>
    </row>
    <row r="631" spans="3:17" ht="15.75" customHeight="1">
      <c r="C631" s="1003"/>
      <c r="D631" s="1003"/>
      <c r="E631" s="1003"/>
      <c r="F631" s="1003"/>
      <c r="G631" s="1003"/>
      <c r="H631" s="1003"/>
      <c r="I631" s="1003"/>
      <c r="J631" s="1003"/>
      <c r="K631" s="1003"/>
      <c r="L631" s="1003"/>
      <c r="M631" s="1003"/>
      <c r="N631" s="1003"/>
      <c r="O631" s="1003"/>
      <c r="P631" s="1003"/>
      <c r="Q631" s="1003"/>
    </row>
    <row r="632" spans="3:17" ht="15.75" customHeight="1">
      <c r="C632" s="1003"/>
      <c r="D632" s="1003"/>
      <c r="E632" s="1003"/>
      <c r="F632" s="1003"/>
      <c r="G632" s="1003"/>
      <c r="H632" s="1003"/>
      <c r="I632" s="1003"/>
      <c r="J632" s="1003"/>
      <c r="K632" s="1003"/>
      <c r="L632" s="1003"/>
      <c r="M632" s="1003"/>
      <c r="N632" s="1003"/>
      <c r="O632" s="1003"/>
      <c r="P632" s="1003"/>
      <c r="Q632" s="1003"/>
    </row>
    <row r="633" spans="3:17" ht="15.75" customHeight="1">
      <c r="C633" s="1003"/>
      <c r="D633" s="1003"/>
      <c r="E633" s="1003"/>
      <c r="F633" s="1003"/>
      <c r="G633" s="1003"/>
      <c r="H633" s="1003"/>
      <c r="I633" s="1003"/>
      <c r="J633" s="1003"/>
      <c r="K633" s="1003"/>
      <c r="L633" s="1003"/>
      <c r="M633" s="1003"/>
      <c r="N633" s="1003"/>
      <c r="O633" s="1003"/>
      <c r="P633" s="1003"/>
      <c r="Q633" s="1003"/>
    </row>
    <row r="634" spans="3:17" ht="15.75" customHeight="1">
      <c r="C634" s="1003"/>
      <c r="D634" s="1003"/>
      <c r="E634" s="1003"/>
      <c r="F634" s="1003"/>
      <c r="G634" s="1003"/>
      <c r="H634" s="1003"/>
      <c r="I634" s="1003"/>
      <c r="J634" s="1003"/>
      <c r="K634" s="1003"/>
      <c r="L634" s="1003"/>
      <c r="M634" s="1003"/>
      <c r="N634" s="1003"/>
      <c r="O634" s="1003"/>
      <c r="P634" s="1003"/>
      <c r="Q634" s="1003"/>
    </row>
    <row r="635" spans="3:17" ht="15.75" customHeight="1">
      <c r="C635" s="1003"/>
      <c r="D635" s="1003"/>
      <c r="E635" s="1003"/>
      <c r="F635" s="1003"/>
      <c r="G635" s="1003"/>
      <c r="H635" s="1003"/>
      <c r="I635" s="1003"/>
      <c r="J635" s="1003"/>
      <c r="K635" s="1003"/>
      <c r="L635" s="1003"/>
      <c r="M635" s="1003"/>
      <c r="N635" s="1003"/>
      <c r="O635" s="1003"/>
      <c r="P635" s="1003"/>
      <c r="Q635" s="1003"/>
    </row>
    <row r="636" spans="3:17" ht="15.75" customHeight="1">
      <c r="C636" s="1003"/>
      <c r="D636" s="1003"/>
      <c r="E636" s="1003"/>
      <c r="F636" s="1003"/>
      <c r="G636" s="1003"/>
      <c r="H636" s="1003"/>
      <c r="I636" s="1003"/>
      <c r="J636" s="1003"/>
      <c r="K636" s="1003"/>
      <c r="L636" s="1003"/>
      <c r="M636" s="1003"/>
      <c r="N636" s="1003"/>
      <c r="O636" s="1003"/>
      <c r="P636" s="1003"/>
      <c r="Q636" s="1003"/>
    </row>
    <row r="637" spans="3:17" ht="15.75" customHeight="1">
      <c r="C637" s="1003"/>
      <c r="D637" s="1003"/>
      <c r="E637" s="1003"/>
      <c r="F637" s="1003"/>
      <c r="G637" s="1003"/>
      <c r="H637" s="1003"/>
      <c r="I637" s="1003"/>
      <c r="J637" s="1003"/>
      <c r="K637" s="1003"/>
      <c r="L637" s="1003"/>
      <c r="M637" s="1003"/>
      <c r="N637" s="1003"/>
      <c r="O637" s="1003"/>
      <c r="P637" s="1003"/>
      <c r="Q637" s="1003"/>
    </row>
    <row r="638" spans="3:17" ht="15.75" customHeight="1">
      <c r="C638" s="1003"/>
      <c r="D638" s="1003"/>
      <c r="E638" s="1003"/>
      <c r="F638" s="1003"/>
      <c r="G638" s="1003"/>
      <c r="H638" s="1003"/>
      <c r="I638" s="1003"/>
      <c r="J638" s="1003"/>
      <c r="K638" s="1003"/>
      <c r="L638" s="1003"/>
      <c r="M638" s="1003"/>
      <c r="N638" s="1003"/>
      <c r="O638" s="1003"/>
      <c r="P638" s="1003"/>
      <c r="Q638" s="1003"/>
    </row>
    <row r="639" spans="3:17" ht="15.75" customHeight="1">
      <c r="C639" s="1003"/>
      <c r="D639" s="1003"/>
      <c r="E639" s="1003"/>
      <c r="F639" s="1003"/>
      <c r="G639" s="1003"/>
      <c r="H639" s="1003"/>
      <c r="I639" s="1003"/>
      <c r="J639" s="1003"/>
      <c r="K639" s="1003"/>
      <c r="L639" s="1003"/>
      <c r="M639" s="1003"/>
      <c r="N639" s="1003"/>
      <c r="O639" s="1003"/>
      <c r="P639" s="1003"/>
      <c r="Q639" s="1003"/>
    </row>
    <row r="640" spans="3:17" ht="15.75" customHeight="1">
      <c r="C640" s="1003"/>
      <c r="D640" s="1003"/>
      <c r="E640" s="1003"/>
      <c r="F640" s="1003"/>
      <c r="G640" s="1003"/>
      <c r="H640" s="1003"/>
      <c r="I640" s="1003"/>
      <c r="J640" s="1003"/>
      <c r="K640" s="1003"/>
      <c r="L640" s="1003"/>
      <c r="M640" s="1003"/>
      <c r="N640" s="1003"/>
      <c r="O640" s="1003"/>
      <c r="P640" s="1003"/>
      <c r="Q640" s="1003"/>
    </row>
    <row r="641" spans="3:17" ht="15.75" customHeight="1">
      <c r="C641" s="1003"/>
      <c r="D641" s="1003"/>
      <c r="E641" s="1003"/>
      <c r="F641" s="1003"/>
      <c r="G641" s="1003"/>
      <c r="H641" s="1003"/>
      <c r="I641" s="1003"/>
      <c r="J641" s="1003"/>
      <c r="K641" s="1003"/>
      <c r="L641" s="1003"/>
      <c r="M641" s="1003"/>
      <c r="N641" s="1003"/>
      <c r="O641" s="1003"/>
      <c r="P641" s="1003"/>
      <c r="Q641" s="1003"/>
    </row>
    <row r="642" spans="3:17" ht="15.75" customHeight="1">
      <c r="C642" s="1003"/>
      <c r="D642" s="1003"/>
      <c r="E642" s="1003"/>
      <c r="F642" s="1003"/>
      <c r="G642" s="1003"/>
      <c r="H642" s="1003"/>
      <c r="I642" s="1003"/>
      <c r="J642" s="1003"/>
      <c r="K642" s="1003"/>
      <c r="L642" s="1003"/>
      <c r="M642" s="1003"/>
      <c r="N642" s="1003"/>
      <c r="O642" s="1003"/>
      <c r="P642" s="1003"/>
      <c r="Q642" s="1003"/>
    </row>
    <row r="643" spans="3:17" ht="15.75" customHeight="1">
      <c r="C643" s="1003"/>
      <c r="D643" s="1003"/>
      <c r="E643" s="1003"/>
      <c r="F643" s="1003"/>
      <c r="G643" s="1003"/>
      <c r="H643" s="1003"/>
      <c r="I643" s="1003"/>
      <c r="J643" s="1003"/>
      <c r="K643" s="1003"/>
      <c r="L643" s="1003"/>
      <c r="M643" s="1003"/>
      <c r="N643" s="1003"/>
      <c r="O643" s="1003"/>
      <c r="P643" s="1003"/>
      <c r="Q643" s="1003"/>
    </row>
    <row r="644" spans="3:17" ht="15.75" customHeight="1">
      <c r="C644" s="1003"/>
      <c r="D644" s="1003"/>
      <c r="E644" s="1003"/>
      <c r="F644" s="1003"/>
      <c r="G644" s="1003"/>
      <c r="H644" s="1003"/>
      <c r="I644" s="1003"/>
      <c r="J644" s="1003"/>
      <c r="K644" s="1003"/>
      <c r="L644" s="1003"/>
      <c r="M644" s="1003"/>
      <c r="N644" s="1003"/>
      <c r="O644" s="1003"/>
      <c r="P644" s="1003"/>
      <c r="Q644" s="1003"/>
    </row>
    <row r="645" spans="3:17" ht="15.75" customHeight="1">
      <c r="C645" s="1003"/>
      <c r="D645" s="1003"/>
      <c r="E645" s="1003"/>
      <c r="F645" s="1003"/>
      <c r="G645" s="1003"/>
      <c r="H645" s="1003"/>
      <c r="I645" s="1003"/>
      <c r="J645" s="1003"/>
      <c r="K645" s="1003"/>
      <c r="L645" s="1003"/>
      <c r="M645" s="1003"/>
      <c r="N645" s="1003"/>
      <c r="O645" s="1003"/>
      <c r="P645" s="1003"/>
      <c r="Q645" s="1003"/>
    </row>
    <row r="646" spans="3:17" ht="15.75" customHeight="1">
      <c r="C646" s="1003"/>
      <c r="D646" s="1003"/>
      <c r="E646" s="1003"/>
      <c r="F646" s="1003"/>
      <c r="G646" s="1003"/>
      <c r="H646" s="1003"/>
      <c r="I646" s="1003"/>
      <c r="J646" s="1003"/>
      <c r="K646" s="1003"/>
      <c r="L646" s="1003"/>
      <c r="M646" s="1003"/>
      <c r="N646" s="1003"/>
      <c r="O646" s="1003"/>
      <c r="P646" s="1003"/>
      <c r="Q646" s="1003"/>
    </row>
    <row r="647" spans="3:17" ht="15.75" customHeight="1">
      <c r="C647" s="1003"/>
      <c r="D647" s="1003"/>
      <c r="E647" s="1003"/>
      <c r="F647" s="1003"/>
      <c r="G647" s="1003"/>
      <c r="H647" s="1003"/>
      <c r="I647" s="1003"/>
      <c r="J647" s="1003"/>
      <c r="K647" s="1003"/>
      <c r="L647" s="1003"/>
      <c r="M647" s="1003"/>
      <c r="N647" s="1003"/>
      <c r="O647" s="1003"/>
      <c r="P647" s="1003"/>
      <c r="Q647" s="1003"/>
    </row>
    <row r="648" spans="3:17" ht="15.75" customHeight="1">
      <c r="C648" s="1003"/>
      <c r="D648" s="1003"/>
      <c r="E648" s="1003"/>
      <c r="F648" s="1003"/>
      <c r="G648" s="1003"/>
      <c r="H648" s="1003"/>
      <c r="I648" s="1003"/>
      <c r="J648" s="1003"/>
      <c r="K648" s="1003"/>
      <c r="L648" s="1003"/>
      <c r="M648" s="1003"/>
      <c r="N648" s="1003"/>
      <c r="O648" s="1003"/>
      <c r="P648" s="1003"/>
      <c r="Q648" s="1003"/>
    </row>
    <row r="649" spans="3:17" ht="15.75" customHeight="1">
      <c r="C649" s="1003"/>
      <c r="D649" s="1003"/>
      <c r="E649" s="1003"/>
      <c r="F649" s="1003"/>
      <c r="G649" s="1003"/>
      <c r="H649" s="1003"/>
      <c r="I649" s="1003"/>
      <c r="J649" s="1003"/>
      <c r="K649" s="1003"/>
      <c r="L649" s="1003"/>
      <c r="M649" s="1003"/>
      <c r="N649" s="1003"/>
      <c r="O649" s="1003"/>
      <c r="P649" s="1003"/>
      <c r="Q649" s="1003"/>
    </row>
    <row r="650" spans="3:17" ht="15.75" customHeight="1">
      <c r="C650" s="1003"/>
      <c r="D650" s="1003"/>
      <c r="E650" s="1003"/>
      <c r="F650" s="1003"/>
      <c r="G650" s="1003"/>
      <c r="H650" s="1003"/>
      <c r="I650" s="1003"/>
      <c r="J650" s="1003"/>
      <c r="K650" s="1003"/>
      <c r="L650" s="1003"/>
      <c r="M650" s="1003"/>
      <c r="N650" s="1003"/>
      <c r="O650" s="1003"/>
      <c r="P650" s="1003"/>
      <c r="Q650" s="1003"/>
    </row>
    <row r="651" spans="3:17" ht="15.75" customHeight="1">
      <c r="C651" s="1003"/>
      <c r="D651" s="1003"/>
      <c r="E651" s="1003"/>
      <c r="F651" s="1003"/>
      <c r="G651" s="1003"/>
      <c r="H651" s="1003"/>
      <c r="I651" s="1003"/>
      <c r="J651" s="1003"/>
      <c r="K651" s="1003"/>
      <c r="L651" s="1003"/>
      <c r="M651" s="1003"/>
      <c r="N651" s="1003"/>
      <c r="O651" s="1003"/>
      <c r="P651" s="1003"/>
      <c r="Q651" s="1003"/>
    </row>
    <row r="652" spans="3:17" ht="15.75" customHeight="1">
      <c r="C652" s="1003"/>
      <c r="D652" s="1003"/>
      <c r="E652" s="1003"/>
      <c r="F652" s="1003"/>
      <c r="G652" s="1003"/>
      <c r="H652" s="1003"/>
      <c r="I652" s="1003"/>
      <c r="J652" s="1003"/>
      <c r="K652" s="1003"/>
      <c r="L652" s="1003"/>
      <c r="M652" s="1003"/>
      <c r="N652" s="1003"/>
      <c r="O652" s="1003"/>
      <c r="P652" s="1003"/>
      <c r="Q652" s="1003"/>
    </row>
    <row r="653" spans="3:17" ht="15.75" customHeight="1">
      <c r="C653" s="1003"/>
      <c r="D653" s="1003"/>
      <c r="E653" s="1003"/>
      <c r="F653" s="1003"/>
      <c r="G653" s="1003"/>
      <c r="H653" s="1003"/>
      <c r="I653" s="1003"/>
      <c r="J653" s="1003"/>
      <c r="K653" s="1003"/>
      <c r="L653" s="1003"/>
      <c r="M653" s="1003"/>
      <c r="N653" s="1003"/>
      <c r="O653" s="1003"/>
      <c r="P653" s="1003"/>
      <c r="Q653" s="1003"/>
    </row>
    <row r="654" spans="3:17" ht="15.75" customHeight="1">
      <c r="C654" s="1003"/>
      <c r="D654" s="1003"/>
      <c r="E654" s="1003"/>
      <c r="F654" s="1003"/>
      <c r="G654" s="1003"/>
      <c r="H654" s="1003"/>
      <c r="I654" s="1003"/>
      <c r="J654" s="1003"/>
      <c r="K654" s="1003"/>
      <c r="L654" s="1003"/>
      <c r="M654" s="1003"/>
      <c r="N654" s="1003"/>
      <c r="O654" s="1003"/>
      <c r="P654" s="1003"/>
      <c r="Q654" s="1003"/>
    </row>
    <row r="655" spans="3:17" ht="15.75" customHeight="1">
      <c r="C655" s="1003"/>
      <c r="D655" s="1003"/>
      <c r="E655" s="1003"/>
      <c r="F655" s="1003"/>
      <c r="G655" s="1003"/>
      <c r="H655" s="1003"/>
      <c r="I655" s="1003"/>
      <c r="J655" s="1003"/>
      <c r="K655" s="1003"/>
      <c r="L655" s="1003"/>
      <c r="M655" s="1003"/>
      <c r="N655" s="1003"/>
      <c r="O655" s="1003"/>
      <c r="P655" s="1003"/>
      <c r="Q655" s="1003"/>
    </row>
    <row r="656" spans="3:17" ht="15.75" customHeight="1">
      <c r="C656" s="1003"/>
      <c r="D656" s="1003"/>
      <c r="E656" s="1003"/>
      <c r="F656" s="1003"/>
      <c r="G656" s="1003"/>
      <c r="H656" s="1003"/>
      <c r="I656" s="1003"/>
      <c r="J656" s="1003"/>
      <c r="K656" s="1003"/>
      <c r="L656" s="1003"/>
      <c r="M656" s="1003"/>
      <c r="N656" s="1003"/>
      <c r="O656" s="1003"/>
      <c r="P656" s="1003"/>
      <c r="Q656" s="1003"/>
    </row>
    <row r="657" spans="3:17" ht="15.75" customHeight="1">
      <c r="C657" s="1003"/>
      <c r="D657" s="1003"/>
      <c r="E657" s="1003"/>
      <c r="F657" s="1003"/>
      <c r="G657" s="1003"/>
      <c r="H657" s="1003"/>
      <c r="I657" s="1003"/>
      <c r="J657" s="1003"/>
      <c r="K657" s="1003"/>
      <c r="L657" s="1003"/>
      <c r="M657" s="1003"/>
      <c r="N657" s="1003"/>
      <c r="O657" s="1003"/>
      <c r="P657" s="1003"/>
      <c r="Q657" s="1003"/>
    </row>
    <row r="658" spans="3:17" ht="15.75" customHeight="1">
      <c r="C658" s="1003"/>
      <c r="D658" s="1003"/>
      <c r="E658" s="1003"/>
      <c r="F658" s="1003"/>
      <c r="G658" s="1003"/>
      <c r="H658" s="1003"/>
      <c r="I658" s="1003"/>
      <c r="J658" s="1003"/>
      <c r="K658" s="1003"/>
      <c r="L658" s="1003"/>
      <c r="M658" s="1003"/>
      <c r="N658" s="1003"/>
      <c r="O658" s="1003"/>
      <c r="P658" s="1003"/>
      <c r="Q658" s="1003"/>
    </row>
    <row r="659" spans="3:17" ht="15.75" customHeight="1">
      <c r="C659" s="1003"/>
      <c r="D659" s="1003"/>
      <c r="E659" s="1003"/>
      <c r="F659" s="1003"/>
      <c r="G659" s="1003"/>
      <c r="H659" s="1003"/>
      <c r="I659" s="1003"/>
      <c r="J659" s="1003"/>
      <c r="K659" s="1003"/>
      <c r="L659" s="1003"/>
      <c r="M659" s="1003"/>
      <c r="N659" s="1003"/>
      <c r="O659" s="1003"/>
      <c r="P659" s="1003"/>
      <c r="Q659" s="1003"/>
    </row>
    <row r="660" spans="3:17" ht="15.75" customHeight="1">
      <c r="C660" s="1003"/>
      <c r="D660" s="1003"/>
      <c r="E660" s="1003"/>
      <c r="F660" s="1003"/>
      <c r="G660" s="1003"/>
      <c r="H660" s="1003"/>
      <c r="I660" s="1003"/>
      <c r="J660" s="1003"/>
      <c r="K660" s="1003"/>
      <c r="L660" s="1003"/>
      <c r="M660" s="1003"/>
      <c r="N660" s="1003"/>
      <c r="O660" s="1003"/>
      <c r="P660" s="1003"/>
      <c r="Q660" s="1003"/>
    </row>
    <row r="661" spans="3:17" ht="15.75" customHeight="1">
      <c r="C661" s="1003"/>
      <c r="D661" s="1003"/>
      <c r="E661" s="1003"/>
      <c r="F661" s="1003"/>
      <c r="G661" s="1003"/>
      <c r="H661" s="1003"/>
      <c r="I661" s="1003"/>
      <c r="J661" s="1003"/>
      <c r="K661" s="1003"/>
      <c r="L661" s="1003"/>
      <c r="M661" s="1003"/>
      <c r="N661" s="1003"/>
      <c r="O661" s="1003"/>
      <c r="P661" s="1003"/>
      <c r="Q661" s="1003"/>
    </row>
    <row r="662" spans="3:17" ht="15.75" customHeight="1">
      <c r="C662" s="1003"/>
      <c r="D662" s="1003"/>
      <c r="E662" s="1003"/>
      <c r="F662" s="1003"/>
      <c r="G662" s="1003"/>
      <c r="H662" s="1003"/>
      <c r="I662" s="1003"/>
      <c r="J662" s="1003"/>
      <c r="K662" s="1003"/>
      <c r="L662" s="1003"/>
      <c r="M662" s="1003"/>
      <c r="N662" s="1003"/>
      <c r="O662" s="1003"/>
      <c r="P662" s="1003"/>
      <c r="Q662" s="1003"/>
    </row>
    <row r="663" spans="3:17" ht="15.75" customHeight="1">
      <c r="C663" s="1003"/>
      <c r="D663" s="1003"/>
      <c r="E663" s="1003"/>
      <c r="F663" s="1003"/>
      <c r="G663" s="1003"/>
      <c r="H663" s="1003"/>
      <c r="I663" s="1003"/>
      <c r="J663" s="1003"/>
      <c r="K663" s="1003"/>
      <c r="L663" s="1003"/>
      <c r="M663" s="1003"/>
      <c r="N663" s="1003"/>
      <c r="O663" s="1003"/>
      <c r="P663" s="1003"/>
      <c r="Q663" s="1003"/>
    </row>
    <row r="664" spans="3:17" ht="15.75" customHeight="1">
      <c r="C664" s="1003"/>
      <c r="D664" s="1003"/>
      <c r="E664" s="1003"/>
      <c r="F664" s="1003"/>
      <c r="G664" s="1003"/>
      <c r="H664" s="1003"/>
      <c r="I664" s="1003"/>
      <c r="J664" s="1003"/>
      <c r="K664" s="1003"/>
      <c r="L664" s="1003"/>
      <c r="M664" s="1003"/>
      <c r="N664" s="1003"/>
      <c r="O664" s="1003"/>
      <c r="P664" s="1003"/>
      <c r="Q664" s="1003"/>
    </row>
    <row r="665" spans="3:17" ht="15.75" customHeight="1">
      <c r="C665" s="1003"/>
      <c r="D665" s="1003"/>
      <c r="E665" s="1003"/>
      <c r="F665" s="1003"/>
      <c r="G665" s="1003"/>
      <c r="H665" s="1003"/>
      <c r="I665" s="1003"/>
      <c r="J665" s="1003"/>
      <c r="K665" s="1003"/>
      <c r="L665" s="1003"/>
      <c r="M665" s="1003"/>
      <c r="N665" s="1003"/>
      <c r="O665" s="1003"/>
      <c r="P665" s="1003"/>
      <c r="Q665" s="1003"/>
    </row>
    <row r="666" spans="3:17" ht="15.75" customHeight="1">
      <c r="C666" s="1003"/>
      <c r="D666" s="1003"/>
      <c r="E666" s="1003"/>
      <c r="F666" s="1003"/>
      <c r="G666" s="1003"/>
      <c r="H666" s="1003"/>
      <c r="I666" s="1003"/>
      <c r="J666" s="1003"/>
      <c r="K666" s="1003"/>
      <c r="L666" s="1003"/>
      <c r="M666" s="1003"/>
      <c r="N666" s="1003"/>
      <c r="O666" s="1003"/>
      <c r="P666" s="1003"/>
      <c r="Q666" s="1003"/>
    </row>
    <row r="667" spans="3:17" ht="15.75" customHeight="1">
      <c r="C667" s="1003"/>
      <c r="D667" s="1003"/>
      <c r="E667" s="1003"/>
      <c r="F667" s="1003"/>
      <c r="G667" s="1003"/>
      <c r="H667" s="1003"/>
      <c r="I667" s="1003"/>
      <c r="J667" s="1003"/>
      <c r="K667" s="1003"/>
      <c r="L667" s="1003"/>
      <c r="M667" s="1003"/>
      <c r="N667" s="1003"/>
      <c r="O667" s="1003"/>
      <c r="P667" s="1003"/>
      <c r="Q667" s="1003"/>
    </row>
    <row r="668" spans="3:17" ht="15.75" customHeight="1">
      <c r="C668" s="1003"/>
      <c r="D668" s="1003"/>
      <c r="E668" s="1003"/>
      <c r="F668" s="1003"/>
      <c r="G668" s="1003"/>
      <c r="H668" s="1003"/>
      <c r="I668" s="1003"/>
      <c r="J668" s="1003"/>
      <c r="K668" s="1003"/>
      <c r="L668" s="1003"/>
      <c r="M668" s="1003"/>
      <c r="N668" s="1003"/>
      <c r="O668" s="1003"/>
      <c r="P668" s="1003"/>
      <c r="Q668" s="1003"/>
    </row>
    <row r="669" spans="3:17" ht="15.75" customHeight="1">
      <c r="C669" s="1003"/>
      <c r="D669" s="1003"/>
      <c r="E669" s="1003"/>
      <c r="F669" s="1003"/>
      <c r="G669" s="1003"/>
      <c r="H669" s="1003"/>
      <c r="I669" s="1003"/>
      <c r="J669" s="1003"/>
      <c r="K669" s="1003"/>
      <c r="L669" s="1003"/>
      <c r="M669" s="1003"/>
      <c r="N669" s="1003"/>
      <c r="O669" s="1003"/>
      <c r="P669" s="1003"/>
      <c r="Q669" s="1003"/>
    </row>
    <row r="670" spans="3:17" ht="15.75" customHeight="1">
      <c r="C670" s="1003"/>
      <c r="D670" s="1003"/>
      <c r="E670" s="1003"/>
      <c r="F670" s="1003"/>
      <c r="G670" s="1003"/>
      <c r="H670" s="1003"/>
      <c r="I670" s="1003"/>
      <c r="J670" s="1003"/>
      <c r="K670" s="1003"/>
      <c r="L670" s="1003"/>
      <c r="M670" s="1003"/>
      <c r="N670" s="1003"/>
      <c r="O670" s="1003"/>
      <c r="P670" s="1003"/>
      <c r="Q670" s="1003"/>
    </row>
    <row r="671" spans="3:17" ht="15.75" customHeight="1">
      <c r="C671" s="1003"/>
      <c r="D671" s="1003"/>
      <c r="E671" s="1003"/>
      <c r="F671" s="1003"/>
      <c r="G671" s="1003"/>
      <c r="H671" s="1003"/>
      <c r="I671" s="1003"/>
      <c r="J671" s="1003"/>
      <c r="K671" s="1003"/>
      <c r="L671" s="1003"/>
      <c r="M671" s="1003"/>
      <c r="N671" s="1003"/>
      <c r="O671" s="1003"/>
      <c r="P671" s="1003"/>
      <c r="Q671" s="1003"/>
    </row>
    <row r="672" spans="3:17" ht="15.75" customHeight="1">
      <c r="C672" s="1003"/>
      <c r="D672" s="1003"/>
      <c r="E672" s="1003"/>
      <c r="F672" s="1003"/>
      <c r="G672" s="1003"/>
      <c r="H672" s="1003"/>
      <c r="I672" s="1003"/>
      <c r="J672" s="1003"/>
      <c r="K672" s="1003"/>
      <c r="L672" s="1003"/>
      <c r="M672" s="1003"/>
      <c r="N672" s="1003"/>
      <c r="O672" s="1003"/>
      <c r="P672" s="1003"/>
      <c r="Q672" s="1003"/>
    </row>
    <row r="673" spans="3:17" ht="15.75" customHeight="1">
      <c r="C673" s="1003"/>
      <c r="D673" s="1003"/>
      <c r="E673" s="1003"/>
      <c r="F673" s="1003"/>
      <c r="G673" s="1003"/>
      <c r="H673" s="1003"/>
      <c r="I673" s="1003"/>
      <c r="J673" s="1003"/>
      <c r="K673" s="1003"/>
      <c r="L673" s="1003"/>
      <c r="M673" s="1003"/>
      <c r="N673" s="1003"/>
      <c r="O673" s="1003"/>
      <c r="P673" s="1003"/>
      <c r="Q673" s="1003"/>
    </row>
    <row r="674" spans="3:17" ht="15.75" customHeight="1">
      <c r="C674" s="1003"/>
      <c r="D674" s="1003"/>
      <c r="E674" s="1003"/>
      <c r="F674" s="1003"/>
      <c r="G674" s="1003"/>
      <c r="H674" s="1003"/>
      <c r="I674" s="1003"/>
      <c r="J674" s="1003"/>
      <c r="K674" s="1003"/>
      <c r="L674" s="1003"/>
      <c r="M674" s="1003"/>
      <c r="N674" s="1003"/>
      <c r="O674" s="1003"/>
      <c r="P674" s="1003"/>
      <c r="Q674" s="1003"/>
    </row>
    <row r="675" spans="3:17" ht="15.75" customHeight="1">
      <c r="C675" s="1003"/>
      <c r="D675" s="1003"/>
      <c r="E675" s="1003"/>
      <c r="F675" s="1003"/>
      <c r="G675" s="1003"/>
      <c r="H675" s="1003"/>
      <c r="I675" s="1003"/>
      <c r="J675" s="1003"/>
      <c r="K675" s="1003"/>
      <c r="L675" s="1003"/>
      <c r="M675" s="1003"/>
      <c r="N675" s="1003"/>
      <c r="O675" s="1003"/>
      <c r="P675" s="1003"/>
      <c r="Q675" s="1003"/>
    </row>
    <row r="676" spans="3:17" ht="15.75" customHeight="1">
      <c r="C676" s="1003"/>
      <c r="D676" s="1003"/>
      <c r="E676" s="1003"/>
      <c r="F676" s="1003"/>
      <c r="G676" s="1003"/>
      <c r="H676" s="1003"/>
      <c r="I676" s="1003"/>
      <c r="J676" s="1003"/>
      <c r="K676" s="1003"/>
      <c r="L676" s="1003"/>
      <c r="M676" s="1003"/>
      <c r="N676" s="1003"/>
      <c r="O676" s="1003"/>
      <c r="P676" s="1003"/>
      <c r="Q676" s="1003"/>
    </row>
    <row r="677" spans="3:17" ht="15.75" customHeight="1">
      <c r="C677" s="1003"/>
      <c r="D677" s="1003"/>
      <c r="E677" s="1003"/>
      <c r="F677" s="1003"/>
      <c r="G677" s="1003"/>
      <c r="H677" s="1003"/>
      <c r="I677" s="1003"/>
      <c r="J677" s="1003"/>
      <c r="K677" s="1003"/>
      <c r="L677" s="1003"/>
      <c r="M677" s="1003"/>
      <c r="N677" s="1003"/>
      <c r="O677" s="1003"/>
      <c r="P677" s="1003"/>
      <c r="Q677" s="1003"/>
    </row>
    <row r="678" spans="3:17" ht="15.75" customHeight="1">
      <c r="C678" s="1003"/>
      <c r="D678" s="1003"/>
      <c r="E678" s="1003"/>
      <c r="F678" s="1003"/>
      <c r="G678" s="1003"/>
      <c r="H678" s="1003"/>
      <c r="I678" s="1003"/>
      <c r="J678" s="1003"/>
      <c r="K678" s="1003"/>
      <c r="L678" s="1003"/>
      <c r="M678" s="1003"/>
      <c r="N678" s="1003"/>
      <c r="O678" s="1003"/>
      <c r="P678" s="1003"/>
      <c r="Q678" s="1003"/>
    </row>
    <row r="679" spans="3:17" ht="15.75" customHeight="1">
      <c r="C679" s="1003"/>
      <c r="D679" s="1003"/>
      <c r="E679" s="1003"/>
      <c r="F679" s="1003"/>
      <c r="G679" s="1003"/>
      <c r="H679" s="1003"/>
      <c r="I679" s="1003"/>
      <c r="J679" s="1003"/>
      <c r="K679" s="1003"/>
      <c r="L679" s="1003"/>
      <c r="M679" s="1003"/>
      <c r="N679" s="1003"/>
      <c r="O679" s="1003"/>
      <c r="P679" s="1003"/>
      <c r="Q679" s="1003"/>
    </row>
    <row r="680" spans="3:17" ht="15.75" customHeight="1">
      <c r="C680" s="1003"/>
      <c r="D680" s="1003"/>
      <c r="E680" s="1003"/>
      <c r="F680" s="1003"/>
      <c r="G680" s="1003"/>
      <c r="H680" s="1003"/>
      <c r="I680" s="1003"/>
      <c r="J680" s="1003"/>
      <c r="K680" s="1003"/>
      <c r="L680" s="1003"/>
      <c r="M680" s="1003"/>
      <c r="N680" s="1003"/>
      <c r="O680" s="1003"/>
      <c r="P680" s="1003"/>
      <c r="Q680" s="1003"/>
    </row>
    <row r="681" spans="3:17" ht="15.75" customHeight="1">
      <c r="C681" s="1003"/>
      <c r="D681" s="1003"/>
      <c r="E681" s="1003"/>
      <c r="F681" s="1003"/>
      <c r="G681" s="1003"/>
      <c r="H681" s="1003"/>
      <c r="I681" s="1003"/>
      <c r="J681" s="1003"/>
      <c r="K681" s="1003"/>
      <c r="L681" s="1003"/>
      <c r="M681" s="1003"/>
      <c r="N681" s="1003"/>
      <c r="O681" s="1003"/>
      <c r="P681" s="1003"/>
      <c r="Q681" s="1003"/>
    </row>
    <row r="682" spans="3:17" ht="15.75" customHeight="1">
      <c r="C682" s="1003"/>
      <c r="D682" s="1003"/>
      <c r="E682" s="1003"/>
      <c r="F682" s="1003"/>
      <c r="G682" s="1003"/>
      <c r="H682" s="1003"/>
      <c r="I682" s="1003"/>
      <c r="J682" s="1003"/>
      <c r="K682" s="1003"/>
      <c r="L682" s="1003"/>
      <c r="M682" s="1003"/>
      <c r="N682" s="1003"/>
      <c r="O682" s="1003"/>
      <c r="P682" s="1003"/>
      <c r="Q682" s="1003"/>
    </row>
    <row r="683" spans="3:17" ht="15.75" customHeight="1">
      <c r="C683" s="1003"/>
      <c r="D683" s="1003"/>
      <c r="E683" s="1003"/>
      <c r="F683" s="1003"/>
      <c r="G683" s="1003"/>
      <c r="H683" s="1003"/>
      <c r="I683" s="1003"/>
      <c r="J683" s="1003"/>
      <c r="K683" s="1003"/>
      <c r="L683" s="1003"/>
      <c r="M683" s="1003"/>
      <c r="N683" s="1003"/>
      <c r="O683" s="1003"/>
      <c r="P683" s="1003"/>
      <c r="Q683" s="1003"/>
    </row>
    <row r="684" spans="3:17" ht="15.75" customHeight="1">
      <c r="C684" s="1003"/>
      <c r="D684" s="1003"/>
      <c r="E684" s="1003"/>
      <c r="F684" s="1003"/>
      <c r="G684" s="1003"/>
      <c r="H684" s="1003"/>
      <c r="I684" s="1003"/>
      <c r="J684" s="1003"/>
      <c r="K684" s="1003"/>
      <c r="L684" s="1003"/>
      <c r="M684" s="1003"/>
      <c r="N684" s="1003"/>
      <c r="O684" s="1003"/>
      <c r="P684" s="1003"/>
      <c r="Q684" s="1003"/>
    </row>
    <row r="685" spans="3:17" ht="15.75" customHeight="1">
      <c r="C685" s="1003"/>
      <c r="D685" s="1003"/>
      <c r="E685" s="1003"/>
      <c r="F685" s="1003"/>
      <c r="G685" s="1003"/>
      <c r="H685" s="1003"/>
      <c r="I685" s="1003"/>
      <c r="J685" s="1003"/>
      <c r="K685" s="1003"/>
      <c r="L685" s="1003"/>
      <c r="M685" s="1003"/>
      <c r="N685" s="1003"/>
      <c r="O685" s="1003"/>
      <c r="P685" s="1003"/>
      <c r="Q685" s="1003"/>
    </row>
    <row r="686" spans="3:17" ht="15.75" customHeight="1">
      <c r="C686" s="1003"/>
      <c r="D686" s="1003"/>
      <c r="E686" s="1003"/>
      <c r="F686" s="1003"/>
      <c r="G686" s="1003"/>
      <c r="H686" s="1003"/>
      <c r="I686" s="1003"/>
      <c r="J686" s="1003"/>
      <c r="K686" s="1003"/>
      <c r="L686" s="1003"/>
      <c r="M686" s="1003"/>
      <c r="N686" s="1003"/>
      <c r="O686" s="1003"/>
      <c r="P686" s="1003"/>
      <c r="Q686" s="1003"/>
    </row>
    <row r="687" spans="3:17" ht="15.75" customHeight="1">
      <c r="C687" s="1003"/>
      <c r="D687" s="1003"/>
      <c r="E687" s="1003"/>
      <c r="F687" s="1003"/>
      <c r="G687" s="1003"/>
      <c r="H687" s="1003"/>
      <c r="I687" s="1003"/>
      <c r="J687" s="1003"/>
      <c r="K687" s="1003"/>
      <c r="L687" s="1003"/>
      <c r="M687" s="1003"/>
      <c r="N687" s="1003"/>
      <c r="O687" s="1003"/>
      <c r="P687" s="1003"/>
      <c r="Q687" s="1003"/>
    </row>
    <row r="688" spans="3:17" ht="15.75" customHeight="1">
      <c r="C688" s="1003"/>
      <c r="D688" s="1003"/>
      <c r="E688" s="1003"/>
      <c r="F688" s="1003"/>
      <c r="G688" s="1003"/>
      <c r="H688" s="1003"/>
      <c r="I688" s="1003"/>
      <c r="J688" s="1003"/>
      <c r="K688" s="1003"/>
      <c r="L688" s="1003"/>
      <c r="M688" s="1003"/>
      <c r="N688" s="1003"/>
      <c r="O688" s="1003"/>
      <c r="P688" s="1003"/>
      <c r="Q688" s="1003"/>
    </row>
    <row r="689" spans="3:17" ht="15.75" customHeight="1">
      <c r="C689" s="1003"/>
      <c r="D689" s="1003"/>
      <c r="E689" s="1003"/>
      <c r="F689" s="1003"/>
      <c r="G689" s="1003"/>
      <c r="H689" s="1003"/>
      <c r="I689" s="1003"/>
      <c r="J689" s="1003"/>
      <c r="K689" s="1003"/>
      <c r="L689" s="1003"/>
      <c r="M689" s="1003"/>
      <c r="N689" s="1003"/>
      <c r="O689" s="1003"/>
      <c r="P689" s="1003"/>
      <c r="Q689" s="1003"/>
    </row>
    <row r="690" spans="3:17" ht="15.75" customHeight="1">
      <c r="C690" s="1003"/>
      <c r="D690" s="1003"/>
      <c r="E690" s="1003"/>
      <c r="F690" s="1003"/>
      <c r="G690" s="1003"/>
      <c r="H690" s="1003"/>
      <c r="I690" s="1003"/>
      <c r="J690" s="1003"/>
      <c r="K690" s="1003"/>
      <c r="L690" s="1003"/>
      <c r="M690" s="1003"/>
      <c r="N690" s="1003"/>
      <c r="O690" s="1003"/>
      <c r="P690" s="1003"/>
      <c r="Q690" s="1003"/>
    </row>
    <row r="691" spans="3:17" ht="15.75" customHeight="1">
      <c r="C691" s="1003"/>
      <c r="D691" s="1003"/>
      <c r="E691" s="1003"/>
      <c r="F691" s="1003"/>
      <c r="G691" s="1003"/>
      <c r="H691" s="1003"/>
      <c r="I691" s="1003"/>
      <c r="J691" s="1003"/>
      <c r="K691" s="1003"/>
      <c r="L691" s="1003"/>
      <c r="M691" s="1003"/>
      <c r="N691" s="1003"/>
      <c r="O691" s="1003"/>
      <c r="P691" s="1003"/>
      <c r="Q691" s="1003"/>
    </row>
    <row r="692" spans="3:17" ht="15.75" customHeight="1">
      <c r="C692" s="1003"/>
      <c r="D692" s="1003"/>
      <c r="E692" s="1003"/>
      <c r="F692" s="1003"/>
      <c r="G692" s="1003"/>
      <c r="H692" s="1003"/>
      <c r="I692" s="1003"/>
      <c r="J692" s="1003"/>
      <c r="K692" s="1003"/>
      <c r="L692" s="1003"/>
      <c r="M692" s="1003"/>
      <c r="N692" s="1003"/>
      <c r="O692" s="1003"/>
      <c r="P692" s="1003"/>
      <c r="Q692" s="1003"/>
    </row>
    <row r="693" spans="3:17" ht="15.75" customHeight="1">
      <c r="C693" s="1003"/>
      <c r="D693" s="1003"/>
      <c r="E693" s="1003"/>
      <c r="F693" s="1003"/>
      <c r="G693" s="1003"/>
      <c r="H693" s="1003"/>
      <c r="I693" s="1003"/>
      <c r="J693" s="1003"/>
      <c r="K693" s="1003"/>
      <c r="L693" s="1003"/>
      <c r="M693" s="1003"/>
      <c r="N693" s="1003"/>
      <c r="O693" s="1003"/>
      <c r="P693" s="1003"/>
      <c r="Q693" s="1003"/>
    </row>
    <row r="694" spans="3:17" ht="15.75" customHeight="1">
      <c r="C694" s="1003"/>
      <c r="D694" s="1003"/>
      <c r="E694" s="1003"/>
      <c r="F694" s="1003"/>
      <c r="G694" s="1003"/>
      <c r="H694" s="1003"/>
      <c r="I694" s="1003"/>
      <c r="J694" s="1003"/>
      <c r="K694" s="1003"/>
      <c r="L694" s="1003"/>
      <c r="M694" s="1003"/>
      <c r="N694" s="1003"/>
      <c r="O694" s="1003"/>
      <c r="P694" s="1003"/>
      <c r="Q694" s="1003"/>
    </row>
    <row r="695" spans="3:17" ht="15.75" customHeight="1">
      <c r="C695" s="1003"/>
      <c r="D695" s="1003"/>
      <c r="E695" s="1003"/>
      <c r="F695" s="1003"/>
      <c r="G695" s="1003"/>
      <c r="H695" s="1003"/>
      <c r="I695" s="1003"/>
      <c r="J695" s="1003"/>
      <c r="K695" s="1003"/>
      <c r="L695" s="1003"/>
      <c r="M695" s="1003"/>
      <c r="N695" s="1003"/>
      <c r="O695" s="1003"/>
      <c r="P695" s="1003"/>
      <c r="Q695" s="1003"/>
    </row>
    <row r="696" spans="3:17" ht="15.75" customHeight="1">
      <c r="C696" s="1003"/>
      <c r="D696" s="1003"/>
      <c r="E696" s="1003"/>
      <c r="F696" s="1003"/>
      <c r="G696" s="1003"/>
      <c r="H696" s="1003"/>
      <c r="I696" s="1003"/>
      <c r="J696" s="1003"/>
      <c r="K696" s="1003"/>
      <c r="L696" s="1003"/>
      <c r="M696" s="1003"/>
      <c r="N696" s="1003"/>
      <c r="O696" s="1003"/>
      <c r="P696" s="1003"/>
      <c r="Q696" s="1003"/>
    </row>
    <row r="697" spans="3:17" ht="15.75" customHeight="1">
      <c r="C697" s="1003"/>
      <c r="D697" s="1003"/>
      <c r="E697" s="1003"/>
      <c r="F697" s="1003"/>
      <c r="G697" s="1003"/>
      <c r="H697" s="1003"/>
      <c r="I697" s="1003"/>
      <c r="J697" s="1003"/>
      <c r="K697" s="1003"/>
      <c r="L697" s="1003"/>
      <c r="M697" s="1003"/>
      <c r="N697" s="1003"/>
      <c r="O697" s="1003"/>
      <c r="P697" s="1003"/>
      <c r="Q697" s="1003"/>
    </row>
    <row r="698" spans="3:17" ht="15.75" customHeight="1">
      <c r="C698" s="1003"/>
      <c r="D698" s="1003"/>
      <c r="E698" s="1003"/>
      <c r="F698" s="1003"/>
      <c r="G698" s="1003"/>
      <c r="H698" s="1003"/>
      <c r="I698" s="1003"/>
      <c r="J698" s="1003"/>
      <c r="K698" s="1003"/>
      <c r="L698" s="1003"/>
      <c r="M698" s="1003"/>
      <c r="N698" s="1003"/>
      <c r="O698" s="1003"/>
      <c r="P698" s="1003"/>
      <c r="Q698" s="1003"/>
    </row>
    <row r="699" spans="3:17" ht="15.75" customHeight="1">
      <c r="C699" s="1003"/>
      <c r="D699" s="1003"/>
      <c r="E699" s="1003"/>
      <c r="F699" s="1003"/>
      <c r="G699" s="1003"/>
      <c r="H699" s="1003"/>
      <c r="I699" s="1003"/>
      <c r="J699" s="1003"/>
      <c r="K699" s="1003"/>
      <c r="L699" s="1003"/>
      <c r="M699" s="1003"/>
      <c r="N699" s="1003"/>
      <c r="O699" s="1003"/>
      <c r="P699" s="1003"/>
      <c r="Q699" s="1003"/>
    </row>
    <row r="700" spans="3:17" ht="15.75" customHeight="1">
      <c r="C700" s="1003"/>
      <c r="D700" s="1003"/>
      <c r="E700" s="1003"/>
      <c r="F700" s="1003"/>
      <c r="G700" s="1003"/>
      <c r="H700" s="1003"/>
      <c r="I700" s="1003"/>
      <c r="J700" s="1003"/>
      <c r="K700" s="1003"/>
      <c r="L700" s="1003"/>
      <c r="M700" s="1003"/>
      <c r="N700" s="1003"/>
      <c r="O700" s="1003"/>
      <c r="P700" s="1003"/>
      <c r="Q700" s="1003"/>
    </row>
    <row r="701" spans="3:17" ht="15.75" customHeight="1">
      <c r="C701" s="1003"/>
      <c r="D701" s="1003"/>
      <c r="E701" s="1003"/>
      <c r="F701" s="1003"/>
      <c r="G701" s="1003"/>
      <c r="H701" s="1003"/>
      <c r="I701" s="1003"/>
      <c r="J701" s="1003"/>
      <c r="K701" s="1003"/>
      <c r="L701" s="1003"/>
      <c r="M701" s="1003"/>
      <c r="N701" s="1003"/>
      <c r="O701" s="1003"/>
      <c r="P701" s="1003"/>
      <c r="Q701" s="1003"/>
    </row>
    <row r="702" spans="3:17" ht="15.75" customHeight="1">
      <c r="C702" s="1003"/>
      <c r="D702" s="1003"/>
      <c r="E702" s="1003"/>
      <c r="F702" s="1003"/>
      <c r="G702" s="1003"/>
      <c r="H702" s="1003"/>
      <c r="I702" s="1003"/>
      <c r="J702" s="1003"/>
      <c r="K702" s="1003"/>
      <c r="L702" s="1003"/>
      <c r="M702" s="1003"/>
      <c r="N702" s="1003"/>
      <c r="O702" s="1003"/>
      <c r="P702" s="1003"/>
      <c r="Q702" s="1003"/>
    </row>
    <row r="703" spans="3:17" ht="15.75" customHeight="1">
      <c r="C703" s="1003"/>
      <c r="D703" s="1003"/>
      <c r="E703" s="1003"/>
      <c r="F703" s="1003"/>
      <c r="G703" s="1003"/>
      <c r="H703" s="1003"/>
      <c r="I703" s="1003"/>
      <c r="J703" s="1003"/>
      <c r="K703" s="1003"/>
      <c r="L703" s="1003"/>
      <c r="M703" s="1003"/>
      <c r="N703" s="1003"/>
      <c r="O703" s="1003"/>
      <c r="P703" s="1003"/>
      <c r="Q703" s="1003"/>
    </row>
    <row r="704" spans="3:17" ht="15.75" customHeight="1">
      <c r="C704" s="1003"/>
      <c r="D704" s="1003"/>
      <c r="E704" s="1003"/>
      <c r="F704" s="1003"/>
      <c r="G704" s="1003"/>
      <c r="H704" s="1003"/>
      <c r="I704" s="1003"/>
      <c r="J704" s="1003"/>
      <c r="K704" s="1003"/>
      <c r="L704" s="1003"/>
      <c r="M704" s="1003"/>
      <c r="N704" s="1003"/>
      <c r="O704" s="1003"/>
      <c r="P704" s="1003"/>
      <c r="Q704" s="1003"/>
    </row>
    <row r="705" spans="3:17" ht="15.75" customHeight="1">
      <c r="C705" s="1003"/>
      <c r="D705" s="1003"/>
      <c r="E705" s="1003"/>
      <c r="F705" s="1003"/>
      <c r="G705" s="1003"/>
      <c r="H705" s="1003"/>
      <c r="I705" s="1003"/>
      <c r="J705" s="1003"/>
      <c r="K705" s="1003"/>
      <c r="L705" s="1003"/>
      <c r="M705" s="1003"/>
      <c r="N705" s="1003"/>
      <c r="O705" s="1003"/>
      <c r="P705" s="1003"/>
      <c r="Q705" s="1003"/>
    </row>
    <row r="706" spans="3:17" ht="15.75" customHeight="1">
      <c r="C706" s="1003"/>
      <c r="D706" s="1003"/>
      <c r="E706" s="1003"/>
      <c r="F706" s="1003"/>
      <c r="G706" s="1003"/>
      <c r="H706" s="1003"/>
      <c r="I706" s="1003"/>
      <c r="J706" s="1003"/>
      <c r="K706" s="1003"/>
      <c r="L706" s="1003"/>
      <c r="M706" s="1003"/>
      <c r="N706" s="1003"/>
      <c r="O706" s="1003"/>
      <c r="P706" s="1003"/>
      <c r="Q706" s="1003"/>
    </row>
    <row r="707" spans="3:17" ht="15.75" customHeight="1">
      <c r="C707" s="1003"/>
      <c r="D707" s="1003"/>
      <c r="E707" s="1003"/>
      <c r="F707" s="1003"/>
      <c r="G707" s="1003"/>
      <c r="H707" s="1003"/>
      <c r="I707" s="1003"/>
      <c r="J707" s="1003"/>
      <c r="K707" s="1003"/>
      <c r="L707" s="1003"/>
      <c r="M707" s="1003"/>
      <c r="N707" s="1003"/>
      <c r="O707" s="1003"/>
      <c r="P707" s="1003"/>
      <c r="Q707" s="1003"/>
    </row>
    <row r="708" spans="3:17" ht="15.75" customHeight="1">
      <c r="C708" s="1003"/>
      <c r="D708" s="1003"/>
      <c r="E708" s="1003"/>
      <c r="F708" s="1003"/>
      <c r="G708" s="1003"/>
      <c r="H708" s="1003"/>
      <c r="I708" s="1003"/>
      <c r="J708" s="1003"/>
      <c r="K708" s="1003"/>
      <c r="L708" s="1003"/>
      <c r="M708" s="1003"/>
      <c r="N708" s="1003"/>
      <c r="O708" s="1003"/>
      <c r="P708" s="1003"/>
      <c r="Q708" s="1003"/>
    </row>
    <row r="709" spans="3:17" ht="15.75" customHeight="1">
      <c r="C709" s="1003"/>
      <c r="D709" s="1003"/>
      <c r="E709" s="1003"/>
      <c r="F709" s="1003"/>
      <c r="G709" s="1003"/>
      <c r="H709" s="1003"/>
      <c r="I709" s="1003"/>
      <c r="J709" s="1003"/>
      <c r="K709" s="1003"/>
      <c r="L709" s="1003"/>
      <c r="M709" s="1003"/>
      <c r="N709" s="1003"/>
      <c r="O709" s="1003"/>
      <c r="P709" s="1003"/>
      <c r="Q709" s="1003"/>
    </row>
    <row r="710" spans="3:17" ht="15.75" customHeight="1">
      <c r="C710" s="1003"/>
      <c r="D710" s="1003"/>
      <c r="E710" s="1003"/>
      <c r="F710" s="1003"/>
      <c r="G710" s="1003"/>
      <c r="H710" s="1003"/>
      <c r="I710" s="1003"/>
      <c r="J710" s="1003"/>
      <c r="K710" s="1003"/>
      <c r="L710" s="1003"/>
      <c r="M710" s="1003"/>
      <c r="N710" s="1003"/>
      <c r="O710" s="1003"/>
      <c r="P710" s="1003"/>
      <c r="Q710" s="1003"/>
    </row>
    <row r="711" spans="3:17" ht="15.75" customHeight="1">
      <c r="C711" s="1003"/>
      <c r="D711" s="1003"/>
      <c r="E711" s="1003"/>
      <c r="F711" s="1003"/>
      <c r="G711" s="1003"/>
      <c r="H711" s="1003"/>
      <c r="I711" s="1003"/>
      <c r="J711" s="1003"/>
      <c r="K711" s="1003"/>
      <c r="L711" s="1003"/>
      <c r="M711" s="1003"/>
      <c r="N711" s="1003"/>
      <c r="O711" s="1003"/>
      <c r="P711" s="1003"/>
      <c r="Q711" s="1003"/>
    </row>
    <row r="712" spans="3:17" ht="15.75" customHeight="1">
      <c r="C712" s="1003"/>
      <c r="D712" s="1003"/>
      <c r="E712" s="1003"/>
      <c r="F712" s="1003"/>
      <c r="G712" s="1003"/>
      <c r="H712" s="1003"/>
      <c r="I712" s="1003"/>
      <c r="J712" s="1003"/>
      <c r="K712" s="1003"/>
      <c r="L712" s="1003"/>
      <c r="M712" s="1003"/>
      <c r="N712" s="1003"/>
      <c r="O712" s="1003"/>
      <c r="P712" s="1003"/>
      <c r="Q712" s="1003"/>
    </row>
    <row r="713" spans="3:17" ht="15.75" customHeight="1">
      <c r="C713" s="1003"/>
      <c r="D713" s="1003"/>
      <c r="E713" s="1003"/>
      <c r="F713" s="1003"/>
      <c r="G713" s="1003"/>
      <c r="H713" s="1003"/>
      <c r="I713" s="1003"/>
      <c r="J713" s="1003"/>
      <c r="K713" s="1003"/>
      <c r="L713" s="1003"/>
      <c r="M713" s="1003"/>
      <c r="N713" s="1003"/>
      <c r="O713" s="1003"/>
      <c r="P713" s="1003"/>
      <c r="Q713" s="1003"/>
    </row>
    <row r="714" spans="3:17" ht="15.75" customHeight="1">
      <c r="C714" s="1003"/>
      <c r="D714" s="1003"/>
      <c r="E714" s="1003"/>
      <c r="F714" s="1003"/>
      <c r="G714" s="1003"/>
      <c r="H714" s="1003"/>
      <c r="I714" s="1003"/>
      <c r="J714" s="1003"/>
      <c r="K714" s="1003"/>
      <c r="L714" s="1003"/>
      <c r="M714" s="1003"/>
      <c r="N714" s="1003"/>
      <c r="O714" s="1003"/>
      <c r="P714" s="1003"/>
      <c r="Q714" s="1003"/>
    </row>
    <row r="715" spans="3:17" ht="15.75" customHeight="1">
      <c r="C715" s="1003"/>
      <c r="D715" s="1003"/>
      <c r="E715" s="1003"/>
      <c r="F715" s="1003"/>
      <c r="G715" s="1003"/>
      <c r="H715" s="1003"/>
      <c r="I715" s="1003"/>
      <c r="J715" s="1003"/>
      <c r="K715" s="1003"/>
      <c r="L715" s="1003"/>
      <c r="M715" s="1003"/>
      <c r="N715" s="1003"/>
      <c r="O715" s="1003"/>
      <c r="P715" s="1003"/>
      <c r="Q715" s="1003"/>
    </row>
    <row r="716" spans="3:17" ht="15.75" customHeight="1">
      <c r="C716" s="1003"/>
      <c r="D716" s="1003"/>
      <c r="E716" s="1003"/>
      <c r="F716" s="1003"/>
      <c r="G716" s="1003"/>
      <c r="H716" s="1003"/>
      <c r="I716" s="1003"/>
      <c r="J716" s="1003"/>
      <c r="K716" s="1003"/>
      <c r="L716" s="1003"/>
      <c r="M716" s="1003"/>
      <c r="N716" s="1003"/>
      <c r="O716" s="1003"/>
      <c r="P716" s="1003"/>
      <c r="Q716" s="1003"/>
    </row>
    <row r="717" spans="3:17" ht="15.75" customHeight="1">
      <c r="C717" s="1003"/>
      <c r="D717" s="1003"/>
      <c r="E717" s="1003"/>
      <c r="F717" s="1003"/>
      <c r="G717" s="1003"/>
      <c r="H717" s="1003"/>
      <c r="I717" s="1003"/>
      <c r="J717" s="1003"/>
      <c r="K717" s="1003"/>
      <c r="L717" s="1003"/>
      <c r="M717" s="1003"/>
      <c r="N717" s="1003"/>
      <c r="O717" s="1003"/>
      <c r="P717" s="1003"/>
      <c r="Q717" s="1003"/>
    </row>
    <row r="718" spans="3:17" ht="15.75" customHeight="1">
      <c r="C718" s="1003"/>
      <c r="D718" s="1003"/>
      <c r="E718" s="1003"/>
      <c r="F718" s="1003"/>
      <c r="G718" s="1003"/>
      <c r="H718" s="1003"/>
      <c r="I718" s="1003"/>
      <c r="J718" s="1003"/>
      <c r="K718" s="1003"/>
      <c r="L718" s="1003"/>
      <c r="M718" s="1003"/>
      <c r="N718" s="1003"/>
      <c r="O718" s="1003"/>
      <c r="P718" s="1003"/>
      <c r="Q718" s="1003"/>
    </row>
    <row r="719" spans="3:17" ht="15.75" customHeight="1">
      <c r="C719" s="1003"/>
      <c r="D719" s="1003"/>
      <c r="E719" s="1003"/>
      <c r="F719" s="1003"/>
      <c r="G719" s="1003"/>
      <c r="H719" s="1003"/>
      <c r="I719" s="1003"/>
      <c r="J719" s="1003"/>
      <c r="K719" s="1003"/>
      <c r="L719" s="1003"/>
      <c r="M719" s="1003"/>
      <c r="N719" s="1003"/>
      <c r="O719" s="1003"/>
      <c r="P719" s="1003"/>
      <c r="Q719" s="1003"/>
    </row>
    <row r="720" spans="3:17" ht="15.75" customHeight="1">
      <c r="C720" s="1003"/>
      <c r="D720" s="1003"/>
      <c r="E720" s="1003"/>
      <c r="F720" s="1003"/>
      <c r="G720" s="1003"/>
      <c r="H720" s="1003"/>
      <c r="I720" s="1003"/>
      <c r="J720" s="1003"/>
      <c r="K720" s="1003"/>
      <c r="L720" s="1003"/>
      <c r="M720" s="1003"/>
      <c r="N720" s="1003"/>
      <c r="O720" s="1003"/>
      <c r="P720" s="1003"/>
      <c r="Q720" s="1003"/>
    </row>
    <row r="721" spans="3:17" ht="15.75" customHeight="1">
      <c r="C721" s="1003"/>
      <c r="D721" s="1003"/>
      <c r="E721" s="1003"/>
      <c r="F721" s="1003"/>
      <c r="G721" s="1003"/>
      <c r="H721" s="1003"/>
      <c r="I721" s="1003"/>
      <c r="J721" s="1003"/>
      <c r="K721" s="1003"/>
      <c r="L721" s="1003"/>
      <c r="M721" s="1003"/>
      <c r="N721" s="1003"/>
      <c r="O721" s="1003"/>
      <c r="P721" s="1003"/>
      <c r="Q721" s="1003"/>
    </row>
    <row r="722" spans="3:17" ht="15.75" customHeight="1">
      <c r="C722" s="1003"/>
      <c r="D722" s="1003"/>
      <c r="E722" s="1003"/>
      <c r="F722" s="1003"/>
      <c r="G722" s="1003"/>
      <c r="H722" s="1003"/>
      <c r="I722" s="1003"/>
      <c r="J722" s="1003"/>
      <c r="K722" s="1003"/>
      <c r="L722" s="1003"/>
      <c r="M722" s="1003"/>
      <c r="N722" s="1003"/>
      <c r="O722" s="1003"/>
      <c r="P722" s="1003"/>
      <c r="Q722" s="1003"/>
    </row>
    <row r="723" spans="3:17" ht="15.75" customHeight="1">
      <c r="C723" s="1003"/>
      <c r="D723" s="1003"/>
      <c r="E723" s="1003"/>
      <c r="F723" s="1003"/>
      <c r="G723" s="1003"/>
      <c r="H723" s="1003"/>
      <c r="I723" s="1003"/>
      <c r="J723" s="1003"/>
      <c r="K723" s="1003"/>
      <c r="L723" s="1003"/>
      <c r="M723" s="1003"/>
      <c r="N723" s="1003"/>
      <c r="O723" s="1003"/>
      <c r="P723" s="1003"/>
      <c r="Q723" s="1003"/>
    </row>
    <row r="724" spans="3:17" ht="15.75" customHeight="1">
      <c r="C724" s="1003"/>
      <c r="D724" s="1003"/>
      <c r="E724" s="1003"/>
      <c r="F724" s="1003"/>
      <c r="G724" s="1003"/>
      <c r="H724" s="1003"/>
      <c r="I724" s="1003"/>
      <c r="J724" s="1003"/>
      <c r="K724" s="1003"/>
      <c r="L724" s="1003"/>
      <c r="M724" s="1003"/>
      <c r="N724" s="1003"/>
      <c r="O724" s="1003"/>
      <c r="P724" s="1003"/>
      <c r="Q724" s="1003"/>
    </row>
    <row r="725" spans="3:17" ht="15.75" customHeight="1">
      <c r="C725" s="1003"/>
      <c r="D725" s="1003"/>
      <c r="E725" s="1003"/>
      <c r="F725" s="1003"/>
      <c r="G725" s="1003"/>
      <c r="H725" s="1003"/>
      <c r="I725" s="1003"/>
      <c r="J725" s="1003"/>
      <c r="K725" s="1003"/>
      <c r="L725" s="1003"/>
      <c r="M725" s="1003"/>
      <c r="N725" s="1003"/>
      <c r="O725" s="1003"/>
      <c r="P725" s="1003"/>
      <c r="Q725" s="1003"/>
    </row>
    <row r="726" spans="3:17" ht="15.75" customHeight="1">
      <c r="C726" s="1003"/>
      <c r="D726" s="1003"/>
      <c r="E726" s="1003"/>
      <c r="F726" s="1003"/>
      <c r="G726" s="1003"/>
      <c r="H726" s="1003"/>
      <c r="I726" s="1003"/>
      <c r="J726" s="1003"/>
      <c r="K726" s="1003"/>
      <c r="L726" s="1003"/>
      <c r="M726" s="1003"/>
      <c r="N726" s="1003"/>
      <c r="O726" s="1003"/>
      <c r="P726" s="1003"/>
      <c r="Q726" s="1003"/>
    </row>
    <row r="727" spans="3:17" ht="15.75" customHeight="1">
      <c r="C727" s="1003"/>
      <c r="D727" s="1003"/>
      <c r="E727" s="1003"/>
      <c r="F727" s="1003"/>
      <c r="G727" s="1003"/>
      <c r="H727" s="1003"/>
      <c r="I727" s="1003"/>
      <c r="J727" s="1003"/>
      <c r="K727" s="1003"/>
      <c r="L727" s="1003"/>
      <c r="M727" s="1003"/>
      <c r="N727" s="1003"/>
      <c r="O727" s="1003"/>
      <c r="P727" s="1003"/>
      <c r="Q727" s="1003"/>
    </row>
    <row r="728" spans="3:17" ht="15.75" customHeight="1">
      <c r="C728" s="1003"/>
      <c r="D728" s="1003"/>
      <c r="E728" s="1003"/>
      <c r="F728" s="1003"/>
      <c r="G728" s="1003"/>
      <c r="H728" s="1003"/>
      <c r="I728" s="1003"/>
      <c r="J728" s="1003"/>
      <c r="K728" s="1003"/>
      <c r="L728" s="1003"/>
      <c r="M728" s="1003"/>
      <c r="N728" s="1003"/>
      <c r="O728" s="1003"/>
      <c r="P728" s="1003"/>
      <c r="Q728" s="1003"/>
    </row>
    <row r="729" spans="3:17" ht="15.75" customHeight="1">
      <c r="C729" s="1003"/>
      <c r="D729" s="1003"/>
      <c r="E729" s="1003"/>
      <c r="F729" s="1003"/>
      <c r="G729" s="1003"/>
      <c r="H729" s="1003"/>
      <c r="I729" s="1003"/>
      <c r="J729" s="1003"/>
      <c r="K729" s="1003"/>
      <c r="L729" s="1003"/>
      <c r="M729" s="1003"/>
      <c r="N729" s="1003"/>
      <c r="O729" s="1003"/>
      <c r="P729" s="1003"/>
      <c r="Q729" s="1003"/>
    </row>
    <row r="730" spans="3:17" ht="15.75" customHeight="1">
      <c r="C730" s="1003"/>
      <c r="D730" s="1003"/>
      <c r="E730" s="1003"/>
      <c r="F730" s="1003"/>
      <c r="G730" s="1003"/>
      <c r="H730" s="1003"/>
      <c r="I730" s="1003"/>
      <c r="J730" s="1003"/>
      <c r="K730" s="1003"/>
      <c r="L730" s="1003"/>
      <c r="M730" s="1003"/>
      <c r="N730" s="1003"/>
      <c r="O730" s="1003"/>
      <c r="P730" s="1003"/>
      <c r="Q730" s="1003"/>
    </row>
    <row r="731" spans="3:17" ht="15.75" customHeight="1">
      <c r="C731" s="1003"/>
      <c r="D731" s="1003"/>
      <c r="E731" s="1003"/>
      <c r="F731" s="1003"/>
      <c r="G731" s="1003"/>
      <c r="H731" s="1003"/>
      <c r="I731" s="1003"/>
      <c r="J731" s="1003"/>
      <c r="K731" s="1003"/>
      <c r="L731" s="1003"/>
      <c r="M731" s="1003"/>
      <c r="N731" s="1003"/>
      <c r="O731" s="1003"/>
      <c r="P731" s="1003"/>
      <c r="Q731" s="1003"/>
    </row>
    <row r="732" spans="3:17" ht="15.75" customHeight="1">
      <c r="C732" s="1003"/>
      <c r="D732" s="1003"/>
      <c r="E732" s="1003"/>
      <c r="F732" s="1003"/>
      <c r="G732" s="1003"/>
      <c r="H732" s="1003"/>
      <c r="I732" s="1003"/>
      <c r="J732" s="1003"/>
      <c r="K732" s="1003"/>
      <c r="L732" s="1003"/>
      <c r="M732" s="1003"/>
      <c r="N732" s="1003"/>
      <c r="O732" s="1003"/>
      <c r="P732" s="1003"/>
      <c r="Q732" s="1003"/>
    </row>
    <row r="733" spans="3:17" ht="15.75" customHeight="1">
      <c r="C733" s="1003"/>
      <c r="D733" s="1003"/>
      <c r="E733" s="1003"/>
      <c r="F733" s="1003"/>
      <c r="G733" s="1003"/>
      <c r="H733" s="1003"/>
      <c r="I733" s="1003"/>
      <c r="J733" s="1003"/>
      <c r="K733" s="1003"/>
      <c r="L733" s="1003"/>
      <c r="M733" s="1003"/>
      <c r="N733" s="1003"/>
      <c r="O733" s="1003"/>
      <c r="P733" s="1003"/>
      <c r="Q733" s="1003"/>
    </row>
    <row r="734" spans="3:17" ht="15.75" customHeight="1">
      <c r="C734" s="1003"/>
      <c r="D734" s="1003"/>
      <c r="E734" s="1003"/>
      <c r="F734" s="1003"/>
      <c r="G734" s="1003"/>
      <c r="H734" s="1003"/>
      <c r="I734" s="1003"/>
      <c r="J734" s="1003"/>
      <c r="K734" s="1003"/>
      <c r="L734" s="1003"/>
      <c r="M734" s="1003"/>
      <c r="N734" s="1003"/>
      <c r="O734" s="1003"/>
      <c r="P734" s="1003"/>
      <c r="Q734" s="1003"/>
    </row>
    <row r="735" spans="3:17" ht="15.75" customHeight="1">
      <c r="C735" s="1003"/>
      <c r="D735" s="1003"/>
      <c r="E735" s="1003"/>
      <c r="F735" s="1003"/>
      <c r="G735" s="1003"/>
      <c r="H735" s="1003"/>
      <c r="I735" s="1003"/>
      <c r="J735" s="1003"/>
      <c r="K735" s="1003"/>
      <c r="L735" s="1003"/>
      <c r="M735" s="1003"/>
      <c r="N735" s="1003"/>
      <c r="O735" s="1003"/>
      <c r="P735" s="1003"/>
      <c r="Q735" s="1003"/>
    </row>
    <row r="736" spans="3:17" ht="15.75" customHeight="1">
      <c r="C736" s="1003"/>
      <c r="D736" s="1003"/>
      <c r="E736" s="1003"/>
      <c r="F736" s="1003"/>
      <c r="G736" s="1003"/>
      <c r="H736" s="1003"/>
      <c r="I736" s="1003"/>
      <c r="J736" s="1003"/>
      <c r="K736" s="1003"/>
      <c r="L736" s="1003"/>
      <c r="M736" s="1003"/>
      <c r="N736" s="1003"/>
      <c r="O736" s="1003"/>
      <c r="P736" s="1003"/>
      <c r="Q736" s="1003"/>
    </row>
    <row r="737" spans="3:17" ht="15.75" customHeight="1">
      <c r="C737" s="1003"/>
      <c r="D737" s="1003"/>
      <c r="E737" s="1003"/>
      <c r="F737" s="1003"/>
      <c r="G737" s="1003"/>
      <c r="H737" s="1003"/>
      <c r="I737" s="1003"/>
      <c r="J737" s="1003"/>
      <c r="K737" s="1003"/>
      <c r="L737" s="1003"/>
      <c r="M737" s="1003"/>
      <c r="N737" s="1003"/>
      <c r="O737" s="1003"/>
      <c r="P737" s="1003"/>
      <c r="Q737" s="1003"/>
    </row>
    <row r="738" spans="3:17" ht="15.75" customHeight="1">
      <c r="C738" s="1003"/>
      <c r="D738" s="1003"/>
      <c r="E738" s="1003"/>
      <c r="F738" s="1003"/>
      <c r="G738" s="1003"/>
      <c r="H738" s="1003"/>
      <c r="I738" s="1003"/>
      <c r="J738" s="1003"/>
      <c r="K738" s="1003"/>
      <c r="L738" s="1003"/>
      <c r="M738" s="1003"/>
      <c r="N738" s="1003"/>
      <c r="O738" s="1003"/>
      <c r="P738" s="1003"/>
      <c r="Q738" s="1003"/>
    </row>
    <row r="739" spans="3:17" ht="15.75" customHeight="1">
      <c r="C739" s="1003"/>
      <c r="D739" s="1003"/>
      <c r="E739" s="1003"/>
      <c r="F739" s="1003"/>
      <c r="G739" s="1003"/>
      <c r="H739" s="1003"/>
      <c r="I739" s="1003"/>
      <c r="J739" s="1003"/>
      <c r="K739" s="1003"/>
      <c r="L739" s="1003"/>
      <c r="M739" s="1003"/>
      <c r="N739" s="1003"/>
      <c r="O739" s="1003"/>
      <c r="P739" s="1003"/>
      <c r="Q739" s="1003"/>
    </row>
    <row r="740" spans="3:17" ht="15.75" customHeight="1">
      <c r="C740" s="1003"/>
      <c r="D740" s="1003"/>
      <c r="E740" s="1003"/>
      <c r="F740" s="1003"/>
      <c r="G740" s="1003"/>
      <c r="H740" s="1003"/>
      <c r="I740" s="1003"/>
      <c r="J740" s="1003"/>
      <c r="K740" s="1003"/>
      <c r="L740" s="1003"/>
      <c r="M740" s="1003"/>
      <c r="N740" s="1003"/>
      <c r="O740" s="1003"/>
      <c r="P740" s="1003"/>
      <c r="Q740" s="1003"/>
    </row>
    <row r="741" spans="3:17" ht="15.75" customHeight="1">
      <c r="C741" s="1003"/>
      <c r="D741" s="1003"/>
      <c r="E741" s="1003"/>
      <c r="F741" s="1003"/>
      <c r="G741" s="1003"/>
      <c r="H741" s="1003"/>
      <c r="I741" s="1003"/>
      <c r="J741" s="1003"/>
      <c r="K741" s="1003"/>
      <c r="L741" s="1003"/>
      <c r="M741" s="1003"/>
      <c r="N741" s="1003"/>
      <c r="O741" s="1003"/>
      <c r="P741" s="1003"/>
      <c r="Q741" s="1003"/>
    </row>
    <row r="742" spans="3:17" ht="15.75" customHeight="1">
      <c r="C742" s="1003"/>
      <c r="D742" s="1003"/>
      <c r="E742" s="1003"/>
      <c r="F742" s="1003"/>
      <c r="G742" s="1003"/>
      <c r="H742" s="1003"/>
      <c r="I742" s="1003"/>
      <c r="J742" s="1003"/>
      <c r="K742" s="1003"/>
      <c r="L742" s="1003"/>
      <c r="M742" s="1003"/>
      <c r="N742" s="1003"/>
      <c r="O742" s="1003"/>
      <c r="P742" s="1003"/>
      <c r="Q742" s="1003"/>
    </row>
    <row r="743" spans="3:17" ht="15.75" customHeight="1">
      <c r="C743" s="1003"/>
      <c r="D743" s="1003"/>
      <c r="E743" s="1003"/>
      <c r="F743" s="1003"/>
      <c r="G743" s="1003"/>
      <c r="H743" s="1003"/>
      <c r="I743" s="1003"/>
      <c r="J743" s="1003"/>
      <c r="K743" s="1003"/>
      <c r="L743" s="1003"/>
      <c r="M743" s="1003"/>
      <c r="N743" s="1003"/>
      <c r="O743" s="1003"/>
      <c r="P743" s="1003"/>
      <c r="Q743" s="1003"/>
    </row>
    <row r="744" spans="3:17" ht="15.75" customHeight="1">
      <c r="C744" s="1003"/>
      <c r="D744" s="1003"/>
      <c r="E744" s="1003"/>
      <c r="F744" s="1003"/>
      <c r="G744" s="1003"/>
      <c r="H744" s="1003"/>
      <c r="I744" s="1003"/>
      <c r="J744" s="1003"/>
      <c r="K744" s="1003"/>
      <c r="L744" s="1003"/>
      <c r="M744" s="1003"/>
      <c r="N744" s="1003"/>
      <c r="O744" s="1003"/>
      <c r="P744" s="1003"/>
      <c r="Q744" s="1003"/>
    </row>
    <row r="745" spans="3:17" ht="15.75" customHeight="1">
      <c r="C745" s="1003"/>
      <c r="D745" s="1003"/>
      <c r="E745" s="1003"/>
      <c r="F745" s="1003"/>
      <c r="G745" s="1003"/>
      <c r="H745" s="1003"/>
      <c r="I745" s="1003"/>
      <c r="J745" s="1003"/>
      <c r="K745" s="1003"/>
      <c r="L745" s="1003"/>
      <c r="M745" s="1003"/>
      <c r="N745" s="1003"/>
      <c r="O745" s="1003"/>
      <c r="P745" s="1003"/>
      <c r="Q745" s="1003"/>
    </row>
    <row r="746" spans="3:17" ht="15.75" customHeight="1">
      <c r="C746" s="1003"/>
      <c r="D746" s="1003"/>
      <c r="E746" s="1003"/>
      <c r="F746" s="1003"/>
      <c r="G746" s="1003"/>
      <c r="H746" s="1003"/>
      <c r="I746" s="1003"/>
      <c r="J746" s="1003"/>
      <c r="K746" s="1003"/>
      <c r="L746" s="1003"/>
      <c r="M746" s="1003"/>
      <c r="N746" s="1003"/>
      <c r="O746" s="1003"/>
      <c r="P746" s="1003"/>
      <c r="Q746" s="1003"/>
    </row>
    <row r="747" spans="3:17" ht="15.75" customHeight="1">
      <c r="C747" s="1003"/>
      <c r="D747" s="1003"/>
      <c r="E747" s="1003"/>
      <c r="F747" s="1003"/>
      <c r="G747" s="1003"/>
      <c r="H747" s="1003"/>
      <c r="I747" s="1003"/>
      <c r="J747" s="1003"/>
      <c r="K747" s="1003"/>
      <c r="L747" s="1003"/>
      <c r="M747" s="1003"/>
      <c r="N747" s="1003"/>
      <c r="O747" s="1003"/>
      <c r="P747" s="1003"/>
      <c r="Q747" s="1003"/>
    </row>
    <row r="748" spans="3:17" ht="15.75" customHeight="1">
      <c r="C748" s="1003"/>
      <c r="D748" s="1003"/>
      <c r="E748" s="1003"/>
      <c r="F748" s="1003"/>
      <c r="G748" s="1003"/>
      <c r="H748" s="1003"/>
      <c r="I748" s="1003"/>
      <c r="J748" s="1003"/>
      <c r="K748" s="1003"/>
      <c r="L748" s="1003"/>
      <c r="M748" s="1003"/>
      <c r="N748" s="1003"/>
      <c r="O748" s="1003"/>
      <c r="P748" s="1003"/>
      <c r="Q748" s="1003"/>
    </row>
    <row r="749" spans="3:17" ht="15.75" customHeight="1">
      <c r="C749" s="1003"/>
      <c r="D749" s="1003"/>
      <c r="E749" s="1003"/>
      <c r="F749" s="1003"/>
      <c r="G749" s="1003"/>
      <c r="H749" s="1003"/>
      <c r="I749" s="1003"/>
      <c r="J749" s="1003"/>
      <c r="K749" s="1003"/>
      <c r="L749" s="1003"/>
      <c r="M749" s="1003"/>
      <c r="N749" s="1003"/>
      <c r="O749" s="1003"/>
      <c r="P749" s="1003"/>
      <c r="Q749" s="1003"/>
    </row>
    <row r="750" spans="3:17" ht="15.75" customHeight="1">
      <c r="C750" s="1003"/>
      <c r="D750" s="1003"/>
      <c r="E750" s="1003"/>
      <c r="F750" s="1003"/>
      <c r="G750" s="1003"/>
      <c r="H750" s="1003"/>
      <c r="I750" s="1003"/>
      <c r="J750" s="1003"/>
      <c r="K750" s="1003"/>
      <c r="L750" s="1003"/>
      <c r="M750" s="1003"/>
      <c r="N750" s="1003"/>
      <c r="O750" s="1003"/>
      <c r="P750" s="1003"/>
      <c r="Q750" s="1003"/>
    </row>
    <row r="751" spans="3:17" ht="15.75" customHeight="1">
      <c r="C751" s="1003"/>
      <c r="D751" s="1003"/>
      <c r="E751" s="1003"/>
      <c r="F751" s="1003"/>
      <c r="G751" s="1003"/>
      <c r="H751" s="1003"/>
      <c r="I751" s="1003"/>
      <c r="J751" s="1003"/>
      <c r="K751" s="1003"/>
      <c r="L751" s="1003"/>
      <c r="M751" s="1003"/>
      <c r="N751" s="1003"/>
      <c r="O751" s="1003"/>
      <c r="P751" s="1003"/>
      <c r="Q751" s="1003"/>
    </row>
    <row r="752" spans="3:17" ht="15.75" customHeight="1">
      <c r="C752" s="1003"/>
      <c r="D752" s="1003"/>
      <c r="E752" s="1003"/>
      <c r="F752" s="1003"/>
      <c r="G752" s="1003"/>
      <c r="H752" s="1003"/>
      <c r="I752" s="1003"/>
      <c r="J752" s="1003"/>
      <c r="K752" s="1003"/>
      <c r="L752" s="1003"/>
      <c r="M752" s="1003"/>
      <c r="N752" s="1003"/>
      <c r="O752" s="1003"/>
      <c r="P752" s="1003"/>
      <c r="Q752" s="1003"/>
    </row>
    <row r="753" spans="3:17" ht="15.75" customHeight="1">
      <c r="C753" s="1003"/>
      <c r="D753" s="1003"/>
      <c r="E753" s="1003"/>
      <c r="F753" s="1003"/>
      <c r="G753" s="1003"/>
      <c r="H753" s="1003"/>
      <c r="I753" s="1003"/>
      <c r="J753" s="1003"/>
      <c r="K753" s="1003"/>
      <c r="L753" s="1003"/>
      <c r="M753" s="1003"/>
      <c r="N753" s="1003"/>
      <c r="O753" s="1003"/>
      <c r="P753" s="1003"/>
      <c r="Q753" s="1003"/>
    </row>
    <row r="754" spans="3:17" ht="15.75" customHeight="1">
      <c r="C754" s="1003"/>
      <c r="D754" s="1003"/>
      <c r="E754" s="1003"/>
      <c r="F754" s="1003"/>
      <c r="G754" s="1003"/>
      <c r="H754" s="1003"/>
      <c r="I754" s="1003"/>
      <c r="J754" s="1003"/>
      <c r="K754" s="1003"/>
      <c r="L754" s="1003"/>
      <c r="M754" s="1003"/>
      <c r="N754" s="1003"/>
      <c r="O754" s="1003"/>
      <c r="P754" s="1003"/>
      <c r="Q754" s="1003"/>
    </row>
    <row r="755" spans="3:17" ht="15.75" customHeight="1">
      <c r="C755" s="1003"/>
      <c r="D755" s="1003"/>
      <c r="E755" s="1003"/>
      <c r="F755" s="1003"/>
      <c r="G755" s="1003"/>
      <c r="H755" s="1003"/>
      <c r="I755" s="1003"/>
      <c r="J755" s="1003"/>
      <c r="K755" s="1003"/>
      <c r="L755" s="1003"/>
      <c r="M755" s="1003"/>
      <c r="N755" s="1003"/>
      <c r="O755" s="1003"/>
      <c r="P755" s="1003"/>
      <c r="Q755" s="1003"/>
    </row>
    <row r="756" spans="3:17" ht="15.75" customHeight="1">
      <c r="C756" s="1003"/>
      <c r="D756" s="1003"/>
      <c r="E756" s="1003"/>
      <c r="F756" s="1003"/>
      <c r="G756" s="1003"/>
      <c r="H756" s="1003"/>
      <c r="I756" s="1003"/>
      <c r="J756" s="1003"/>
      <c r="K756" s="1003"/>
      <c r="L756" s="1003"/>
      <c r="M756" s="1003"/>
      <c r="N756" s="1003"/>
      <c r="O756" s="1003"/>
      <c r="P756" s="1003"/>
      <c r="Q756" s="1003"/>
    </row>
    <row r="757" spans="3:17" ht="15.75" customHeight="1">
      <c r="C757" s="1003"/>
      <c r="D757" s="1003"/>
      <c r="E757" s="1003"/>
      <c r="F757" s="1003"/>
      <c r="G757" s="1003"/>
      <c r="H757" s="1003"/>
      <c r="I757" s="1003"/>
      <c r="J757" s="1003"/>
      <c r="K757" s="1003"/>
      <c r="L757" s="1003"/>
      <c r="M757" s="1003"/>
      <c r="N757" s="1003"/>
      <c r="O757" s="1003"/>
      <c r="P757" s="1003"/>
      <c r="Q757" s="1003"/>
    </row>
    <row r="758" spans="3:17" ht="15.75" customHeight="1">
      <c r="C758" s="1003"/>
      <c r="D758" s="1003"/>
      <c r="E758" s="1003"/>
      <c r="F758" s="1003"/>
      <c r="G758" s="1003"/>
      <c r="H758" s="1003"/>
      <c r="I758" s="1003"/>
      <c r="J758" s="1003"/>
      <c r="K758" s="1003"/>
      <c r="L758" s="1003"/>
      <c r="M758" s="1003"/>
      <c r="N758" s="1003"/>
      <c r="O758" s="1003"/>
      <c r="P758" s="1003"/>
      <c r="Q758" s="1003"/>
    </row>
    <row r="759" spans="3:17" ht="15.75" customHeight="1">
      <c r="C759" s="1003"/>
      <c r="D759" s="1003"/>
      <c r="E759" s="1003"/>
      <c r="F759" s="1003"/>
      <c r="G759" s="1003"/>
      <c r="H759" s="1003"/>
      <c r="I759" s="1003"/>
      <c r="J759" s="1003"/>
      <c r="K759" s="1003"/>
      <c r="L759" s="1003"/>
      <c r="M759" s="1003"/>
      <c r="N759" s="1003"/>
      <c r="O759" s="1003"/>
      <c r="P759" s="1003"/>
      <c r="Q759" s="1003"/>
    </row>
    <row r="760" spans="3:17" ht="15.75" customHeight="1">
      <c r="C760" s="1003"/>
      <c r="D760" s="1003"/>
      <c r="E760" s="1003"/>
      <c r="F760" s="1003"/>
      <c r="G760" s="1003"/>
      <c r="H760" s="1003"/>
      <c r="I760" s="1003"/>
      <c r="J760" s="1003"/>
      <c r="K760" s="1003"/>
      <c r="L760" s="1003"/>
      <c r="M760" s="1003"/>
      <c r="N760" s="1003"/>
      <c r="O760" s="1003"/>
      <c r="P760" s="1003"/>
      <c r="Q760" s="1003"/>
    </row>
    <row r="761" spans="3:17" ht="15.75" customHeight="1">
      <c r="C761" s="1003"/>
      <c r="D761" s="1003"/>
      <c r="E761" s="1003"/>
      <c r="F761" s="1003"/>
      <c r="G761" s="1003"/>
      <c r="H761" s="1003"/>
      <c r="I761" s="1003"/>
      <c r="J761" s="1003"/>
      <c r="K761" s="1003"/>
      <c r="L761" s="1003"/>
      <c r="M761" s="1003"/>
      <c r="N761" s="1003"/>
      <c r="O761" s="1003"/>
      <c r="P761" s="1003"/>
      <c r="Q761" s="1003"/>
    </row>
    <row r="762" spans="3:17" ht="15.75" customHeight="1">
      <c r="C762" s="1003"/>
      <c r="D762" s="1003"/>
      <c r="E762" s="1003"/>
      <c r="F762" s="1003"/>
      <c r="G762" s="1003"/>
      <c r="H762" s="1003"/>
      <c r="I762" s="1003"/>
      <c r="J762" s="1003"/>
      <c r="K762" s="1003"/>
      <c r="L762" s="1003"/>
      <c r="M762" s="1003"/>
      <c r="N762" s="1003"/>
      <c r="O762" s="1003"/>
      <c r="P762" s="1003"/>
      <c r="Q762" s="1003"/>
    </row>
    <row r="763" spans="3:17" ht="15.75" customHeight="1">
      <c r="C763" s="1003"/>
      <c r="D763" s="1003"/>
      <c r="E763" s="1003"/>
      <c r="F763" s="1003"/>
      <c r="G763" s="1003"/>
      <c r="H763" s="1003"/>
      <c r="I763" s="1003"/>
      <c r="J763" s="1003"/>
      <c r="K763" s="1003"/>
      <c r="L763" s="1003"/>
      <c r="M763" s="1003"/>
      <c r="N763" s="1003"/>
      <c r="O763" s="1003"/>
      <c r="P763" s="1003"/>
      <c r="Q763" s="1003"/>
    </row>
    <row r="764" spans="3:17" ht="15.75" customHeight="1">
      <c r="C764" s="1003"/>
      <c r="D764" s="1003"/>
      <c r="E764" s="1003"/>
      <c r="F764" s="1003"/>
      <c r="G764" s="1003"/>
      <c r="H764" s="1003"/>
      <c r="I764" s="1003"/>
      <c r="J764" s="1003"/>
      <c r="K764" s="1003"/>
      <c r="L764" s="1003"/>
      <c r="M764" s="1003"/>
      <c r="N764" s="1003"/>
      <c r="O764" s="1003"/>
      <c r="P764" s="1003"/>
      <c r="Q764" s="1003"/>
    </row>
    <row r="765" spans="3:17" ht="15.75" customHeight="1">
      <c r="C765" s="1003"/>
      <c r="D765" s="1003"/>
      <c r="E765" s="1003"/>
      <c r="F765" s="1003"/>
      <c r="G765" s="1003"/>
      <c r="H765" s="1003"/>
      <c r="I765" s="1003"/>
      <c r="J765" s="1003"/>
      <c r="K765" s="1003"/>
      <c r="L765" s="1003"/>
      <c r="M765" s="1003"/>
      <c r="N765" s="1003"/>
      <c r="O765" s="1003"/>
      <c r="P765" s="1003"/>
      <c r="Q765" s="1003"/>
    </row>
    <row r="766" spans="3:17" ht="15.75" customHeight="1">
      <c r="C766" s="1003"/>
      <c r="D766" s="1003"/>
      <c r="E766" s="1003"/>
      <c r="F766" s="1003"/>
      <c r="G766" s="1003"/>
      <c r="H766" s="1003"/>
      <c r="I766" s="1003"/>
      <c r="J766" s="1003"/>
      <c r="K766" s="1003"/>
      <c r="L766" s="1003"/>
      <c r="M766" s="1003"/>
      <c r="N766" s="1003"/>
      <c r="O766" s="1003"/>
      <c r="P766" s="1003"/>
      <c r="Q766" s="1003"/>
    </row>
    <row r="767" spans="3:17" ht="15.75" customHeight="1">
      <c r="C767" s="1003"/>
      <c r="D767" s="1003"/>
      <c r="E767" s="1003"/>
      <c r="F767" s="1003"/>
      <c r="G767" s="1003"/>
      <c r="H767" s="1003"/>
      <c r="I767" s="1003"/>
      <c r="J767" s="1003"/>
      <c r="K767" s="1003"/>
      <c r="L767" s="1003"/>
      <c r="M767" s="1003"/>
      <c r="N767" s="1003"/>
      <c r="O767" s="1003"/>
      <c r="P767" s="1003"/>
      <c r="Q767" s="1003"/>
    </row>
    <row r="768" spans="3:17" ht="15.75" customHeight="1">
      <c r="C768" s="1003"/>
      <c r="D768" s="1003"/>
      <c r="E768" s="1003"/>
      <c r="F768" s="1003"/>
      <c r="G768" s="1003"/>
      <c r="H768" s="1003"/>
      <c r="I768" s="1003"/>
      <c r="J768" s="1003"/>
      <c r="K768" s="1003"/>
      <c r="L768" s="1003"/>
      <c r="M768" s="1003"/>
      <c r="N768" s="1003"/>
      <c r="O768" s="1003"/>
      <c r="P768" s="1003"/>
      <c r="Q768" s="1003"/>
    </row>
    <row r="769" spans="3:17" ht="15.75" customHeight="1">
      <c r="C769" s="1003"/>
      <c r="D769" s="1003"/>
      <c r="E769" s="1003"/>
      <c r="F769" s="1003"/>
      <c r="G769" s="1003"/>
      <c r="H769" s="1003"/>
      <c r="I769" s="1003"/>
      <c r="J769" s="1003"/>
      <c r="K769" s="1003"/>
      <c r="L769" s="1003"/>
      <c r="M769" s="1003"/>
      <c r="N769" s="1003"/>
      <c r="O769" s="1003"/>
      <c r="P769" s="1003"/>
      <c r="Q769" s="1003"/>
    </row>
    <row r="770" spans="3:17" ht="15.75" customHeight="1">
      <c r="C770" s="1003"/>
      <c r="D770" s="1003"/>
      <c r="E770" s="1003"/>
      <c r="F770" s="1003"/>
      <c r="G770" s="1003"/>
      <c r="H770" s="1003"/>
      <c r="I770" s="1003"/>
      <c r="J770" s="1003"/>
      <c r="K770" s="1003"/>
      <c r="L770" s="1003"/>
      <c r="M770" s="1003"/>
      <c r="N770" s="1003"/>
      <c r="O770" s="1003"/>
      <c r="P770" s="1003"/>
      <c r="Q770" s="1003"/>
    </row>
    <row r="771" spans="3:17" ht="15.75" customHeight="1">
      <c r="C771" s="1003"/>
      <c r="D771" s="1003"/>
      <c r="E771" s="1003"/>
      <c r="F771" s="1003"/>
      <c r="G771" s="1003"/>
      <c r="H771" s="1003"/>
      <c r="I771" s="1003"/>
      <c r="J771" s="1003"/>
      <c r="K771" s="1003"/>
      <c r="L771" s="1003"/>
      <c r="M771" s="1003"/>
      <c r="N771" s="1003"/>
      <c r="O771" s="1003"/>
      <c r="P771" s="1003"/>
      <c r="Q771" s="1003"/>
    </row>
    <row r="772" spans="3:17" ht="15.75" customHeight="1">
      <c r="C772" s="1003"/>
      <c r="D772" s="1003"/>
      <c r="E772" s="1003"/>
      <c r="F772" s="1003"/>
      <c r="G772" s="1003"/>
      <c r="H772" s="1003"/>
      <c r="I772" s="1003"/>
      <c r="J772" s="1003"/>
      <c r="K772" s="1003"/>
      <c r="L772" s="1003"/>
      <c r="M772" s="1003"/>
      <c r="N772" s="1003"/>
      <c r="O772" s="1003"/>
      <c r="P772" s="1003"/>
      <c r="Q772" s="1003"/>
    </row>
    <row r="773" spans="3:17" ht="15.75" customHeight="1">
      <c r="C773" s="1003"/>
      <c r="D773" s="1003"/>
      <c r="E773" s="1003"/>
      <c r="F773" s="1003"/>
      <c r="G773" s="1003"/>
      <c r="H773" s="1003"/>
      <c r="I773" s="1003"/>
      <c r="J773" s="1003"/>
      <c r="K773" s="1003"/>
      <c r="L773" s="1003"/>
      <c r="M773" s="1003"/>
      <c r="N773" s="1003"/>
      <c r="O773" s="1003"/>
      <c r="P773" s="1003"/>
      <c r="Q773" s="1003"/>
    </row>
    <row r="774" spans="3:17" ht="15.75" customHeight="1">
      <c r="C774" s="1003"/>
      <c r="D774" s="1003"/>
      <c r="E774" s="1003"/>
      <c r="F774" s="1003"/>
      <c r="G774" s="1003"/>
      <c r="H774" s="1003"/>
      <c r="I774" s="1003"/>
      <c r="J774" s="1003"/>
      <c r="K774" s="1003"/>
      <c r="L774" s="1003"/>
      <c r="M774" s="1003"/>
      <c r="N774" s="1003"/>
      <c r="O774" s="1003"/>
      <c r="P774" s="1003"/>
      <c r="Q774" s="1003"/>
    </row>
    <row r="775" spans="3:17" ht="15.75" customHeight="1">
      <c r="C775" s="1003"/>
      <c r="D775" s="1003"/>
      <c r="E775" s="1003"/>
      <c r="F775" s="1003"/>
      <c r="G775" s="1003"/>
      <c r="H775" s="1003"/>
      <c r="I775" s="1003"/>
      <c r="J775" s="1003"/>
      <c r="K775" s="1003"/>
      <c r="L775" s="1003"/>
      <c r="M775" s="1003"/>
      <c r="N775" s="1003"/>
      <c r="O775" s="1003"/>
      <c r="P775" s="1003"/>
      <c r="Q775" s="1003"/>
    </row>
    <row r="776" spans="3:17" ht="15.75" customHeight="1">
      <c r="C776" s="1003"/>
      <c r="D776" s="1003"/>
      <c r="E776" s="1003"/>
      <c r="F776" s="1003"/>
      <c r="G776" s="1003"/>
      <c r="H776" s="1003"/>
      <c r="I776" s="1003"/>
      <c r="J776" s="1003"/>
      <c r="K776" s="1003"/>
      <c r="L776" s="1003"/>
      <c r="M776" s="1003"/>
      <c r="N776" s="1003"/>
      <c r="O776" s="1003"/>
      <c r="P776" s="1003"/>
      <c r="Q776" s="1003"/>
    </row>
    <row r="777" spans="3:17" ht="15.75" customHeight="1">
      <c r="C777" s="1003"/>
      <c r="D777" s="1003"/>
      <c r="E777" s="1003"/>
      <c r="F777" s="1003"/>
      <c r="G777" s="1003"/>
      <c r="H777" s="1003"/>
      <c r="I777" s="1003"/>
      <c r="J777" s="1003"/>
      <c r="K777" s="1003"/>
      <c r="L777" s="1003"/>
      <c r="M777" s="1003"/>
      <c r="N777" s="1003"/>
      <c r="O777" s="1003"/>
      <c r="P777" s="1003"/>
      <c r="Q777" s="1003"/>
    </row>
    <row r="778" spans="3:17" ht="15.75" customHeight="1">
      <c r="C778" s="1003"/>
      <c r="D778" s="1003"/>
      <c r="E778" s="1003"/>
      <c r="F778" s="1003"/>
      <c r="G778" s="1003"/>
      <c r="H778" s="1003"/>
      <c r="I778" s="1003"/>
      <c r="J778" s="1003"/>
      <c r="K778" s="1003"/>
      <c r="L778" s="1003"/>
      <c r="M778" s="1003"/>
      <c r="N778" s="1003"/>
      <c r="O778" s="1003"/>
      <c r="P778" s="1003"/>
      <c r="Q778" s="1003"/>
    </row>
    <row r="779" spans="3:17" ht="15.75" customHeight="1">
      <c r="C779" s="1003"/>
      <c r="D779" s="1003"/>
      <c r="E779" s="1003"/>
      <c r="F779" s="1003"/>
      <c r="G779" s="1003"/>
      <c r="H779" s="1003"/>
      <c r="I779" s="1003"/>
      <c r="J779" s="1003"/>
      <c r="K779" s="1003"/>
      <c r="L779" s="1003"/>
      <c r="M779" s="1003"/>
      <c r="N779" s="1003"/>
      <c r="O779" s="1003"/>
      <c r="P779" s="1003"/>
      <c r="Q779" s="1003"/>
    </row>
    <row r="780" spans="3:17" ht="15.75" customHeight="1">
      <c r="C780" s="1003"/>
      <c r="D780" s="1003"/>
      <c r="E780" s="1003"/>
      <c r="F780" s="1003"/>
      <c r="G780" s="1003"/>
      <c r="H780" s="1003"/>
      <c r="I780" s="1003"/>
      <c r="J780" s="1003"/>
      <c r="K780" s="1003"/>
      <c r="L780" s="1003"/>
      <c r="M780" s="1003"/>
      <c r="N780" s="1003"/>
      <c r="O780" s="1003"/>
      <c r="P780" s="1003"/>
      <c r="Q780" s="1003"/>
    </row>
    <row r="781" spans="3:17" ht="15.75" customHeight="1">
      <c r="C781" s="1003"/>
      <c r="D781" s="1003"/>
      <c r="E781" s="1003"/>
      <c r="F781" s="1003"/>
      <c r="G781" s="1003"/>
      <c r="H781" s="1003"/>
      <c r="I781" s="1003"/>
      <c r="J781" s="1003"/>
      <c r="K781" s="1003"/>
      <c r="L781" s="1003"/>
      <c r="M781" s="1003"/>
      <c r="N781" s="1003"/>
      <c r="O781" s="1003"/>
      <c r="P781" s="1003"/>
      <c r="Q781" s="1003"/>
    </row>
    <row r="782" spans="3:17" ht="15.75" customHeight="1">
      <c r="C782" s="1003"/>
      <c r="D782" s="1003"/>
      <c r="E782" s="1003"/>
      <c r="F782" s="1003"/>
      <c r="G782" s="1003"/>
      <c r="H782" s="1003"/>
      <c r="I782" s="1003"/>
      <c r="J782" s="1003"/>
      <c r="K782" s="1003"/>
      <c r="L782" s="1003"/>
      <c r="M782" s="1003"/>
      <c r="N782" s="1003"/>
      <c r="O782" s="1003"/>
      <c r="P782" s="1003"/>
      <c r="Q782" s="1003"/>
    </row>
    <row r="783" spans="3:17" ht="15.75" customHeight="1">
      <c r="C783" s="1003"/>
      <c r="D783" s="1003"/>
      <c r="E783" s="1003"/>
      <c r="F783" s="1003"/>
      <c r="G783" s="1003"/>
      <c r="H783" s="1003"/>
      <c r="I783" s="1003"/>
      <c r="J783" s="1003"/>
      <c r="K783" s="1003"/>
      <c r="L783" s="1003"/>
      <c r="M783" s="1003"/>
      <c r="N783" s="1003"/>
      <c r="O783" s="1003"/>
      <c r="P783" s="1003"/>
      <c r="Q783" s="1003"/>
    </row>
    <row r="784" spans="3:17" ht="15.75" customHeight="1">
      <c r="C784" s="1003"/>
      <c r="D784" s="1003"/>
      <c r="E784" s="1003"/>
      <c r="F784" s="1003"/>
      <c r="G784" s="1003"/>
      <c r="H784" s="1003"/>
      <c r="I784" s="1003"/>
      <c r="J784" s="1003"/>
      <c r="K784" s="1003"/>
      <c r="L784" s="1003"/>
      <c r="M784" s="1003"/>
      <c r="N784" s="1003"/>
      <c r="O784" s="1003"/>
      <c r="P784" s="1003"/>
      <c r="Q784" s="1003"/>
    </row>
    <row r="785" spans="3:17" ht="15.75" customHeight="1">
      <c r="C785" s="1003"/>
      <c r="D785" s="1003"/>
      <c r="E785" s="1003"/>
      <c r="F785" s="1003"/>
      <c r="G785" s="1003"/>
      <c r="H785" s="1003"/>
      <c r="I785" s="1003"/>
      <c r="J785" s="1003"/>
      <c r="K785" s="1003"/>
      <c r="L785" s="1003"/>
      <c r="M785" s="1003"/>
      <c r="N785" s="1003"/>
      <c r="O785" s="1003"/>
      <c r="P785" s="1003"/>
      <c r="Q785" s="1003"/>
    </row>
    <row r="786" spans="3:17" ht="15.75" customHeight="1">
      <c r="C786" s="1003"/>
      <c r="D786" s="1003"/>
      <c r="E786" s="1003"/>
      <c r="F786" s="1003"/>
      <c r="G786" s="1003"/>
      <c r="H786" s="1003"/>
      <c r="I786" s="1003"/>
      <c r="J786" s="1003"/>
      <c r="K786" s="1003"/>
      <c r="L786" s="1003"/>
      <c r="M786" s="1003"/>
      <c r="N786" s="1003"/>
      <c r="O786" s="1003"/>
      <c r="P786" s="1003"/>
      <c r="Q786" s="1003"/>
    </row>
    <row r="787" spans="3:17" ht="15.75" customHeight="1">
      <c r="C787" s="1003"/>
      <c r="D787" s="1003"/>
      <c r="E787" s="1003"/>
      <c r="F787" s="1003"/>
      <c r="G787" s="1003"/>
      <c r="H787" s="1003"/>
      <c r="I787" s="1003"/>
      <c r="J787" s="1003"/>
      <c r="K787" s="1003"/>
      <c r="L787" s="1003"/>
      <c r="M787" s="1003"/>
      <c r="N787" s="1003"/>
      <c r="O787" s="1003"/>
      <c r="P787" s="1003"/>
      <c r="Q787" s="1003"/>
    </row>
    <row r="788" spans="3:17" ht="15.75" customHeight="1">
      <c r="C788" s="1003"/>
      <c r="D788" s="1003"/>
      <c r="E788" s="1003"/>
      <c r="F788" s="1003"/>
      <c r="G788" s="1003"/>
      <c r="H788" s="1003"/>
      <c r="I788" s="1003"/>
      <c r="J788" s="1003"/>
      <c r="K788" s="1003"/>
      <c r="L788" s="1003"/>
      <c r="M788" s="1003"/>
      <c r="N788" s="1003"/>
      <c r="O788" s="1003"/>
      <c r="P788" s="1003"/>
      <c r="Q788" s="1003"/>
    </row>
    <row r="789" spans="3:17" ht="15.75" customHeight="1">
      <c r="C789" s="1003"/>
      <c r="D789" s="1003"/>
      <c r="E789" s="1003"/>
      <c r="F789" s="1003"/>
      <c r="G789" s="1003"/>
      <c r="H789" s="1003"/>
      <c r="I789" s="1003"/>
      <c r="J789" s="1003"/>
      <c r="K789" s="1003"/>
      <c r="L789" s="1003"/>
      <c r="M789" s="1003"/>
      <c r="N789" s="1003"/>
      <c r="O789" s="1003"/>
      <c r="P789" s="1003"/>
      <c r="Q789" s="1003"/>
    </row>
    <row r="790" spans="3:17" ht="15.75" customHeight="1">
      <c r="C790" s="1003"/>
      <c r="D790" s="1003"/>
      <c r="E790" s="1003"/>
      <c r="F790" s="1003"/>
      <c r="G790" s="1003"/>
      <c r="H790" s="1003"/>
      <c r="I790" s="1003"/>
      <c r="J790" s="1003"/>
      <c r="K790" s="1003"/>
      <c r="L790" s="1003"/>
      <c r="M790" s="1003"/>
      <c r="N790" s="1003"/>
      <c r="O790" s="1003"/>
      <c r="P790" s="1003"/>
      <c r="Q790" s="1003"/>
    </row>
    <row r="791" spans="3:17" ht="15.75" customHeight="1">
      <c r="C791" s="1003"/>
      <c r="D791" s="1003"/>
      <c r="E791" s="1003"/>
      <c r="F791" s="1003"/>
      <c r="G791" s="1003"/>
      <c r="H791" s="1003"/>
      <c r="I791" s="1003"/>
      <c r="J791" s="1003"/>
      <c r="K791" s="1003"/>
      <c r="L791" s="1003"/>
      <c r="M791" s="1003"/>
      <c r="N791" s="1003"/>
      <c r="O791" s="1003"/>
      <c r="P791" s="1003"/>
      <c r="Q791" s="1003"/>
    </row>
    <row r="792" spans="3:17" ht="15.75" customHeight="1">
      <c r="C792" s="1003"/>
      <c r="D792" s="1003"/>
      <c r="E792" s="1003"/>
      <c r="F792" s="1003"/>
      <c r="G792" s="1003"/>
      <c r="H792" s="1003"/>
      <c r="I792" s="1003"/>
      <c r="J792" s="1003"/>
      <c r="K792" s="1003"/>
      <c r="L792" s="1003"/>
      <c r="M792" s="1003"/>
      <c r="N792" s="1003"/>
      <c r="O792" s="1003"/>
      <c r="P792" s="1003"/>
      <c r="Q792" s="1003"/>
    </row>
    <row r="793" spans="3:17" ht="15.75" customHeight="1">
      <c r="C793" s="1003"/>
      <c r="D793" s="1003"/>
      <c r="E793" s="1003"/>
      <c r="F793" s="1003"/>
      <c r="G793" s="1003"/>
      <c r="H793" s="1003"/>
      <c r="I793" s="1003"/>
      <c r="J793" s="1003"/>
      <c r="K793" s="1003"/>
      <c r="L793" s="1003"/>
      <c r="M793" s="1003"/>
      <c r="N793" s="1003"/>
      <c r="O793" s="1003"/>
      <c r="P793" s="1003"/>
      <c r="Q793" s="1003"/>
    </row>
    <row r="794" spans="3:17" ht="15.75" customHeight="1">
      <c r="C794" s="1003"/>
      <c r="D794" s="1003"/>
      <c r="E794" s="1003"/>
      <c r="F794" s="1003"/>
      <c r="G794" s="1003"/>
      <c r="H794" s="1003"/>
      <c r="I794" s="1003"/>
      <c r="J794" s="1003"/>
      <c r="K794" s="1003"/>
      <c r="L794" s="1003"/>
      <c r="M794" s="1003"/>
      <c r="N794" s="1003"/>
      <c r="O794" s="1003"/>
      <c r="P794" s="1003"/>
      <c r="Q794" s="1003"/>
    </row>
    <row r="795" spans="3:17" ht="15.75" customHeight="1">
      <c r="C795" s="1003"/>
      <c r="D795" s="1003"/>
      <c r="E795" s="1003"/>
      <c r="F795" s="1003"/>
      <c r="G795" s="1003"/>
      <c r="H795" s="1003"/>
      <c r="I795" s="1003"/>
      <c r="J795" s="1003"/>
      <c r="K795" s="1003"/>
      <c r="L795" s="1003"/>
      <c r="M795" s="1003"/>
      <c r="N795" s="1003"/>
      <c r="O795" s="1003"/>
      <c r="P795" s="1003"/>
      <c r="Q795" s="1003"/>
    </row>
    <row r="796" spans="3:17" ht="15.75" customHeight="1">
      <c r="C796" s="1003"/>
      <c r="D796" s="1003"/>
      <c r="E796" s="1003"/>
      <c r="F796" s="1003"/>
      <c r="G796" s="1003"/>
      <c r="H796" s="1003"/>
      <c r="I796" s="1003"/>
      <c r="J796" s="1003"/>
      <c r="K796" s="1003"/>
      <c r="L796" s="1003"/>
      <c r="M796" s="1003"/>
      <c r="N796" s="1003"/>
      <c r="O796" s="1003"/>
      <c r="P796" s="1003"/>
      <c r="Q796" s="1003"/>
    </row>
    <row r="797" spans="3:17" ht="15.75" customHeight="1">
      <c r="C797" s="1003"/>
      <c r="D797" s="1003"/>
      <c r="E797" s="1003"/>
      <c r="F797" s="1003"/>
      <c r="G797" s="1003"/>
      <c r="H797" s="1003"/>
      <c r="I797" s="1003"/>
      <c r="J797" s="1003"/>
      <c r="K797" s="1003"/>
      <c r="L797" s="1003"/>
      <c r="M797" s="1003"/>
      <c r="N797" s="1003"/>
      <c r="O797" s="1003"/>
      <c r="P797" s="1003"/>
      <c r="Q797" s="1003"/>
    </row>
    <row r="798" spans="3:17" ht="15.75" customHeight="1">
      <c r="C798" s="1003"/>
      <c r="D798" s="1003"/>
      <c r="E798" s="1003"/>
      <c r="F798" s="1003"/>
      <c r="G798" s="1003"/>
      <c r="H798" s="1003"/>
      <c r="I798" s="1003"/>
      <c r="J798" s="1003"/>
      <c r="K798" s="1003"/>
      <c r="L798" s="1003"/>
      <c r="M798" s="1003"/>
      <c r="N798" s="1003"/>
      <c r="O798" s="1003"/>
      <c r="P798" s="1003"/>
      <c r="Q798" s="1003"/>
    </row>
    <row r="799" spans="3:17" ht="15.75" customHeight="1">
      <c r="C799" s="1003"/>
      <c r="D799" s="1003"/>
      <c r="E799" s="1003"/>
      <c r="F799" s="1003"/>
      <c r="G799" s="1003"/>
      <c r="H799" s="1003"/>
      <c r="I799" s="1003"/>
      <c r="J799" s="1003"/>
      <c r="K799" s="1003"/>
      <c r="L799" s="1003"/>
      <c r="M799" s="1003"/>
      <c r="N799" s="1003"/>
      <c r="O799" s="1003"/>
      <c r="P799" s="1003"/>
      <c r="Q799" s="1003"/>
    </row>
    <row r="800" spans="3:17" ht="15.75" customHeight="1">
      <c r="C800" s="1003"/>
      <c r="D800" s="1003"/>
      <c r="E800" s="1003"/>
      <c r="F800" s="1003"/>
      <c r="G800" s="1003"/>
      <c r="H800" s="1003"/>
      <c r="I800" s="1003"/>
      <c r="J800" s="1003"/>
      <c r="K800" s="1003"/>
      <c r="L800" s="1003"/>
      <c r="M800" s="1003"/>
      <c r="N800" s="1003"/>
      <c r="O800" s="1003"/>
      <c r="P800" s="1003"/>
      <c r="Q800" s="1003"/>
    </row>
    <row r="801" spans="3:17" ht="15.75" customHeight="1">
      <c r="C801" s="1003"/>
      <c r="D801" s="1003"/>
      <c r="E801" s="1003"/>
      <c r="F801" s="1003"/>
      <c r="G801" s="1003"/>
      <c r="H801" s="1003"/>
      <c r="I801" s="1003"/>
      <c r="J801" s="1003"/>
      <c r="K801" s="1003"/>
      <c r="L801" s="1003"/>
      <c r="M801" s="1003"/>
      <c r="N801" s="1003"/>
      <c r="O801" s="1003"/>
      <c r="P801" s="1003"/>
      <c r="Q801" s="1003"/>
    </row>
    <row r="802" spans="3:17" ht="15.75" customHeight="1">
      <c r="C802" s="1003"/>
      <c r="D802" s="1003"/>
      <c r="E802" s="1003"/>
      <c r="F802" s="1003"/>
      <c r="G802" s="1003"/>
      <c r="H802" s="1003"/>
      <c r="I802" s="1003"/>
      <c r="J802" s="1003"/>
      <c r="K802" s="1003"/>
      <c r="L802" s="1003"/>
      <c r="M802" s="1003"/>
      <c r="N802" s="1003"/>
      <c r="O802" s="1003"/>
      <c r="P802" s="1003"/>
      <c r="Q802" s="1003"/>
    </row>
    <row r="803" spans="3:17" ht="15.75" customHeight="1">
      <c r="C803" s="1003"/>
      <c r="D803" s="1003"/>
      <c r="E803" s="1003"/>
      <c r="F803" s="1003"/>
      <c r="G803" s="1003"/>
      <c r="H803" s="1003"/>
      <c r="I803" s="1003"/>
      <c r="J803" s="1003"/>
      <c r="K803" s="1003"/>
      <c r="L803" s="1003"/>
      <c r="M803" s="1003"/>
      <c r="N803" s="1003"/>
      <c r="O803" s="1003"/>
      <c r="P803" s="1003"/>
      <c r="Q803" s="1003"/>
    </row>
    <row r="804" spans="3:17" ht="15.75" customHeight="1">
      <c r="C804" s="1003"/>
      <c r="D804" s="1003"/>
      <c r="E804" s="1003"/>
      <c r="F804" s="1003"/>
      <c r="G804" s="1003"/>
      <c r="H804" s="1003"/>
      <c r="I804" s="1003"/>
      <c r="J804" s="1003"/>
      <c r="K804" s="1003"/>
      <c r="L804" s="1003"/>
      <c r="M804" s="1003"/>
      <c r="N804" s="1003"/>
      <c r="O804" s="1003"/>
      <c r="P804" s="1003"/>
      <c r="Q804" s="1003"/>
    </row>
    <row r="805" spans="3:17" ht="15.75" customHeight="1">
      <c r="C805" s="1003"/>
      <c r="D805" s="1003"/>
      <c r="E805" s="1003"/>
      <c r="F805" s="1003"/>
      <c r="G805" s="1003"/>
      <c r="H805" s="1003"/>
      <c r="I805" s="1003"/>
      <c r="J805" s="1003"/>
      <c r="K805" s="1003"/>
      <c r="L805" s="1003"/>
      <c r="M805" s="1003"/>
      <c r="N805" s="1003"/>
      <c r="O805" s="1003"/>
      <c r="P805" s="1003"/>
      <c r="Q805" s="1003"/>
    </row>
    <row r="806" spans="3:17" ht="15.75" customHeight="1">
      <c r="C806" s="1003"/>
      <c r="D806" s="1003"/>
      <c r="E806" s="1003"/>
      <c r="F806" s="1003"/>
      <c r="G806" s="1003"/>
      <c r="H806" s="1003"/>
      <c r="I806" s="1003"/>
      <c r="J806" s="1003"/>
      <c r="K806" s="1003"/>
      <c r="L806" s="1003"/>
      <c r="M806" s="1003"/>
      <c r="N806" s="1003"/>
      <c r="O806" s="1003"/>
      <c r="P806" s="1003"/>
      <c r="Q806" s="1003"/>
    </row>
    <row r="807" spans="3:17" ht="15.75" customHeight="1">
      <c r="C807" s="1003"/>
      <c r="D807" s="1003"/>
      <c r="E807" s="1003"/>
      <c r="F807" s="1003"/>
      <c r="G807" s="1003"/>
      <c r="H807" s="1003"/>
      <c r="I807" s="1003"/>
      <c r="J807" s="1003"/>
      <c r="K807" s="1003"/>
      <c r="L807" s="1003"/>
      <c r="M807" s="1003"/>
      <c r="N807" s="1003"/>
      <c r="O807" s="1003"/>
      <c r="P807" s="1003"/>
      <c r="Q807" s="1003"/>
    </row>
    <row r="808" spans="3:17" ht="15.75" customHeight="1">
      <c r="C808" s="1003"/>
      <c r="D808" s="1003"/>
      <c r="E808" s="1003"/>
      <c r="F808" s="1003"/>
      <c r="G808" s="1003"/>
      <c r="H808" s="1003"/>
      <c r="I808" s="1003"/>
      <c r="J808" s="1003"/>
      <c r="K808" s="1003"/>
      <c r="L808" s="1003"/>
      <c r="M808" s="1003"/>
      <c r="N808" s="1003"/>
      <c r="O808" s="1003"/>
      <c r="P808" s="1003"/>
      <c r="Q808" s="1003"/>
    </row>
    <row r="809" spans="3:17" ht="15.75" customHeight="1">
      <c r="C809" s="1003"/>
      <c r="D809" s="1003"/>
      <c r="E809" s="1003"/>
      <c r="F809" s="1003"/>
      <c r="G809" s="1003"/>
      <c r="H809" s="1003"/>
      <c r="I809" s="1003"/>
      <c r="J809" s="1003"/>
      <c r="K809" s="1003"/>
      <c r="L809" s="1003"/>
      <c r="M809" s="1003"/>
      <c r="N809" s="1003"/>
      <c r="O809" s="1003"/>
      <c r="P809" s="1003"/>
      <c r="Q809" s="1003"/>
    </row>
    <row r="810" spans="3:17" ht="15.75" customHeight="1">
      <c r="C810" s="1003"/>
      <c r="D810" s="1003"/>
      <c r="E810" s="1003"/>
      <c r="F810" s="1003"/>
      <c r="G810" s="1003"/>
      <c r="H810" s="1003"/>
      <c r="I810" s="1003"/>
      <c r="J810" s="1003"/>
      <c r="K810" s="1003"/>
      <c r="L810" s="1003"/>
      <c r="M810" s="1003"/>
      <c r="N810" s="1003"/>
      <c r="O810" s="1003"/>
      <c r="P810" s="1003"/>
      <c r="Q810" s="1003"/>
    </row>
    <row r="811" spans="3:17" ht="15.75" customHeight="1">
      <c r="C811" s="1003"/>
      <c r="D811" s="1003"/>
      <c r="E811" s="1003"/>
      <c r="F811" s="1003"/>
      <c r="G811" s="1003"/>
      <c r="H811" s="1003"/>
      <c r="I811" s="1003"/>
      <c r="J811" s="1003"/>
      <c r="K811" s="1003"/>
      <c r="L811" s="1003"/>
      <c r="M811" s="1003"/>
      <c r="N811" s="1003"/>
      <c r="O811" s="1003"/>
      <c r="P811" s="1003"/>
      <c r="Q811" s="1003"/>
    </row>
    <row r="812" spans="3:17" ht="15.75" customHeight="1">
      <c r="C812" s="1003"/>
      <c r="D812" s="1003"/>
      <c r="E812" s="1003"/>
      <c r="F812" s="1003"/>
      <c r="G812" s="1003"/>
      <c r="H812" s="1003"/>
      <c r="I812" s="1003"/>
      <c r="J812" s="1003"/>
      <c r="K812" s="1003"/>
      <c r="L812" s="1003"/>
      <c r="M812" s="1003"/>
      <c r="N812" s="1003"/>
      <c r="O812" s="1003"/>
      <c r="P812" s="1003"/>
      <c r="Q812" s="1003"/>
    </row>
    <row r="813" spans="3:17" ht="15.75" customHeight="1">
      <c r="C813" s="1003"/>
      <c r="D813" s="1003"/>
      <c r="E813" s="1003"/>
      <c r="F813" s="1003"/>
      <c r="G813" s="1003"/>
      <c r="H813" s="1003"/>
      <c r="I813" s="1003"/>
      <c r="J813" s="1003"/>
      <c r="K813" s="1003"/>
      <c r="L813" s="1003"/>
      <c r="M813" s="1003"/>
      <c r="N813" s="1003"/>
      <c r="O813" s="1003"/>
      <c r="P813" s="1003"/>
      <c r="Q813" s="1003"/>
    </row>
    <row r="814" spans="3:17" ht="15.75" customHeight="1">
      <c r="C814" s="1003"/>
      <c r="D814" s="1003"/>
      <c r="E814" s="1003"/>
      <c r="F814" s="1003"/>
      <c r="G814" s="1003"/>
      <c r="H814" s="1003"/>
      <c r="I814" s="1003"/>
      <c r="J814" s="1003"/>
      <c r="K814" s="1003"/>
      <c r="L814" s="1003"/>
      <c r="M814" s="1003"/>
      <c r="N814" s="1003"/>
      <c r="O814" s="1003"/>
      <c r="P814" s="1003"/>
      <c r="Q814" s="1003"/>
    </row>
    <row r="815" spans="3:17" ht="15.75" customHeight="1">
      <c r="C815" s="1003"/>
      <c r="D815" s="1003"/>
      <c r="E815" s="1003"/>
      <c r="F815" s="1003"/>
      <c r="G815" s="1003"/>
      <c r="H815" s="1003"/>
      <c r="I815" s="1003"/>
      <c r="J815" s="1003"/>
      <c r="K815" s="1003"/>
      <c r="L815" s="1003"/>
      <c r="M815" s="1003"/>
      <c r="N815" s="1003"/>
      <c r="O815" s="1003"/>
      <c r="P815" s="1003"/>
      <c r="Q815" s="1003"/>
    </row>
    <row r="816" spans="3:17" ht="15.75" customHeight="1">
      <c r="C816" s="1003"/>
      <c r="D816" s="1003"/>
      <c r="E816" s="1003"/>
      <c r="F816" s="1003"/>
      <c r="G816" s="1003"/>
      <c r="H816" s="1003"/>
      <c r="I816" s="1003"/>
      <c r="J816" s="1003"/>
      <c r="K816" s="1003"/>
      <c r="L816" s="1003"/>
      <c r="M816" s="1003"/>
      <c r="N816" s="1003"/>
      <c r="O816" s="1003"/>
      <c r="P816" s="1003"/>
      <c r="Q816" s="1003"/>
    </row>
    <row r="817" spans="3:17" ht="15.75" customHeight="1">
      <c r="C817" s="1003"/>
      <c r="D817" s="1003"/>
      <c r="E817" s="1003"/>
      <c r="F817" s="1003"/>
      <c r="G817" s="1003"/>
      <c r="H817" s="1003"/>
      <c r="I817" s="1003"/>
      <c r="J817" s="1003"/>
      <c r="K817" s="1003"/>
      <c r="L817" s="1003"/>
      <c r="M817" s="1003"/>
      <c r="N817" s="1003"/>
      <c r="O817" s="1003"/>
      <c r="P817" s="1003"/>
      <c r="Q817" s="1003"/>
    </row>
    <row r="818" spans="3:17" ht="15.75" customHeight="1">
      <c r="C818" s="1003"/>
      <c r="D818" s="1003"/>
      <c r="E818" s="1003"/>
      <c r="F818" s="1003"/>
      <c r="G818" s="1003"/>
      <c r="H818" s="1003"/>
      <c r="I818" s="1003"/>
      <c r="J818" s="1003"/>
      <c r="K818" s="1003"/>
      <c r="L818" s="1003"/>
      <c r="M818" s="1003"/>
      <c r="N818" s="1003"/>
      <c r="O818" s="1003"/>
      <c r="P818" s="1003"/>
      <c r="Q818" s="1003"/>
    </row>
    <row r="819" spans="3:17" ht="15.75" customHeight="1">
      <c r="C819" s="1003"/>
      <c r="D819" s="1003"/>
      <c r="E819" s="1003"/>
      <c r="F819" s="1003"/>
      <c r="G819" s="1003"/>
      <c r="H819" s="1003"/>
      <c r="I819" s="1003"/>
      <c r="J819" s="1003"/>
      <c r="K819" s="1003"/>
      <c r="L819" s="1003"/>
      <c r="M819" s="1003"/>
      <c r="N819" s="1003"/>
      <c r="O819" s="1003"/>
      <c r="P819" s="1003"/>
      <c r="Q819" s="1003"/>
    </row>
    <row r="820" spans="3:17" ht="15.75" customHeight="1">
      <c r="C820" s="1003"/>
      <c r="D820" s="1003"/>
      <c r="E820" s="1003"/>
      <c r="F820" s="1003"/>
      <c r="G820" s="1003"/>
      <c r="H820" s="1003"/>
      <c r="I820" s="1003"/>
      <c r="J820" s="1003"/>
      <c r="K820" s="1003"/>
      <c r="L820" s="1003"/>
      <c r="M820" s="1003"/>
      <c r="N820" s="1003"/>
      <c r="O820" s="1003"/>
      <c r="P820" s="1003"/>
      <c r="Q820" s="1003"/>
    </row>
    <row r="821" spans="3:17" ht="15.75" customHeight="1">
      <c r="C821" s="1003"/>
      <c r="D821" s="1003"/>
      <c r="E821" s="1003"/>
      <c r="F821" s="1003"/>
      <c r="G821" s="1003"/>
      <c r="H821" s="1003"/>
      <c r="I821" s="1003"/>
      <c r="J821" s="1003"/>
      <c r="K821" s="1003"/>
      <c r="L821" s="1003"/>
      <c r="M821" s="1003"/>
      <c r="N821" s="1003"/>
      <c r="O821" s="1003"/>
      <c r="P821" s="1003"/>
      <c r="Q821" s="1003"/>
    </row>
    <row r="822" spans="3:17" ht="15.75" customHeight="1">
      <c r="C822" s="1003"/>
      <c r="D822" s="1003"/>
      <c r="E822" s="1003"/>
      <c r="F822" s="1003"/>
      <c r="G822" s="1003"/>
      <c r="H822" s="1003"/>
      <c r="I822" s="1003"/>
      <c r="J822" s="1003"/>
      <c r="K822" s="1003"/>
      <c r="L822" s="1003"/>
      <c r="M822" s="1003"/>
      <c r="N822" s="1003"/>
      <c r="O822" s="1003"/>
      <c r="P822" s="1003"/>
      <c r="Q822" s="1003"/>
    </row>
    <row r="823" spans="3:17" ht="15.75" customHeight="1">
      <c r="C823" s="1003"/>
      <c r="D823" s="1003"/>
      <c r="E823" s="1003"/>
      <c r="F823" s="1003"/>
      <c r="G823" s="1003"/>
      <c r="H823" s="1003"/>
      <c r="I823" s="1003"/>
      <c r="J823" s="1003"/>
      <c r="K823" s="1003"/>
      <c r="L823" s="1003"/>
      <c r="M823" s="1003"/>
      <c r="N823" s="1003"/>
      <c r="O823" s="1003"/>
      <c r="P823" s="1003"/>
      <c r="Q823" s="1003"/>
    </row>
    <row r="824" spans="3:17" ht="15.75" customHeight="1">
      <c r="C824" s="1003"/>
      <c r="D824" s="1003"/>
      <c r="E824" s="1003"/>
      <c r="F824" s="1003"/>
      <c r="G824" s="1003"/>
      <c r="H824" s="1003"/>
      <c r="I824" s="1003"/>
      <c r="J824" s="1003"/>
      <c r="K824" s="1003"/>
      <c r="L824" s="1003"/>
      <c r="M824" s="1003"/>
      <c r="N824" s="1003"/>
      <c r="O824" s="1003"/>
      <c r="P824" s="1003"/>
      <c r="Q824" s="1003"/>
    </row>
    <row r="825" spans="3:17" ht="15.75" customHeight="1">
      <c r="C825" s="1003"/>
      <c r="D825" s="1003"/>
      <c r="E825" s="1003"/>
      <c r="F825" s="1003"/>
      <c r="G825" s="1003"/>
      <c r="H825" s="1003"/>
      <c r="I825" s="1003"/>
      <c r="J825" s="1003"/>
      <c r="K825" s="1003"/>
      <c r="L825" s="1003"/>
      <c r="M825" s="1003"/>
      <c r="N825" s="1003"/>
      <c r="O825" s="1003"/>
      <c r="P825" s="1003"/>
      <c r="Q825" s="1003"/>
    </row>
    <row r="826" spans="3:17" ht="15.75" customHeight="1">
      <c r="C826" s="1003"/>
      <c r="D826" s="1003"/>
      <c r="E826" s="1003"/>
      <c r="F826" s="1003"/>
      <c r="G826" s="1003"/>
      <c r="H826" s="1003"/>
      <c r="I826" s="1003"/>
      <c r="J826" s="1003"/>
      <c r="K826" s="1003"/>
      <c r="L826" s="1003"/>
      <c r="M826" s="1003"/>
      <c r="N826" s="1003"/>
      <c r="O826" s="1003"/>
      <c r="P826" s="1003"/>
      <c r="Q826" s="1003"/>
    </row>
    <row r="827" spans="3:17" ht="15.75" customHeight="1">
      <c r="C827" s="1003"/>
      <c r="D827" s="1003"/>
      <c r="E827" s="1003"/>
      <c r="F827" s="1003"/>
      <c r="G827" s="1003"/>
      <c r="H827" s="1003"/>
      <c r="I827" s="1003"/>
      <c r="J827" s="1003"/>
      <c r="K827" s="1003"/>
      <c r="L827" s="1003"/>
      <c r="M827" s="1003"/>
      <c r="N827" s="1003"/>
      <c r="O827" s="1003"/>
      <c r="P827" s="1003"/>
      <c r="Q827" s="1003"/>
    </row>
    <row r="828" spans="3:17" ht="15.75" customHeight="1">
      <c r="C828" s="1003"/>
      <c r="D828" s="1003"/>
      <c r="E828" s="1003"/>
      <c r="F828" s="1003"/>
      <c r="G828" s="1003"/>
      <c r="H828" s="1003"/>
      <c r="I828" s="1003"/>
      <c r="J828" s="1003"/>
      <c r="K828" s="1003"/>
      <c r="L828" s="1003"/>
      <c r="M828" s="1003"/>
      <c r="N828" s="1003"/>
      <c r="O828" s="1003"/>
      <c r="P828" s="1003"/>
      <c r="Q828" s="1003"/>
    </row>
    <row r="829" spans="3:17" ht="15.75" customHeight="1">
      <c r="C829" s="1003"/>
      <c r="D829" s="1003"/>
      <c r="E829" s="1003"/>
      <c r="F829" s="1003"/>
      <c r="G829" s="1003"/>
      <c r="H829" s="1003"/>
      <c r="I829" s="1003"/>
      <c r="J829" s="1003"/>
      <c r="K829" s="1003"/>
      <c r="L829" s="1003"/>
      <c r="M829" s="1003"/>
      <c r="N829" s="1003"/>
      <c r="O829" s="1003"/>
      <c r="P829" s="1003"/>
      <c r="Q829" s="1003"/>
    </row>
    <row r="830" spans="3:17" ht="15.75" customHeight="1">
      <c r="C830" s="1003"/>
      <c r="D830" s="1003"/>
      <c r="E830" s="1003"/>
      <c r="F830" s="1003"/>
      <c r="G830" s="1003"/>
      <c r="H830" s="1003"/>
      <c r="I830" s="1003"/>
      <c r="J830" s="1003"/>
      <c r="K830" s="1003"/>
      <c r="L830" s="1003"/>
      <c r="M830" s="1003"/>
      <c r="N830" s="1003"/>
      <c r="O830" s="1003"/>
      <c r="P830" s="1003"/>
      <c r="Q830" s="1003"/>
    </row>
    <row r="831" spans="3:17" ht="15.75" customHeight="1">
      <c r="C831" s="1003"/>
      <c r="D831" s="1003"/>
      <c r="E831" s="1003"/>
      <c r="F831" s="1003"/>
      <c r="G831" s="1003"/>
      <c r="H831" s="1003"/>
      <c r="I831" s="1003"/>
      <c r="J831" s="1003"/>
      <c r="K831" s="1003"/>
      <c r="L831" s="1003"/>
      <c r="M831" s="1003"/>
      <c r="N831" s="1003"/>
      <c r="O831" s="1003"/>
      <c r="P831" s="1003"/>
      <c r="Q831" s="1003"/>
    </row>
    <row r="832" spans="3:17" ht="15.75" customHeight="1">
      <c r="C832" s="1003"/>
      <c r="D832" s="1003"/>
      <c r="E832" s="1003"/>
      <c r="F832" s="1003"/>
      <c r="G832" s="1003"/>
      <c r="H832" s="1003"/>
      <c r="I832" s="1003"/>
      <c r="J832" s="1003"/>
      <c r="K832" s="1003"/>
      <c r="L832" s="1003"/>
      <c r="M832" s="1003"/>
      <c r="N832" s="1003"/>
      <c r="O832" s="1003"/>
      <c r="P832" s="1003"/>
      <c r="Q832" s="1003"/>
    </row>
    <row r="833" spans="3:17" ht="15.75" customHeight="1">
      <c r="C833" s="1003"/>
      <c r="D833" s="1003"/>
      <c r="E833" s="1003"/>
      <c r="F833" s="1003"/>
      <c r="G833" s="1003"/>
      <c r="H833" s="1003"/>
      <c r="I833" s="1003"/>
      <c r="J833" s="1003"/>
      <c r="K833" s="1003"/>
      <c r="L833" s="1003"/>
      <c r="M833" s="1003"/>
      <c r="N833" s="1003"/>
      <c r="O833" s="1003"/>
      <c r="P833" s="1003"/>
      <c r="Q833" s="1003"/>
    </row>
    <row r="834" spans="3:17" ht="15.75" customHeight="1">
      <c r="C834" s="1003"/>
      <c r="D834" s="1003"/>
      <c r="E834" s="1003"/>
      <c r="F834" s="1003"/>
      <c r="G834" s="1003"/>
      <c r="H834" s="1003"/>
      <c r="I834" s="1003"/>
      <c r="J834" s="1003"/>
      <c r="K834" s="1003"/>
      <c r="L834" s="1003"/>
      <c r="M834" s="1003"/>
      <c r="N834" s="1003"/>
      <c r="O834" s="1003"/>
      <c r="P834" s="1003"/>
      <c r="Q834" s="1003"/>
    </row>
    <row r="835" spans="3:17" ht="15.75" customHeight="1">
      <c r="C835" s="1003"/>
      <c r="D835" s="1003"/>
      <c r="E835" s="1003"/>
      <c r="F835" s="1003"/>
      <c r="G835" s="1003"/>
      <c r="H835" s="1003"/>
      <c r="I835" s="1003"/>
      <c r="J835" s="1003"/>
      <c r="K835" s="1003"/>
      <c r="L835" s="1003"/>
      <c r="M835" s="1003"/>
      <c r="N835" s="1003"/>
      <c r="O835" s="1003"/>
      <c r="P835" s="1003"/>
      <c r="Q835" s="1003"/>
    </row>
    <row r="836" spans="3:17" ht="15.75" customHeight="1">
      <c r="C836" s="1003"/>
      <c r="D836" s="1003"/>
      <c r="E836" s="1003"/>
      <c r="F836" s="1003"/>
      <c r="G836" s="1003"/>
      <c r="H836" s="1003"/>
      <c r="I836" s="1003"/>
      <c r="J836" s="1003"/>
      <c r="K836" s="1003"/>
      <c r="L836" s="1003"/>
      <c r="M836" s="1003"/>
      <c r="N836" s="1003"/>
      <c r="O836" s="1003"/>
      <c r="P836" s="1003"/>
      <c r="Q836" s="1003"/>
    </row>
    <row r="837" spans="3:17" ht="15.75" customHeight="1">
      <c r="C837" s="1003"/>
      <c r="D837" s="1003"/>
      <c r="E837" s="1003"/>
      <c r="F837" s="1003"/>
      <c r="G837" s="1003"/>
      <c r="H837" s="1003"/>
      <c r="I837" s="1003"/>
      <c r="J837" s="1003"/>
      <c r="K837" s="1003"/>
      <c r="L837" s="1003"/>
      <c r="M837" s="1003"/>
      <c r="N837" s="1003"/>
      <c r="O837" s="1003"/>
      <c r="P837" s="1003"/>
      <c r="Q837" s="1003"/>
    </row>
    <row r="838" spans="3:17" ht="15.75" customHeight="1">
      <c r="C838" s="1003"/>
      <c r="D838" s="1003"/>
      <c r="E838" s="1003"/>
      <c r="F838" s="1003"/>
      <c r="G838" s="1003"/>
      <c r="H838" s="1003"/>
      <c r="I838" s="1003"/>
      <c r="J838" s="1003"/>
      <c r="K838" s="1003"/>
      <c r="L838" s="1003"/>
      <c r="M838" s="1003"/>
      <c r="N838" s="1003"/>
      <c r="O838" s="1003"/>
      <c r="P838" s="1003"/>
      <c r="Q838" s="1003"/>
    </row>
    <row r="839" spans="3:17" ht="15.75" customHeight="1">
      <c r="C839" s="1003"/>
      <c r="D839" s="1003"/>
      <c r="E839" s="1003"/>
      <c r="F839" s="1003"/>
      <c r="G839" s="1003"/>
      <c r="H839" s="1003"/>
      <c r="I839" s="1003"/>
      <c r="J839" s="1003"/>
      <c r="K839" s="1003"/>
      <c r="L839" s="1003"/>
      <c r="M839" s="1003"/>
      <c r="N839" s="1003"/>
      <c r="O839" s="1003"/>
      <c r="P839" s="1003"/>
      <c r="Q839" s="1003"/>
    </row>
    <row r="840" spans="3:17" ht="15.75" customHeight="1">
      <c r="C840" s="1003"/>
      <c r="D840" s="1003"/>
      <c r="E840" s="1003"/>
      <c r="F840" s="1003"/>
      <c r="G840" s="1003"/>
      <c r="H840" s="1003"/>
      <c r="I840" s="1003"/>
      <c r="J840" s="1003"/>
      <c r="K840" s="1003"/>
      <c r="L840" s="1003"/>
      <c r="M840" s="1003"/>
      <c r="N840" s="1003"/>
      <c r="O840" s="1003"/>
      <c r="P840" s="1003"/>
      <c r="Q840" s="1003"/>
    </row>
    <row r="841" spans="3:17" ht="15.75" customHeight="1">
      <c r="C841" s="1003"/>
      <c r="D841" s="1003"/>
      <c r="E841" s="1003"/>
      <c r="F841" s="1003"/>
      <c r="G841" s="1003"/>
      <c r="H841" s="1003"/>
      <c r="I841" s="1003"/>
      <c r="J841" s="1003"/>
      <c r="K841" s="1003"/>
      <c r="L841" s="1003"/>
      <c r="M841" s="1003"/>
      <c r="N841" s="1003"/>
      <c r="O841" s="1003"/>
      <c r="P841" s="1003"/>
      <c r="Q841" s="1003"/>
    </row>
    <row r="842" spans="3:17" ht="15.75" customHeight="1">
      <c r="C842" s="1003"/>
      <c r="D842" s="1003"/>
      <c r="E842" s="1003"/>
      <c r="F842" s="1003"/>
      <c r="G842" s="1003"/>
      <c r="H842" s="1003"/>
      <c r="I842" s="1003"/>
      <c r="J842" s="1003"/>
      <c r="K842" s="1003"/>
      <c r="L842" s="1003"/>
      <c r="M842" s="1003"/>
      <c r="N842" s="1003"/>
      <c r="O842" s="1003"/>
      <c r="P842" s="1003"/>
      <c r="Q842" s="1003"/>
    </row>
    <row r="843" spans="3:17" ht="15.75" customHeight="1">
      <c r="C843" s="1003"/>
      <c r="D843" s="1003"/>
      <c r="E843" s="1003"/>
      <c r="F843" s="1003"/>
      <c r="G843" s="1003"/>
      <c r="H843" s="1003"/>
      <c r="I843" s="1003"/>
      <c r="J843" s="1003"/>
      <c r="K843" s="1003"/>
      <c r="L843" s="1003"/>
      <c r="M843" s="1003"/>
      <c r="N843" s="1003"/>
      <c r="O843" s="1003"/>
      <c r="P843" s="1003"/>
      <c r="Q843" s="1003"/>
    </row>
    <row r="844" spans="3:17" ht="15.75" customHeight="1">
      <c r="C844" s="1003"/>
      <c r="D844" s="1003"/>
      <c r="E844" s="1003"/>
      <c r="F844" s="1003"/>
      <c r="G844" s="1003"/>
      <c r="H844" s="1003"/>
      <c r="I844" s="1003"/>
      <c r="J844" s="1003"/>
      <c r="K844" s="1003"/>
      <c r="L844" s="1003"/>
      <c r="M844" s="1003"/>
      <c r="N844" s="1003"/>
      <c r="O844" s="1003"/>
      <c r="P844" s="1003"/>
      <c r="Q844" s="1003"/>
    </row>
    <row r="845" spans="3:17" ht="15.75" customHeight="1">
      <c r="C845" s="1003"/>
      <c r="D845" s="1003"/>
      <c r="E845" s="1003"/>
      <c r="F845" s="1003"/>
      <c r="G845" s="1003"/>
      <c r="H845" s="1003"/>
      <c r="I845" s="1003"/>
      <c r="J845" s="1003"/>
      <c r="K845" s="1003"/>
      <c r="L845" s="1003"/>
      <c r="M845" s="1003"/>
      <c r="N845" s="1003"/>
      <c r="O845" s="1003"/>
      <c r="P845" s="1003"/>
      <c r="Q845" s="1003"/>
    </row>
    <row r="846" spans="3:17" ht="15.75" customHeight="1">
      <c r="C846" s="1003"/>
      <c r="D846" s="1003"/>
      <c r="E846" s="1003"/>
      <c r="F846" s="1003"/>
      <c r="G846" s="1003"/>
      <c r="H846" s="1003"/>
      <c r="I846" s="1003"/>
      <c r="J846" s="1003"/>
      <c r="K846" s="1003"/>
      <c r="L846" s="1003"/>
      <c r="M846" s="1003"/>
      <c r="N846" s="1003"/>
      <c r="O846" s="1003"/>
      <c r="P846" s="1003"/>
      <c r="Q846" s="1003"/>
    </row>
    <row r="847" spans="3:17" ht="15.75" customHeight="1">
      <c r="C847" s="1003"/>
      <c r="D847" s="1003"/>
      <c r="E847" s="1003"/>
      <c r="F847" s="1003"/>
      <c r="G847" s="1003"/>
      <c r="H847" s="1003"/>
      <c r="I847" s="1003"/>
      <c r="J847" s="1003"/>
      <c r="K847" s="1003"/>
      <c r="L847" s="1003"/>
      <c r="M847" s="1003"/>
      <c r="N847" s="1003"/>
      <c r="O847" s="1003"/>
      <c r="P847" s="1003"/>
      <c r="Q847" s="1003"/>
    </row>
    <row r="848" spans="3:17" ht="15.75" customHeight="1">
      <c r="C848" s="1003"/>
      <c r="D848" s="1003"/>
      <c r="E848" s="1003"/>
      <c r="F848" s="1003"/>
      <c r="G848" s="1003"/>
      <c r="H848" s="1003"/>
      <c r="I848" s="1003"/>
      <c r="J848" s="1003"/>
      <c r="K848" s="1003"/>
      <c r="L848" s="1003"/>
      <c r="M848" s="1003"/>
      <c r="N848" s="1003"/>
      <c r="O848" s="1003"/>
      <c r="P848" s="1003"/>
      <c r="Q848" s="1003"/>
    </row>
    <row r="849" spans="3:17" ht="15.75" customHeight="1">
      <c r="C849" s="1003"/>
      <c r="D849" s="1003"/>
      <c r="E849" s="1003"/>
      <c r="F849" s="1003"/>
      <c r="G849" s="1003"/>
      <c r="H849" s="1003"/>
      <c r="I849" s="1003"/>
      <c r="J849" s="1003"/>
      <c r="K849" s="1003"/>
      <c r="L849" s="1003"/>
      <c r="M849" s="1003"/>
      <c r="N849" s="1003"/>
      <c r="O849" s="1003"/>
      <c r="P849" s="1003"/>
      <c r="Q849" s="1003"/>
    </row>
    <row r="850" spans="3:17" ht="15.75" customHeight="1">
      <c r="C850" s="1003"/>
      <c r="D850" s="1003"/>
      <c r="E850" s="1003"/>
      <c r="F850" s="1003"/>
      <c r="G850" s="1003"/>
      <c r="H850" s="1003"/>
      <c r="I850" s="1003"/>
      <c r="J850" s="1003"/>
      <c r="K850" s="1003"/>
      <c r="L850" s="1003"/>
      <c r="M850" s="1003"/>
      <c r="N850" s="1003"/>
      <c r="O850" s="1003"/>
      <c r="P850" s="1003"/>
      <c r="Q850" s="1003"/>
    </row>
    <row r="851" spans="3:17" ht="15.75" customHeight="1">
      <c r="C851" s="1003"/>
      <c r="D851" s="1003"/>
      <c r="E851" s="1003"/>
      <c r="F851" s="1003"/>
      <c r="G851" s="1003"/>
      <c r="H851" s="1003"/>
      <c r="I851" s="1003"/>
      <c r="J851" s="1003"/>
      <c r="K851" s="1003"/>
      <c r="L851" s="1003"/>
      <c r="M851" s="1003"/>
      <c r="N851" s="1003"/>
      <c r="O851" s="1003"/>
      <c r="P851" s="1003"/>
      <c r="Q851" s="1003"/>
    </row>
    <row r="852" spans="3:17" ht="15.75" customHeight="1">
      <c r="C852" s="1003"/>
      <c r="D852" s="1003"/>
      <c r="E852" s="1003"/>
      <c r="F852" s="1003"/>
      <c r="G852" s="1003"/>
      <c r="H852" s="1003"/>
      <c r="I852" s="1003"/>
      <c r="J852" s="1003"/>
      <c r="K852" s="1003"/>
      <c r="L852" s="1003"/>
      <c r="M852" s="1003"/>
      <c r="N852" s="1003"/>
      <c r="O852" s="1003"/>
      <c r="P852" s="1003"/>
      <c r="Q852" s="1003"/>
    </row>
    <row r="853" spans="3:17" ht="15.75" customHeight="1">
      <c r="C853" s="1003"/>
      <c r="D853" s="1003"/>
      <c r="E853" s="1003"/>
      <c r="F853" s="1003"/>
      <c r="G853" s="1003"/>
      <c r="H853" s="1003"/>
      <c r="I853" s="1003"/>
      <c r="J853" s="1003"/>
      <c r="K853" s="1003"/>
      <c r="L853" s="1003"/>
      <c r="M853" s="1003"/>
      <c r="N853" s="1003"/>
      <c r="O853" s="1003"/>
      <c r="P853" s="1003"/>
      <c r="Q853" s="1003"/>
    </row>
    <row r="854" spans="3:17" ht="15.75" customHeight="1">
      <c r="C854" s="1003"/>
      <c r="D854" s="1003"/>
      <c r="E854" s="1003"/>
      <c r="F854" s="1003"/>
      <c r="G854" s="1003"/>
      <c r="H854" s="1003"/>
      <c r="I854" s="1003"/>
      <c r="J854" s="1003"/>
      <c r="K854" s="1003"/>
      <c r="L854" s="1003"/>
      <c r="M854" s="1003"/>
      <c r="N854" s="1003"/>
      <c r="O854" s="1003"/>
      <c r="P854" s="1003"/>
      <c r="Q854" s="1003"/>
    </row>
    <row r="855" spans="3:17" ht="15.75" customHeight="1">
      <c r="C855" s="1003"/>
      <c r="D855" s="1003"/>
      <c r="E855" s="1003"/>
      <c r="F855" s="1003"/>
      <c r="G855" s="1003"/>
      <c r="H855" s="1003"/>
      <c r="I855" s="1003"/>
      <c r="J855" s="1003"/>
      <c r="K855" s="1003"/>
      <c r="L855" s="1003"/>
      <c r="M855" s="1003"/>
      <c r="N855" s="1003"/>
      <c r="O855" s="1003"/>
      <c r="P855" s="1003"/>
      <c r="Q855" s="1003"/>
    </row>
    <row r="856" spans="3:17" ht="15.75" customHeight="1">
      <c r="C856" s="1003"/>
      <c r="D856" s="1003"/>
      <c r="E856" s="1003"/>
      <c r="F856" s="1003"/>
      <c r="G856" s="1003"/>
      <c r="H856" s="1003"/>
      <c r="I856" s="1003"/>
      <c r="J856" s="1003"/>
      <c r="K856" s="1003"/>
      <c r="L856" s="1003"/>
      <c r="M856" s="1003"/>
      <c r="N856" s="1003"/>
      <c r="O856" s="1003"/>
      <c r="P856" s="1003"/>
      <c r="Q856" s="1003"/>
    </row>
    <row r="857" spans="3:17" ht="15.75" customHeight="1">
      <c r="C857" s="1003"/>
      <c r="D857" s="1003"/>
      <c r="E857" s="1003"/>
      <c r="F857" s="1003"/>
      <c r="G857" s="1003"/>
      <c r="H857" s="1003"/>
      <c r="I857" s="1003"/>
      <c r="J857" s="1003"/>
      <c r="K857" s="1003"/>
      <c r="L857" s="1003"/>
      <c r="M857" s="1003"/>
      <c r="N857" s="1003"/>
      <c r="O857" s="1003"/>
      <c r="P857" s="1003"/>
      <c r="Q857" s="1003"/>
    </row>
    <row r="858" spans="3:17" ht="15.75" customHeight="1">
      <c r="C858" s="1003"/>
      <c r="D858" s="1003"/>
      <c r="E858" s="1003"/>
      <c r="F858" s="1003"/>
      <c r="G858" s="1003"/>
      <c r="H858" s="1003"/>
      <c r="I858" s="1003"/>
      <c r="J858" s="1003"/>
      <c r="K858" s="1003"/>
      <c r="L858" s="1003"/>
      <c r="M858" s="1003"/>
      <c r="N858" s="1003"/>
      <c r="O858" s="1003"/>
      <c r="P858" s="1003"/>
      <c r="Q858" s="1003"/>
    </row>
    <row r="859" spans="3:17" ht="15.75" customHeight="1">
      <c r="C859" s="1003"/>
      <c r="D859" s="1003"/>
      <c r="E859" s="1003"/>
      <c r="F859" s="1003"/>
      <c r="G859" s="1003"/>
      <c r="H859" s="1003"/>
      <c r="I859" s="1003"/>
      <c r="J859" s="1003"/>
      <c r="K859" s="1003"/>
      <c r="L859" s="1003"/>
      <c r="M859" s="1003"/>
      <c r="N859" s="1003"/>
      <c r="O859" s="1003"/>
      <c r="P859" s="1003"/>
      <c r="Q859" s="1003"/>
    </row>
    <row r="860" spans="3:17" ht="15.75" customHeight="1">
      <c r="C860" s="1003"/>
      <c r="D860" s="1003"/>
      <c r="E860" s="1003"/>
      <c r="F860" s="1003"/>
      <c r="G860" s="1003"/>
      <c r="H860" s="1003"/>
      <c r="I860" s="1003"/>
      <c r="J860" s="1003"/>
      <c r="K860" s="1003"/>
      <c r="L860" s="1003"/>
      <c r="M860" s="1003"/>
      <c r="N860" s="1003"/>
      <c r="O860" s="1003"/>
      <c r="P860" s="1003"/>
      <c r="Q860" s="1003"/>
    </row>
    <row r="861" spans="3:17" ht="15.75" customHeight="1">
      <c r="C861" s="1003"/>
      <c r="D861" s="1003"/>
      <c r="E861" s="1003"/>
      <c r="F861" s="1003"/>
      <c r="G861" s="1003"/>
      <c r="H861" s="1003"/>
      <c r="I861" s="1003"/>
      <c r="J861" s="1003"/>
      <c r="K861" s="1003"/>
      <c r="L861" s="1003"/>
      <c r="M861" s="1003"/>
      <c r="N861" s="1003"/>
      <c r="O861" s="1003"/>
      <c r="P861" s="1003"/>
      <c r="Q861" s="1003"/>
    </row>
    <row r="862" spans="3:17" ht="15.75" customHeight="1">
      <c r="C862" s="1003"/>
      <c r="D862" s="1003"/>
      <c r="E862" s="1003"/>
      <c r="F862" s="1003"/>
      <c r="G862" s="1003"/>
      <c r="H862" s="1003"/>
      <c r="I862" s="1003"/>
      <c r="J862" s="1003"/>
      <c r="K862" s="1003"/>
      <c r="L862" s="1003"/>
      <c r="M862" s="1003"/>
      <c r="N862" s="1003"/>
      <c r="O862" s="1003"/>
      <c r="P862" s="1003"/>
      <c r="Q862" s="1003"/>
    </row>
    <row r="863" spans="3:17" ht="15.75" customHeight="1">
      <c r="C863" s="1003"/>
      <c r="D863" s="1003"/>
      <c r="E863" s="1003"/>
      <c r="F863" s="1003"/>
      <c r="G863" s="1003"/>
      <c r="H863" s="1003"/>
      <c r="I863" s="1003"/>
      <c r="J863" s="1003"/>
      <c r="K863" s="1003"/>
      <c r="L863" s="1003"/>
      <c r="M863" s="1003"/>
      <c r="N863" s="1003"/>
      <c r="O863" s="1003"/>
      <c r="P863" s="1003"/>
      <c r="Q863" s="1003"/>
    </row>
    <row r="864" spans="3:17" ht="15.75" customHeight="1">
      <c r="C864" s="1003"/>
      <c r="D864" s="1003"/>
      <c r="E864" s="1003"/>
      <c r="F864" s="1003"/>
      <c r="G864" s="1003"/>
      <c r="H864" s="1003"/>
      <c r="I864" s="1003"/>
      <c r="J864" s="1003"/>
      <c r="K864" s="1003"/>
      <c r="L864" s="1003"/>
      <c r="M864" s="1003"/>
      <c r="N864" s="1003"/>
      <c r="O864" s="1003"/>
      <c r="P864" s="1003"/>
      <c r="Q864" s="1003"/>
    </row>
    <row r="865" spans="3:17" ht="15.75" customHeight="1">
      <c r="C865" s="1003"/>
      <c r="D865" s="1003"/>
      <c r="E865" s="1003"/>
      <c r="F865" s="1003"/>
      <c r="G865" s="1003"/>
      <c r="H865" s="1003"/>
      <c r="I865" s="1003"/>
      <c r="J865" s="1003"/>
      <c r="K865" s="1003"/>
      <c r="L865" s="1003"/>
      <c r="M865" s="1003"/>
      <c r="N865" s="1003"/>
      <c r="O865" s="1003"/>
      <c r="P865" s="1003"/>
      <c r="Q865" s="1003"/>
    </row>
    <row r="866" spans="3:17" ht="15.75" customHeight="1">
      <c r="C866" s="1003"/>
      <c r="D866" s="1003"/>
      <c r="E866" s="1003"/>
      <c r="F866" s="1003"/>
      <c r="G866" s="1003"/>
      <c r="H866" s="1003"/>
      <c r="I866" s="1003"/>
      <c r="J866" s="1003"/>
      <c r="K866" s="1003"/>
      <c r="L866" s="1003"/>
      <c r="M866" s="1003"/>
      <c r="N866" s="1003"/>
      <c r="O866" s="1003"/>
      <c r="P866" s="1003"/>
      <c r="Q866" s="1003"/>
    </row>
    <row r="867" spans="3:17" ht="15.75" customHeight="1">
      <c r="C867" s="1003"/>
      <c r="D867" s="1003"/>
      <c r="E867" s="1003"/>
      <c r="F867" s="1003"/>
      <c r="G867" s="1003"/>
      <c r="H867" s="1003"/>
      <c r="I867" s="1003"/>
      <c r="J867" s="1003"/>
      <c r="K867" s="1003"/>
      <c r="L867" s="1003"/>
      <c r="M867" s="1003"/>
      <c r="N867" s="1003"/>
      <c r="O867" s="1003"/>
      <c r="P867" s="1003"/>
      <c r="Q867" s="1003"/>
    </row>
    <row r="868" spans="3:17" ht="15.75" customHeight="1">
      <c r="C868" s="1003"/>
      <c r="D868" s="1003"/>
      <c r="E868" s="1003"/>
      <c r="F868" s="1003"/>
      <c r="G868" s="1003"/>
      <c r="H868" s="1003"/>
      <c r="I868" s="1003"/>
      <c r="J868" s="1003"/>
      <c r="K868" s="1003"/>
      <c r="L868" s="1003"/>
      <c r="M868" s="1003"/>
      <c r="N868" s="1003"/>
      <c r="O868" s="1003"/>
      <c r="P868" s="1003"/>
      <c r="Q868" s="1003"/>
    </row>
    <row r="869" spans="3:17" ht="15.75" customHeight="1">
      <c r="C869" s="1003"/>
      <c r="D869" s="1003"/>
      <c r="E869" s="1003"/>
      <c r="F869" s="1003"/>
      <c r="G869" s="1003"/>
      <c r="H869" s="1003"/>
      <c r="I869" s="1003"/>
      <c r="J869" s="1003"/>
      <c r="K869" s="1003"/>
      <c r="L869" s="1003"/>
      <c r="M869" s="1003"/>
      <c r="N869" s="1003"/>
      <c r="O869" s="1003"/>
      <c r="P869" s="1003"/>
      <c r="Q869" s="1003"/>
    </row>
    <row r="870" spans="3:17" ht="15.75" customHeight="1">
      <c r="C870" s="1003"/>
      <c r="D870" s="1003"/>
      <c r="E870" s="1003"/>
      <c r="F870" s="1003"/>
      <c r="G870" s="1003"/>
      <c r="H870" s="1003"/>
      <c r="I870" s="1003"/>
      <c r="J870" s="1003"/>
      <c r="K870" s="1003"/>
      <c r="L870" s="1003"/>
      <c r="M870" s="1003"/>
      <c r="N870" s="1003"/>
      <c r="O870" s="1003"/>
      <c r="P870" s="1003"/>
      <c r="Q870" s="1003"/>
    </row>
    <row r="871" spans="3:17" ht="15.75" customHeight="1">
      <c r="C871" s="1003"/>
      <c r="D871" s="1003"/>
      <c r="E871" s="1003"/>
      <c r="F871" s="1003"/>
      <c r="G871" s="1003"/>
      <c r="H871" s="1003"/>
      <c r="I871" s="1003"/>
      <c r="J871" s="1003"/>
      <c r="K871" s="1003"/>
      <c r="L871" s="1003"/>
      <c r="M871" s="1003"/>
      <c r="N871" s="1003"/>
      <c r="O871" s="1003"/>
      <c r="P871" s="1003"/>
      <c r="Q871" s="1003"/>
    </row>
    <row r="872" spans="3:17" ht="15.75" customHeight="1">
      <c r="C872" s="1003"/>
      <c r="D872" s="1003"/>
      <c r="E872" s="1003"/>
      <c r="F872" s="1003"/>
      <c r="G872" s="1003"/>
      <c r="H872" s="1003"/>
      <c r="I872" s="1003"/>
      <c r="J872" s="1003"/>
      <c r="K872" s="1003"/>
      <c r="L872" s="1003"/>
      <c r="M872" s="1003"/>
      <c r="N872" s="1003"/>
      <c r="O872" s="1003"/>
      <c r="P872" s="1003"/>
      <c r="Q872" s="1003"/>
    </row>
    <row r="873" spans="3:17" ht="15.75" customHeight="1">
      <c r="C873" s="1003"/>
      <c r="D873" s="1003"/>
      <c r="E873" s="1003"/>
      <c r="F873" s="1003"/>
      <c r="G873" s="1003"/>
      <c r="H873" s="1003"/>
      <c r="I873" s="1003"/>
      <c r="J873" s="1003"/>
      <c r="K873" s="1003"/>
      <c r="L873" s="1003"/>
      <c r="M873" s="1003"/>
      <c r="N873" s="1003"/>
      <c r="O873" s="1003"/>
      <c r="P873" s="1003"/>
      <c r="Q873" s="1003"/>
    </row>
    <row r="874" spans="3:17" ht="15.75" customHeight="1">
      <c r="C874" s="1003"/>
      <c r="D874" s="1003"/>
      <c r="E874" s="1003"/>
      <c r="F874" s="1003"/>
      <c r="G874" s="1003"/>
      <c r="H874" s="1003"/>
      <c r="I874" s="1003"/>
      <c r="J874" s="1003"/>
      <c r="K874" s="1003"/>
      <c r="L874" s="1003"/>
      <c r="M874" s="1003"/>
      <c r="N874" s="1003"/>
      <c r="O874" s="1003"/>
      <c r="P874" s="1003"/>
      <c r="Q874" s="1003"/>
    </row>
    <row r="875" spans="3:17" ht="15.75" customHeight="1">
      <c r="C875" s="1003"/>
      <c r="D875" s="1003"/>
      <c r="E875" s="1003"/>
      <c r="F875" s="1003"/>
      <c r="G875" s="1003"/>
      <c r="H875" s="1003"/>
      <c r="I875" s="1003"/>
      <c r="J875" s="1003"/>
      <c r="K875" s="1003"/>
      <c r="L875" s="1003"/>
      <c r="M875" s="1003"/>
      <c r="N875" s="1003"/>
      <c r="O875" s="1003"/>
      <c r="P875" s="1003"/>
      <c r="Q875" s="1003"/>
    </row>
    <row r="876" spans="3:17" ht="15.75" customHeight="1">
      <c r="C876" s="1003"/>
      <c r="D876" s="1003"/>
      <c r="E876" s="1003"/>
      <c r="F876" s="1003"/>
      <c r="G876" s="1003"/>
      <c r="H876" s="1003"/>
      <c r="I876" s="1003"/>
      <c r="J876" s="1003"/>
      <c r="K876" s="1003"/>
      <c r="L876" s="1003"/>
      <c r="M876" s="1003"/>
      <c r="N876" s="1003"/>
      <c r="O876" s="1003"/>
      <c r="P876" s="1003"/>
      <c r="Q876" s="1003"/>
    </row>
    <row r="877" spans="3:17" ht="15.75" customHeight="1">
      <c r="C877" s="1003"/>
      <c r="D877" s="1003"/>
      <c r="E877" s="1003"/>
      <c r="F877" s="1003"/>
      <c r="G877" s="1003"/>
      <c r="H877" s="1003"/>
      <c r="I877" s="1003"/>
      <c r="J877" s="1003"/>
      <c r="K877" s="1003"/>
      <c r="L877" s="1003"/>
      <c r="M877" s="1003"/>
      <c r="N877" s="1003"/>
      <c r="O877" s="1003"/>
      <c r="P877" s="1003"/>
      <c r="Q877" s="1003"/>
    </row>
    <row r="878" spans="3:17" ht="15.75" customHeight="1">
      <c r="C878" s="1003"/>
      <c r="D878" s="1003"/>
      <c r="E878" s="1003"/>
      <c r="F878" s="1003"/>
      <c r="G878" s="1003"/>
      <c r="H878" s="1003"/>
      <c r="I878" s="1003"/>
      <c r="J878" s="1003"/>
      <c r="K878" s="1003"/>
      <c r="L878" s="1003"/>
      <c r="M878" s="1003"/>
      <c r="N878" s="1003"/>
      <c r="O878" s="1003"/>
      <c r="P878" s="1003"/>
      <c r="Q878" s="1003"/>
    </row>
    <row r="879" spans="3:17" ht="15.75" customHeight="1">
      <c r="C879" s="1003"/>
      <c r="D879" s="1003"/>
      <c r="E879" s="1003"/>
      <c r="F879" s="1003"/>
      <c r="G879" s="1003"/>
      <c r="H879" s="1003"/>
      <c r="I879" s="1003"/>
      <c r="J879" s="1003"/>
      <c r="K879" s="1003"/>
      <c r="L879" s="1003"/>
      <c r="M879" s="1003"/>
      <c r="N879" s="1003"/>
      <c r="O879" s="1003"/>
      <c r="P879" s="1003"/>
      <c r="Q879" s="1003"/>
    </row>
    <row r="880" spans="3:17" ht="15.75" customHeight="1">
      <c r="C880" s="1003"/>
      <c r="D880" s="1003"/>
      <c r="E880" s="1003"/>
      <c r="F880" s="1003"/>
      <c r="G880" s="1003"/>
      <c r="H880" s="1003"/>
      <c r="I880" s="1003"/>
      <c r="J880" s="1003"/>
      <c r="K880" s="1003"/>
      <c r="L880" s="1003"/>
      <c r="M880" s="1003"/>
      <c r="N880" s="1003"/>
      <c r="O880" s="1003"/>
      <c r="P880" s="1003"/>
      <c r="Q880" s="1003"/>
    </row>
    <row r="881" spans="3:17" ht="15.75" customHeight="1">
      <c r="C881" s="1003"/>
      <c r="D881" s="1003"/>
      <c r="E881" s="1003"/>
      <c r="F881" s="1003"/>
      <c r="G881" s="1003"/>
      <c r="H881" s="1003"/>
      <c r="I881" s="1003"/>
      <c r="J881" s="1003"/>
      <c r="K881" s="1003"/>
      <c r="L881" s="1003"/>
      <c r="M881" s="1003"/>
      <c r="N881" s="1003"/>
      <c r="O881" s="1003"/>
      <c r="P881" s="1003"/>
      <c r="Q881" s="1003"/>
    </row>
    <row r="882" spans="3:17" ht="15.75" customHeight="1">
      <c r="C882" s="1003"/>
      <c r="D882" s="1003"/>
      <c r="E882" s="1003"/>
      <c r="F882" s="1003"/>
      <c r="G882" s="1003"/>
      <c r="H882" s="1003"/>
      <c r="I882" s="1003"/>
      <c r="J882" s="1003"/>
      <c r="K882" s="1003"/>
      <c r="L882" s="1003"/>
      <c r="M882" s="1003"/>
      <c r="N882" s="1003"/>
      <c r="O882" s="1003"/>
      <c r="P882" s="1003"/>
      <c r="Q882" s="1003"/>
    </row>
    <row r="883" spans="3:17" ht="15.75" customHeight="1">
      <c r="C883" s="1003"/>
      <c r="D883" s="1003"/>
      <c r="E883" s="1003"/>
      <c r="F883" s="1003"/>
      <c r="G883" s="1003"/>
      <c r="H883" s="1003"/>
      <c r="I883" s="1003"/>
      <c r="J883" s="1003"/>
      <c r="K883" s="1003"/>
      <c r="L883" s="1003"/>
      <c r="M883" s="1003"/>
      <c r="N883" s="1003"/>
      <c r="O883" s="1003"/>
      <c r="P883" s="1003"/>
      <c r="Q883" s="1003"/>
    </row>
    <row r="884" spans="3:17" ht="15.75" customHeight="1">
      <c r="C884" s="1003"/>
      <c r="D884" s="1003"/>
      <c r="E884" s="1003"/>
      <c r="F884" s="1003"/>
      <c r="G884" s="1003"/>
      <c r="H884" s="1003"/>
      <c r="I884" s="1003"/>
      <c r="J884" s="1003"/>
      <c r="K884" s="1003"/>
      <c r="L884" s="1003"/>
      <c r="M884" s="1003"/>
      <c r="N884" s="1003"/>
      <c r="O884" s="1003"/>
      <c r="P884" s="1003"/>
      <c r="Q884" s="1003"/>
    </row>
    <row r="885" spans="3:17" ht="15.75" customHeight="1">
      <c r="C885" s="1003"/>
      <c r="D885" s="1003"/>
      <c r="E885" s="1003"/>
      <c r="F885" s="1003"/>
      <c r="G885" s="1003"/>
      <c r="H885" s="1003"/>
      <c r="I885" s="1003"/>
      <c r="J885" s="1003"/>
      <c r="K885" s="1003"/>
      <c r="L885" s="1003"/>
      <c r="M885" s="1003"/>
      <c r="N885" s="1003"/>
      <c r="O885" s="1003"/>
      <c r="P885" s="1003"/>
      <c r="Q885" s="1003"/>
    </row>
    <row r="886" spans="3:17" ht="15.75" customHeight="1">
      <c r="C886" s="1003"/>
      <c r="D886" s="1003"/>
      <c r="E886" s="1003"/>
      <c r="F886" s="1003"/>
      <c r="G886" s="1003"/>
      <c r="H886" s="1003"/>
      <c r="I886" s="1003"/>
      <c r="J886" s="1003"/>
      <c r="K886" s="1003"/>
      <c r="L886" s="1003"/>
      <c r="M886" s="1003"/>
      <c r="N886" s="1003"/>
      <c r="O886" s="1003"/>
      <c r="P886" s="1003"/>
      <c r="Q886" s="1003"/>
    </row>
    <row r="887" spans="3:17" ht="15.75" customHeight="1">
      <c r="C887" s="1003"/>
      <c r="D887" s="1003"/>
      <c r="E887" s="1003"/>
      <c r="F887" s="1003"/>
      <c r="G887" s="1003"/>
      <c r="H887" s="1003"/>
      <c r="I887" s="1003"/>
      <c r="J887" s="1003"/>
      <c r="K887" s="1003"/>
      <c r="L887" s="1003"/>
      <c r="M887" s="1003"/>
      <c r="N887" s="1003"/>
      <c r="O887" s="1003"/>
      <c r="P887" s="1003"/>
      <c r="Q887" s="1003"/>
    </row>
    <row r="888" spans="3:17" ht="15.75" customHeight="1">
      <c r="C888" s="1003"/>
      <c r="D888" s="1003"/>
      <c r="E888" s="1003"/>
      <c r="F888" s="1003"/>
      <c r="G888" s="1003"/>
      <c r="H888" s="1003"/>
      <c r="I888" s="1003"/>
      <c r="J888" s="1003"/>
      <c r="K888" s="1003"/>
      <c r="L888" s="1003"/>
      <c r="M888" s="1003"/>
      <c r="N888" s="1003"/>
      <c r="O888" s="1003"/>
      <c r="P888" s="1003"/>
      <c r="Q888" s="1003"/>
    </row>
    <row r="889" spans="3:17" ht="15.75" customHeight="1">
      <c r="C889" s="1003"/>
      <c r="D889" s="1003"/>
      <c r="E889" s="1003"/>
      <c r="F889" s="1003"/>
      <c r="G889" s="1003"/>
      <c r="H889" s="1003"/>
      <c r="I889" s="1003"/>
      <c r="J889" s="1003"/>
      <c r="K889" s="1003"/>
      <c r="L889" s="1003"/>
      <c r="M889" s="1003"/>
      <c r="N889" s="1003"/>
      <c r="O889" s="1003"/>
      <c r="P889" s="1003"/>
      <c r="Q889" s="1003"/>
    </row>
    <row r="890" spans="3:17" ht="15.75" customHeight="1">
      <c r="C890" s="1003"/>
      <c r="D890" s="1003"/>
      <c r="E890" s="1003"/>
      <c r="F890" s="1003"/>
      <c r="G890" s="1003"/>
      <c r="H890" s="1003"/>
      <c r="I890" s="1003"/>
      <c r="J890" s="1003"/>
      <c r="K890" s="1003"/>
      <c r="L890" s="1003"/>
      <c r="M890" s="1003"/>
      <c r="N890" s="1003"/>
      <c r="O890" s="1003"/>
      <c r="P890" s="1003"/>
      <c r="Q890" s="1003"/>
    </row>
    <row r="891" spans="3:17" ht="15.75" customHeight="1">
      <c r="C891" s="1003"/>
      <c r="D891" s="1003"/>
      <c r="E891" s="1003"/>
      <c r="F891" s="1003"/>
      <c r="G891" s="1003"/>
      <c r="H891" s="1003"/>
      <c r="I891" s="1003"/>
      <c r="J891" s="1003"/>
      <c r="K891" s="1003"/>
      <c r="L891" s="1003"/>
      <c r="M891" s="1003"/>
      <c r="N891" s="1003"/>
      <c r="O891" s="1003"/>
      <c r="P891" s="1003"/>
      <c r="Q891" s="1003"/>
    </row>
    <row r="892" spans="3:17" ht="15.75" customHeight="1">
      <c r="C892" s="1003"/>
      <c r="D892" s="1003"/>
      <c r="E892" s="1003"/>
      <c r="F892" s="1003"/>
      <c r="G892" s="1003"/>
      <c r="H892" s="1003"/>
      <c r="I892" s="1003"/>
      <c r="J892" s="1003"/>
      <c r="K892" s="1003"/>
      <c r="L892" s="1003"/>
      <c r="M892" s="1003"/>
      <c r="N892" s="1003"/>
      <c r="O892" s="1003"/>
      <c r="P892" s="1003"/>
      <c r="Q892" s="1003"/>
    </row>
    <row r="893" spans="3:17" ht="15.75" customHeight="1">
      <c r="C893" s="1003"/>
      <c r="D893" s="1003"/>
      <c r="E893" s="1003"/>
      <c r="F893" s="1003"/>
      <c r="G893" s="1003"/>
      <c r="H893" s="1003"/>
      <c r="I893" s="1003"/>
      <c r="J893" s="1003"/>
      <c r="K893" s="1003"/>
      <c r="L893" s="1003"/>
      <c r="M893" s="1003"/>
      <c r="N893" s="1003"/>
      <c r="O893" s="1003"/>
      <c r="P893" s="1003"/>
      <c r="Q893" s="1003"/>
    </row>
    <row r="894" spans="3:17" ht="15.75" customHeight="1">
      <c r="C894" s="1003"/>
      <c r="D894" s="1003"/>
      <c r="E894" s="1003"/>
      <c r="F894" s="1003"/>
      <c r="G894" s="1003"/>
      <c r="H894" s="1003"/>
      <c r="I894" s="1003"/>
      <c r="J894" s="1003"/>
      <c r="K894" s="1003"/>
      <c r="L894" s="1003"/>
      <c r="M894" s="1003"/>
      <c r="N894" s="1003"/>
      <c r="O894" s="1003"/>
      <c r="P894" s="1003"/>
      <c r="Q894" s="1003"/>
    </row>
    <row r="895" spans="3:17" ht="15.75" customHeight="1">
      <c r="C895" s="1003"/>
      <c r="D895" s="1003"/>
      <c r="E895" s="1003"/>
      <c r="F895" s="1003"/>
      <c r="G895" s="1003"/>
      <c r="H895" s="1003"/>
      <c r="I895" s="1003"/>
      <c r="J895" s="1003"/>
      <c r="K895" s="1003"/>
      <c r="L895" s="1003"/>
      <c r="M895" s="1003"/>
      <c r="N895" s="1003"/>
      <c r="O895" s="1003"/>
      <c r="P895" s="1003"/>
      <c r="Q895" s="1003"/>
    </row>
    <row r="896" spans="3:17" ht="15.75" customHeight="1">
      <c r="C896" s="1003"/>
      <c r="D896" s="1003"/>
      <c r="E896" s="1003"/>
      <c r="F896" s="1003"/>
      <c r="G896" s="1003"/>
      <c r="H896" s="1003"/>
      <c r="I896" s="1003"/>
      <c r="J896" s="1003"/>
      <c r="K896" s="1003"/>
      <c r="L896" s="1003"/>
      <c r="M896" s="1003"/>
      <c r="N896" s="1003"/>
      <c r="O896" s="1003"/>
      <c r="P896" s="1003"/>
      <c r="Q896" s="1003"/>
    </row>
    <row r="897" spans="3:17" ht="15.75" customHeight="1">
      <c r="C897" s="1003"/>
      <c r="D897" s="1003"/>
      <c r="E897" s="1003"/>
      <c r="F897" s="1003"/>
      <c r="G897" s="1003"/>
      <c r="H897" s="1003"/>
      <c r="I897" s="1003"/>
      <c r="J897" s="1003"/>
      <c r="K897" s="1003"/>
      <c r="L897" s="1003"/>
      <c r="M897" s="1003"/>
      <c r="N897" s="1003"/>
      <c r="O897" s="1003"/>
      <c r="P897" s="1003"/>
      <c r="Q897" s="1003"/>
    </row>
    <row r="898" spans="3:17" ht="15.75" customHeight="1">
      <c r="C898" s="1003"/>
      <c r="D898" s="1003"/>
      <c r="E898" s="1003"/>
      <c r="F898" s="1003"/>
      <c r="G898" s="1003"/>
      <c r="H898" s="1003"/>
      <c r="I898" s="1003"/>
      <c r="J898" s="1003"/>
      <c r="K898" s="1003"/>
      <c r="L898" s="1003"/>
      <c r="M898" s="1003"/>
      <c r="N898" s="1003"/>
      <c r="O898" s="1003"/>
      <c r="P898" s="1003"/>
      <c r="Q898" s="1003"/>
    </row>
    <row r="899" spans="3:17" ht="15.75" customHeight="1">
      <c r="C899" s="1003"/>
      <c r="D899" s="1003"/>
      <c r="E899" s="1003"/>
      <c r="F899" s="1003"/>
      <c r="G899" s="1003"/>
      <c r="H899" s="1003"/>
      <c r="I899" s="1003"/>
      <c r="J899" s="1003"/>
      <c r="K899" s="1003"/>
      <c r="L899" s="1003"/>
      <c r="M899" s="1003"/>
      <c r="N899" s="1003"/>
      <c r="O899" s="1003"/>
      <c r="P899" s="1003"/>
      <c r="Q899" s="1003"/>
    </row>
    <row r="900" spans="3:17" ht="15.75" customHeight="1">
      <c r="C900" s="1003"/>
      <c r="D900" s="1003"/>
      <c r="E900" s="1003"/>
      <c r="F900" s="1003"/>
      <c r="G900" s="1003"/>
      <c r="H900" s="1003"/>
      <c r="I900" s="1003"/>
      <c r="J900" s="1003"/>
      <c r="K900" s="1003"/>
      <c r="L900" s="1003"/>
      <c r="M900" s="1003"/>
      <c r="N900" s="1003"/>
      <c r="O900" s="1003"/>
      <c r="P900" s="1003"/>
      <c r="Q900" s="1003"/>
    </row>
    <row r="901" spans="3:17" ht="15.75" customHeight="1">
      <c r="C901" s="1003"/>
      <c r="D901" s="1003"/>
      <c r="E901" s="1003"/>
      <c r="F901" s="1003"/>
      <c r="G901" s="1003"/>
      <c r="H901" s="1003"/>
      <c r="I901" s="1003"/>
      <c r="J901" s="1003"/>
      <c r="K901" s="1003"/>
      <c r="L901" s="1003"/>
      <c r="M901" s="1003"/>
      <c r="N901" s="1003"/>
      <c r="O901" s="1003"/>
      <c r="P901" s="1003"/>
      <c r="Q901" s="1003"/>
    </row>
    <row r="902" spans="3:17" ht="15.75" customHeight="1">
      <c r="C902" s="1003"/>
      <c r="D902" s="1003"/>
      <c r="E902" s="1003"/>
      <c r="F902" s="1003"/>
      <c r="G902" s="1003"/>
      <c r="H902" s="1003"/>
      <c r="I902" s="1003"/>
      <c r="J902" s="1003"/>
      <c r="K902" s="1003"/>
      <c r="L902" s="1003"/>
      <c r="M902" s="1003"/>
      <c r="N902" s="1003"/>
      <c r="O902" s="1003"/>
      <c r="P902" s="1003"/>
      <c r="Q902" s="1003"/>
    </row>
    <row r="903" spans="3:17" ht="15.75" customHeight="1">
      <c r="C903" s="1003"/>
      <c r="D903" s="1003"/>
      <c r="E903" s="1003"/>
      <c r="F903" s="1003"/>
      <c r="G903" s="1003"/>
      <c r="H903" s="1003"/>
      <c r="I903" s="1003"/>
      <c r="J903" s="1003"/>
      <c r="K903" s="1003"/>
      <c r="L903" s="1003"/>
      <c r="M903" s="1003"/>
      <c r="N903" s="1003"/>
      <c r="O903" s="1003"/>
      <c r="P903" s="1003"/>
      <c r="Q903" s="1003"/>
    </row>
    <row r="904" spans="3:17" ht="15.75" customHeight="1">
      <c r="C904" s="1003"/>
      <c r="D904" s="1003"/>
      <c r="E904" s="1003"/>
      <c r="F904" s="1003"/>
      <c r="G904" s="1003"/>
      <c r="H904" s="1003"/>
      <c r="I904" s="1003"/>
      <c r="J904" s="1003"/>
      <c r="K904" s="1003"/>
      <c r="L904" s="1003"/>
      <c r="M904" s="1003"/>
      <c r="N904" s="1003"/>
      <c r="O904" s="1003"/>
      <c r="P904" s="1003"/>
      <c r="Q904" s="1003"/>
    </row>
    <row r="905" spans="3:17" ht="15.75" customHeight="1">
      <c r="C905" s="1003"/>
      <c r="D905" s="1003"/>
      <c r="E905" s="1003"/>
      <c r="F905" s="1003"/>
      <c r="G905" s="1003"/>
      <c r="H905" s="1003"/>
      <c r="I905" s="1003"/>
      <c r="J905" s="1003"/>
      <c r="K905" s="1003"/>
      <c r="L905" s="1003"/>
      <c r="M905" s="1003"/>
      <c r="N905" s="1003"/>
      <c r="O905" s="1003"/>
      <c r="P905" s="1003"/>
      <c r="Q905" s="1003"/>
    </row>
    <row r="906" spans="3:17" ht="15.75" customHeight="1">
      <c r="C906" s="1003"/>
      <c r="D906" s="1003"/>
      <c r="E906" s="1003"/>
      <c r="F906" s="1003"/>
      <c r="G906" s="1003"/>
      <c r="H906" s="1003"/>
      <c r="I906" s="1003"/>
      <c r="J906" s="1003"/>
      <c r="K906" s="1003"/>
      <c r="L906" s="1003"/>
      <c r="M906" s="1003"/>
      <c r="N906" s="1003"/>
      <c r="O906" s="1003"/>
      <c r="P906" s="1003"/>
      <c r="Q906" s="1003"/>
    </row>
    <row r="907" spans="3:17" ht="15.75" customHeight="1">
      <c r="C907" s="1003"/>
      <c r="D907" s="1003"/>
      <c r="E907" s="1003"/>
      <c r="F907" s="1003"/>
      <c r="G907" s="1003"/>
      <c r="H907" s="1003"/>
      <c r="I907" s="1003"/>
      <c r="J907" s="1003"/>
      <c r="K907" s="1003"/>
      <c r="L907" s="1003"/>
      <c r="M907" s="1003"/>
      <c r="N907" s="1003"/>
      <c r="O907" s="1003"/>
      <c r="P907" s="1003"/>
      <c r="Q907" s="1003"/>
    </row>
    <row r="908" spans="3:17" ht="15.75" customHeight="1">
      <c r="C908" s="1003"/>
      <c r="D908" s="1003"/>
      <c r="E908" s="1003"/>
      <c r="F908" s="1003"/>
      <c r="G908" s="1003"/>
      <c r="H908" s="1003"/>
      <c r="I908" s="1003"/>
      <c r="J908" s="1003"/>
      <c r="K908" s="1003"/>
      <c r="L908" s="1003"/>
      <c r="M908" s="1003"/>
      <c r="N908" s="1003"/>
      <c r="O908" s="1003"/>
      <c r="P908" s="1003"/>
      <c r="Q908" s="1003"/>
    </row>
    <row r="909" spans="3:17" ht="15.75" customHeight="1">
      <c r="C909" s="1003"/>
      <c r="D909" s="1003"/>
      <c r="E909" s="1003"/>
      <c r="F909" s="1003"/>
      <c r="G909" s="1003"/>
      <c r="H909" s="1003"/>
      <c r="I909" s="1003"/>
      <c r="J909" s="1003"/>
      <c r="K909" s="1003"/>
      <c r="L909" s="1003"/>
      <c r="M909" s="1003"/>
      <c r="N909" s="1003"/>
      <c r="O909" s="1003"/>
      <c r="P909" s="1003"/>
      <c r="Q909" s="1003"/>
    </row>
    <row r="910" spans="3:17" ht="15.75" customHeight="1">
      <c r="C910" s="1003"/>
      <c r="D910" s="1003"/>
      <c r="E910" s="1003"/>
      <c r="F910" s="1003"/>
      <c r="G910" s="1003"/>
      <c r="H910" s="1003"/>
      <c r="I910" s="1003"/>
      <c r="J910" s="1003"/>
      <c r="K910" s="1003"/>
      <c r="L910" s="1003"/>
      <c r="M910" s="1003"/>
      <c r="N910" s="1003"/>
      <c r="O910" s="1003"/>
      <c r="P910" s="1003"/>
      <c r="Q910" s="1003"/>
    </row>
    <row r="911" spans="3:17" ht="15.75" customHeight="1">
      <c r="C911" s="1003"/>
      <c r="D911" s="1003"/>
      <c r="E911" s="1003"/>
      <c r="F911" s="1003"/>
      <c r="G911" s="1003"/>
      <c r="H911" s="1003"/>
      <c r="I911" s="1003"/>
      <c r="J911" s="1003"/>
      <c r="K911" s="1003"/>
      <c r="L911" s="1003"/>
      <c r="M911" s="1003"/>
      <c r="N911" s="1003"/>
      <c r="O911" s="1003"/>
      <c r="P911" s="1003"/>
      <c r="Q911" s="1003"/>
    </row>
    <row r="912" spans="3:17" ht="15.75" customHeight="1">
      <c r="C912" s="1003"/>
      <c r="D912" s="1003"/>
      <c r="E912" s="1003"/>
      <c r="F912" s="1003"/>
      <c r="G912" s="1003"/>
      <c r="H912" s="1003"/>
      <c r="I912" s="1003"/>
      <c r="J912" s="1003"/>
      <c r="K912" s="1003"/>
      <c r="L912" s="1003"/>
      <c r="M912" s="1003"/>
      <c r="N912" s="1003"/>
      <c r="O912" s="1003"/>
      <c r="P912" s="1003"/>
      <c r="Q912" s="1003"/>
    </row>
    <row r="913" spans="3:17" ht="15.75" customHeight="1">
      <c r="C913" s="1003"/>
      <c r="D913" s="1003"/>
      <c r="E913" s="1003"/>
      <c r="F913" s="1003"/>
      <c r="G913" s="1003"/>
      <c r="H913" s="1003"/>
      <c r="I913" s="1003"/>
      <c r="J913" s="1003"/>
      <c r="K913" s="1003"/>
      <c r="L913" s="1003"/>
      <c r="M913" s="1003"/>
      <c r="N913" s="1003"/>
      <c r="O913" s="1003"/>
      <c r="P913" s="1003"/>
      <c r="Q913" s="1003"/>
    </row>
    <row r="914" spans="3:17" ht="15.75" customHeight="1">
      <c r="C914" s="1003"/>
      <c r="D914" s="1003"/>
      <c r="E914" s="1003"/>
      <c r="F914" s="1003"/>
      <c r="G914" s="1003"/>
      <c r="H914" s="1003"/>
      <c r="I914" s="1003"/>
      <c r="J914" s="1003"/>
      <c r="K914" s="1003"/>
      <c r="L914" s="1003"/>
      <c r="M914" s="1003"/>
      <c r="N914" s="1003"/>
      <c r="O914" s="1003"/>
      <c r="P914" s="1003"/>
      <c r="Q914" s="1003"/>
    </row>
    <row r="915" spans="3:17" ht="15.75" customHeight="1">
      <c r="C915" s="1003"/>
      <c r="D915" s="1003"/>
      <c r="E915" s="1003"/>
      <c r="F915" s="1003"/>
      <c r="G915" s="1003"/>
      <c r="H915" s="1003"/>
      <c r="I915" s="1003"/>
      <c r="J915" s="1003"/>
      <c r="K915" s="1003"/>
      <c r="L915" s="1003"/>
      <c r="M915" s="1003"/>
      <c r="N915" s="1003"/>
      <c r="O915" s="1003"/>
      <c r="P915" s="1003"/>
      <c r="Q915" s="1003"/>
    </row>
    <row r="916" spans="3:17" ht="15.75" customHeight="1">
      <c r="C916" s="1003"/>
      <c r="D916" s="1003"/>
      <c r="E916" s="1003"/>
      <c r="F916" s="1003"/>
      <c r="G916" s="1003"/>
      <c r="H916" s="1003"/>
      <c r="I916" s="1003"/>
      <c r="J916" s="1003"/>
      <c r="K916" s="1003"/>
      <c r="L916" s="1003"/>
      <c r="M916" s="1003"/>
      <c r="N916" s="1003"/>
      <c r="O916" s="1003"/>
      <c r="P916" s="1003"/>
      <c r="Q916" s="1003"/>
    </row>
    <row r="917" spans="3:17" ht="15.75" customHeight="1">
      <c r="C917" s="1003"/>
      <c r="D917" s="1003"/>
      <c r="E917" s="1003"/>
      <c r="F917" s="1003"/>
      <c r="G917" s="1003"/>
      <c r="H917" s="1003"/>
      <c r="I917" s="1003"/>
      <c r="J917" s="1003"/>
      <c r="K917" s="1003"/>
      <c r="L917" s="1003"/>
      <c r="M917" s="1003"/>
      <c r="N917" s="1003"/>
      <c r="O917" s="1003"/>
      <c r="P917" s="1003"/>
      <c r="Q917" s="1003"/>
    </row>
    <row r="918" spans="3:17" ht="15.75" customHeight="1">
      <c r="C918" s="1003"/>
      <c r="D918" s="1003"/>
      <c r="E918" s="1003"/>
      <c r="F918" s="1003"/>
      <c r="G918" s="1003"/>
      <c r="H918" s="1003"/>
      <c r="I918" s="1003"/>
      <c r="J918" s="1003"/>
      <c r="K918" s="1003"/>
      <c r="L918" s="1003"/>
      <c r="M918" s="1003"/>
      <c r="N918" s="1003"/>
      <c r="O918" s="1003"/>
      <c r="P918" s="1003"/>
      <c r="Q918" s="1003"/>
    </row>
    <row r="919" spans="3:17" ht="15.75" customHeight="1">
      <c r="C919" s="1003"/>
      <c r="D919" s="1003"/>
      <c r="E919" s="1003"/>
      <c r="F919" s="1003"/>
      <c r="G919" s="1003"/>
      <c r="H919" s="1003"/>
      <c r="I919" s="1003"/>
      <c r="J919" s="1003"/>
      <c r="K919" s="1003"/>
      <c r="L919" s="1003"/>
      <c r="M919" s="1003"/>
      <c r="N919" s="1003"/>
      <c r="O919" s="1003"/>
      <c r="P919" s="1003"/>
      <c r="Q919" s="1003"/>
    </row>
    <row r="920" spans="3:17" ht="15.75" customHeight="1">
      <c r="C920" s="1003"/>
      <c r="D920" s="1003"/>
      <c r="E920" s="1003"/>
      <c r="F920" s="1003"/>
      <c r="G920" s="1003"/>
      <c r="H920" s="1003"/>
      <c r="I920" s="1003"/>
      <c r="J920" s="1003"/>
      <c r="K920" s="1003"/>
      <c r="L920" s="1003"/>
      <c r="M920" s="1003"/>
      <c r="N920" s="1003"/>
      <c r="O920" s="1003"/>
      <c r="P920" s="1003"/>
      <c r="Q920" s="1003"/>
    </row>
    <row r="921" spans="3:17" ht="15.75" customHeight="1">
      <c r="C921" s="1003"/>
      <c r="D921" s="1003"/>
      <c r="E921" s="1003"/>
      <c r="F921" s="1003"/>
      <c r="G921" s="1003"/>
      <c r="H921" s="1003"/>
      <c r="I921" s="1003"/>
      <c r="J921" s="1003"/>
      <c r="K921" s="1003"/>
      <c r="L921" s="1003"/>
      <c r="M921" s="1003"/>
      <c r="N921" s="1003"/>
      <c r="O921" s="1003"/>
      <c r="P921" s="1003"/>
      <c r="Q921" s="1003"/>
    </row>
    <row r="922" spans="3:17" ht="15.75" customHeight="1">
      <c r="C922" s="1003"/>
      <c r="D922" s="1003"/>
      <c r="E922" s="1003"/>
      <c r="F922" s="1003"/>
      <c r="G922" s="1003"/>
      <c r="H922" s="1003"/>
      <c r="I922" s="1003"/>
      <c r="J922" s="1003"/>
      <c r="K922" s="1003"/>
      <c r="L922" s="1003"/>
      <c r="M922" s="1003"/>
      <c r="N922" s="1003"/>
      <c r="O922" s="1003"/>
      <c r="P922" s="1003"/>
      <c r="Q922" s="1003"/>
    </row>
    <row r="923" spans="3:17" ht="15.75" customHeight="1">
      <c r="C923" s="1003"/>
      <c r="D923" s="1003"/>
      <c r="E923" s="1003"/>
      <c r="F923" s="1003"/>
      <c r="G923" s="1003"/>
      <c r="H923" s="1003"/>
      <c r="I923" s="1003"/>
      <c r="J923" s="1003"/>
      <c r="K923" s="1003"/>
      <c r="L923" s="1003"/>
      <c r="M923" s="1003"/>
      <c r="N923" s="1003"/>
      <c r="O923" s="1003"/>
      <c r="P923" s="1003"/>
      <c r="Q923" s="1003"/>
    </row>
    <row r="924" spans="3:17" ht="15.75" customHeight="1">
      <c r="C924" s="1003"/>
      <c r="D924" s="1003"/>
      <c r="E924" s="1003"/>
      <c r="F924" s="1003"/>
      <c r="G924" s="1003"/>
      <c r="H924" s="1003"/>
      <c r="I924" s="1003"/>
      <c r="J924" s="1003"/>
      <c r="K924" s="1003"/>
      <c r="L924" s="1003"/>
      <c r="M924" s="1003"/>
      <c r="N924" s="1003"/>
      <c r="O924" s="1003"/>
      <c r="P924" s="1003"/>
      <c r="Q924" s="1003"/>
    </row>
    <row r="925" spans="3:17" ht="15.75" customHeight="1">
      <c r="C925" s="1003"/>
      <c r="D925" s="1003"/>
      <c r="E925" s="1003"/>
      <c r="F925" s="1003"/>
      <c r="G925" s="1003"/>
      <c r="H925" s="1003"/>
      <c r="I925" s="1003"/>
      <c r="J925" s="1003"/>
      <c r="K925" s="1003"/>
      <c r="L925" s="1003"/>
      <c r="M925" s="1003"/>
      <c r="N925" s="1003"/>
      <c r="O925" s="1003"/>
      <c r="P925" s="1003"/>
      <c r="Q925" s="1003"/>
    </row>
    <row r="926" spans="3:17" ht="15.75" customHeight="1">
      <c r="C926" s="1003"/>
      <c r="D926" s="1003"/>
      <c r="E926" s="1003"/>
      <c r="F926" s="1003"/>
      <c r="G926" s="1003"/>
      <c r="H926" s="1003"/>
      <c r="I926" s="1003"/>
      <c r="J926" s="1003"/>
      <c r="K926" s="1003"/>
      <c r="L926" s="1003"/>
      <c r="M926" s="1003"/>
      <c r="N926" s="1003"/>
      <c r="O926" s="1003"/>
      <c r="P926" s="1003"/>
      <c r="Q926" s="1003"/>
    </row>
    <row r="927" spans="3:17" ht="15.75" customHeight="1">
      <c r="C927" s="1003"/>
      <c r="D927" s="1003"/>
      <c r="E927" s="1003"/>
      <c r="F927" s="1003"/>
      <c r="G927" s="1003"/>
      <c r="H927" s="1003"/>
      <c r="I927" s="1003"/>
      <c r="J927" s="1003"/>
      <c r="K927" s="1003"/>
      <c r="L927" s="1003"/>
      <c r="M927" s="1003"/>
      <c r="N927" s="1003"/>
      <c r="O927" s="1003"/>
      <c r="P927" s="1003"/>
      <c r="Q927" s="1003"/>
    </row>
    <row r="928" spans="3:17" ht="15.75" customHeight="1">
      <c r="C928" s="1003"/>
      <c r="D928" s="1003"/>
      <c r="E928" s="1003"/>
      <c r="F928" s="1003"/>
      <c r="G928" s="1003"/>
      <c r="H928" s="1003"/>
      <c r="I928" s="1003"/>
      <c r="J928" s="1003"/>
      <c r="K928" s="1003"/>
      <c r="L928" s="1003"/>
      <c r="M928" s="1003"/>
      <c r="N928" s="1003"/>
      <c r="O928" s="1003"/>
      <c r="P928" s="1003"/>
      <c r="Q928" s="1003"/>
    </row>
    <row r="929" spans="3:17" ht="15.75" customHeight="1">
      <c r="C929" s="1003"/>
      <c r="D929" s="1003"/>
      <c r="E929" s="1003"/>
      <c r="F929" s="1003"/>
      <c r="G929" s="1003"/>
      <c r="H929" s="1003"/>
      <c r="I929" s="1003"/>
      <c r="J929" s="1003"/>
      <c r="K929" s="1003"/>
      <c r="L929" s="1003"/>
      <c r="M929" s="1003"/>
      <c r="N929" s="1003"/>
      <c r="O929" s="1003"/>
      <c r="P929" s="1003"/>
      <c r="Q929" s="1003"/>
    </row>
    <row r="930" spans="3:17" ht="15.75" customHeight="1">
      <c r="C930" s="1003"/>
      <c r="D930" s="1003"/>
      <c r="E930" s="1003"/>
      <c r="F930" s="1003"/>
      <c r="G930" s="1003"/>
      <c r="H930" s="1003"/>
      <c r="I930" s="1003"/>
      <c r="J930" s="1003"/>
      <c r="K930" s="1003"/>
      <c r="L930" s="1003"/>
      <c r="M930" s="1003"/>
      <c r="N930" s="1003"/>
      <c r="O930" s="1003"/>
      <c r="P930" s="1003"/>
      <c r="Q930" s="1003"/>
    </row>
    <row r="931" spans="3:17" ht="15.75" customHeight="1">
      <c r="C931" s="1003"/>
      <c r="D931" s="1003"/>
      <c r="E931" s="1003"/>
      <c r="F931" s="1003"/>
      <c r="G931" s="1003"/>
      <c r="H931" s="1003"/>
      <c r="I931" s="1003"/>
      <c r="J931" s="1003"/>
      <c r="K931" s="1003"/>
      <c r="L931" s="1003"/>
      <c r="M931" s="1003"/>
      <c r="N931" s="1003"/>
      <c r="O931" s="1003"/>
      <c r="P931" s="1003"/>
      <c r="Q931" s="1003"/>
    </row>
    <row r="932" spans="3:17" ht="15.75" customHeight="1">
      <c r="C932" s="1003"/>
      <c r="D932" s="1003"/>
      <c r="E932" s="1003"/>
      <c r="F932" s="1003"/>
      <c r="G932" s="1003"/>
      <c r="H932" s="1003"/>
      <c r="I932" s="1003"/>
      <c r="J932" s="1003"/>
      <c r="K932" s="1003"/>
      <c r="L932" s="1003"/>
      <c r="M932" s="1003"/>
      <c r="N932" s="1003"/>
      <c r="O932" s="1003"/>
      <c r="P932" s="1003"/>
      <c r="Q932" s="1003"/>
    </row>
    <row r="933" spans="3:17" ht="15.75" customHeight="1">
      <c r="C933" s="1003"/>
      <c r="D933" s="1003"/>
      <c r="E933" s="1003"/>
      <c r="F933" s="1003"/>
      <c r="G933" s="1003"/>
      <c r="H933" s="1003"/>
      <c r="I933" s="1003"/>
      <c r="J933" s="1003"/>
      <c r="K933" s="1003"/>
      <c r="L933" s="1003"/>
      <c r="M933" s="1003"/>
      <c r="N933" s="1003"/>
      <c r="O933" s="1003"/>
      <c r="P933" s="1003"/>
      <c r="Q933" s="1003"/>
    </row>
    <row r="934" spans="3:17" ht="15.75" customHeight="1">
      <c r="C934" s="1003"/>
      <c r="D934" s="1003"/>
      <c r="E934" s="1003"/>
      <c r="F934" s="1003"/>
      <c r="G934" s="1003"/>
      <c r="H934" s="1003"/>
      <c r="I934" s="1003"/>
      <c r="J934" s="1003"/>
      <c r="K934" s="1003"/>
      <c r="L934" s="1003"/>
      <c r="M934" s="1003"/>
      <c r="N934" s="1003"/>
      <c r="O934" s="1003"/>
      <c r="P934" s="1003"/>
      <c r="Q934" s="1003"/>
    </row>
    <row r="935" spans="3:17" ht="15.75" customHeight="1">
      <c r="C935" s="1003"/>
      <c r="D935" s="1003"/>
      <c r="E935" s="1003"/>
      <c r="F935" s="1003"/>
      <c r="G935" s="1003"/>
      <c r="H935" s="1003"/>
      <c r="I935" s="1003"/>
      <c r="J935" s="1003"/>
      <c r="K935" s="1003"/>
      <c r="L935" s="1003"/>
      <c r="M935" s="1003"/>
      <c r="N935" s="1003"/>
      <c r="O935" s="1003"/>
      <c r="P935" s="1003"/>
      <c r="Q935" s="1003"/>
    </row>
    <row r="936" spans="3:17" ht="15.75" customHeight="1">
      <c r="C936" s="1003"/>
      <c r="D936" s="1003"/>
      <c r="E936" s="1003"/>
      <c r="F936" s="1003"/>
      <c r="G936" s="1003"/>
      <c r="H936" s="1003"/>
      <c r="I936" s="1003"/>
      <c r="J936" s="1003"/>
      <c r="K936" s="1003"/>
      <c r="L936" s="1003"/>
      <c r="M936" s="1003"/>
      <c r="N936" s="1003"/>
      <c r="O936" s="1003"/>
      <c r="P936" s="1003"/>
      <c r="Q936" s="1003"/>
    </row>
    <row r="937" spans="3:17" ht="15.75" customHeight="1">
      <c r="C937" s="1003"/>
      <c r="D937" s="1003"/>
      <c r="E937" s="1003"/>
      <c r="F937" s="1003"/>
      <c r="G937" s="1003"/>
      <c r="H937" s="1003"/>
      <c r="I937" s="1003"/>
      <c r="J937" s="1003"/>
      <c r="K937" s="1003"/>
      <c r="L937" s="1003"/>
      <c r="M937" s="1003"/>
      <c r="N937" s="1003"/>
      <c r="O937" s="1003"/>
      <c r="P937" s="1003"/>
      <c r="Q937" s="1003"/>
    </row>
    <row r="938" spans="3:17" ht="15.75" customHeight="1">
      <c r="C938" s="1003"/>
      <c r="D938" s="1003"/>
      <c r="E938" s="1003"/>
      <c r="F938" s="1003"/>
      <c r="G938" s="1003"/>
      <c r="H938" s="1003"/>
      <c r="I938" s="1003"/>
      <c r="J938" s="1003"/>
      <c r="K938" s="1003"/>
      <c r="L938" s="1003"/>
      <c r="M938" s="1003"/>
      <c r="N938" s="1003"/>
      <c r="O938" s="1003"/>
      <c r="P938" s="1003"/>
      <c r="Q938" s="1003"/>
    </row>
    <row r="939" spans="3:17" ht="15.75" customHeight="1">
      <c r="C939" s="1003"/>
      <c r="D939" s="1003"/>
      <c r="E939" s="1003"/>
      <c r="F939" s="1003"/>
      <c r="G939" s="1003"/>
      <c r="H939" s="1003"/>
      <c r="I939" s="1003"/>
      <c r="J939" s="1003"/>
      <c r="K939" s="1003"/>
      <c r="L939" s="1003"/>
      <c r="M939" s="1003"/>
      <c r="N939" s="1003"/>
      <c r="O939" s="1003"/>
      <c r="P939" s="1003"/>
      <c r="Q939" s="1003"/>
    </row>
    <row r="940" spans="3:17" ht="15.75" customHeight="1">
      <c r="C940" s="1003"/>
      <c r="D940" s="1003"/>
      <c r="E940" s="1003"/>
      <c r="F940" s="1003"/>
      <c r="G940" s="1003"/>
      <c r="H940" s="1003"/>
      <c r="I940" s="1003"/>
      <c r="J940" s="1003"/>
      <c r="K940" s="1003"/>
      <c r="L940" s="1003"/>
      <c r="M940" s="1003"/>
      <c r="N940" s="1003"/>
      <c r="O940" s="1003"/>
      <c r="P940" s="1003"/>
      <c r="Q940" s="1003"/>
    </row>
    <row r="941" spans="3:17" ht="15.75" customHeight="1">
      <c r="C941" s="1003"/>
      <c r="D941" s="1003"/>
      <c r="E941" s="1003"/>
      <c r="F941" s="1003"/>
      <c r="G941" s="1003"/>
      <c r="H941" s="1003"/>
      <c r="I941" s="1003"/>
      <c r="J941" s="1003"/>
      <c r="K941" s="1003"/>
      <c r="L941" s="1003"/>
      <c r="M941" s="1003"/>
      <c r="N941" s="1003"/>
      <c r="O941" s="1003"/>
      <c r="P941" s="1003"/>
      <c r="Q941" s="1003"/>
    </row>
    <row r="942" spans="3:17" ht="15.75" customHeight="1">
      <c r="C942" s="1003"/>
      <c r="D942" s="1003"/>
      <c r="E942" s="1003"/>
      <c r="F942" s="1003"/>
      <c r="G942" s="1003"/>
      <c r="H942" s="1003"/>
      <c r="I942" s="1003"/>
      <c r="J942" s="1003"/>
      <c r="K942" s="1003"/>
      <c r="L942" s="1003"/>
      <c r="M942" s="1003"/>
      <c r="N942" s="1003"/>
      <c r="O942" s="1003"/>
      <c r="P942" s="1003"/>
      <c r="Q942" s="1003"/>
    </row>
    <row r="943" spans="3:17" ht="15.75" customHeight="1">
      <c r="C943" s="1003"/>
      <c r="D943" s="1003"/>
      <c r="E943" s="1003"/>
      <c r="F943" s="1003"/>
      <c r="G943" s="1003"/>
      <c r="H943" s="1003"/>
      <c r="I943" s="1003"/>
      <c r="J943" s="1003"/>
      <c r="K943" s="1003"/>
      <c r="L943" s="1003"/>
      <c r="M943" s="1003"/>
      <c r="N943" s="1003"/>
      <c r="O943" s="1003"/>
      <c r="P943" s="1003"/>
      <c r="Q943" s="1003"/>
    </row>
    <row r="944" spans="3:17" ht="15.75" customHeight="1">
      <c r="C944" s="1003"/>
      <c r="D944" s="1003"/>
      <c r="E944" s="1003"/>
      <c r="F944" s="1003"/>
      <c r="G944" s="1003"/>
      <c r="H944" s="1003"/>
      <c r="I944" s="1003"/>
      <c r="J944" s="1003"/>
      <c r="K944" s="1003"/>
      <c r="L944" s="1003"/>
      <c r="M944" s="1003"/>
      <c r="N944" s="1003"/>
      <c r="O944" s="1003"/>
      <c r="P944" s="1003"/>
      <c r="Q944" s="1003"/>
    </row>
    <row r="945" spans="3:17" ht="15.75" customHeight="1">
      <c r="C945" s="1003"/>
      <c r="D945" s="1003"/>
      <c r="E945" s="1003"/>
      <c r="F945" s="1003"/>
      <c r="G945" s="1003"/>
      <c r="H945" s="1003"/>
      <c r="I945" s="1003"/>
      <c r="J945" s="1003"/>
      <c r="K945" s="1003"/>
      <c r="L945" s="1003"/>
      <c r="M945" s="1003"/>
      <c r="N945" s="1003"/>
      <c r="O945" s="1003"/>
      <c r="P945" s="1003"/>
      <c r="Q945" s="1003"/>
    </row>
    <row r="946" spans="3:17" ht="15.75" customHeight="1">
      <c r="C946" s="1003"/>
      <c r="D946" s="1003"/>
      <c r="E946" s="1003"/>
      <c r="F946" s="1003"/>
      <c r="G946" s="1003"/>
      <c r="H946" s="1003"/>
      <c r="I946" s="1003"/>
      <c r="J946" s="1003"/>
      <c r="K946" s="1003"/>
      <c r="L946" s="1003"/>
      <c r="M946" s="1003"/>
      <c r="N946" s="1003"/>
      <c r="O946" s="1003"/>
      <c r="P946" s="1003"/>
      <c r="Q946" s="1003"/>
    </row>
    <row r="947" spans="3:17" ht="15.75" customHeight="1">
      <c r="C947" s="1003"/>
      <c r="D947" s="1003"/>
      <c r="E947" s="1003"/>
      <c r="F947" s="1003"/>
      <c r="G947" s="1003"/>
      <c r="H947" s="1003"/>
      <c r="I947" s="1003"/>
      <c r="J947" s="1003"/>
      <c r="K947" s="1003"/>
      <c r="L947" s="1003"/>
      <c r="M947" s="1003"/>
      <c r="N947" s="1003"/>
      <c r="O947" s="1003"/>
      <c r="P947" s="1003"/>
      <c r="Q947" s="1003"/>
    </row>
    <row r="948" spans="3:17" ht="15.75" customHeight="1">
      <c r="C948" s="1003"/>
      <c r="D948" s="1003"/>
      <c r="E948" s="1003"/>
      <c r="F948" s="1003"/>
      <c r="G948" s="1003"/>
      <c r="H948" s="1003"/>
      <c r="I948" s="1003"/>
      <c r="J948" s="1003"/>
      <c r="K948" s="1003"/>
      <c r="L948" s="1003"/>
      <c r="M948" s="1003"/>
      <c r="N948" s="1003"/>
      <c r="O948" s="1003"/>
      <c r="P948" s="1003"/>
      <c r="Q948" s="1003"/>
    </row>
    <row r="949" spans="3:17" ht="15.75" customHeight="1">
      <c r="C949" s="1003"/>
      <c r="D949" s="1003"/>
      <c r="E949" s="1003"/>
      <c r="F949" s="1003"/>
      <c r="G949" s="1003"/>
      <c r="H949" s="1003"/>
      <c r="I949" s="1003"/>
      <c r="J949" s="1003"/>
      <c r="K949" s="1003"/>
      <c r="L949" s="1003"/>
      <c r="M949" s="1003"/>
      <c r="N949" s="1003"/>
      <c r="O949" s="1003"/>
      <c r="P949" s="1003"/>
      <c r="Q949" s="1003"/>
    </row>
    <row r="950" spans="3:17" ht="15.75" customHeight="1">
      <c r="C950" s="1003"/>
      <c r="D950" s="1003"/>
      <c r="E950" s="1003"/>
      <c r="F950" s="1003"/>
      <c r="G950" s="1003"/>
      <c r="H950" s="1003"/>
      <c r="I950" s="1003"/>
      <c r="J950" s="1003"/>
      <c r="K950" s="1003"/>
      <c r="L950" s="1003"/>
      <c r="M950" s="1003"/>
      <c r="N950" s="1003"/>
      <c r="O950" s="1003"/>
      <c r="P950" s="1003"/>
      <c r="Q950" s="1003"/>
    </row>
    <row r="951" spans="3:17" ht="15.75" customHeight="1">
      <c r="C951" s="1003"/>
      <c r="D951" s="1003"/>
      <c r="E951" s="1003"/>
      <c r="F951" s="1003"/>
      <c r="G951" s="1003"/>
      <c r="H951" s="1003"/>
      <c r="I951" s="1003"/>
      <c r="J951" s="1003"/>
      <c r="K951" s="1003"/>
      <c r="L951" s="1003"/>
      <c r="M951" s="1003"/>
      <c r="N951" s="1003"/>
      <c r="O951" s="1003"/>
      <c r="P951" s="1003"/>
      <c r="Q951" s="1003"/>
    </row>
    <row r="952" spans="3:17" ht="15.75" customHeight="1">
      <c r="C952" s="1003"/>
      <c r="D952" s="1003"/>
      <c r="E952" s="1003"/>
      <c r="F952" s="1003"/>
      <c r="G952" s="1003"/>
      <c r="H952" s="1003"/>
      <c r="I952" s="1003"/>
      <c r="J952" s="1003"/>
      <c r="K952" s="1003"/>
      <c r="L952" s="1003"/>
      <c r="M952" s="1003"/>
      <c r="N952" s="1003"/>
      <c r="O952" s="1003"/>
      <c r="P952" s="1003"/>
      <c r="Q952" s="1003"/>
    </row>
    <row r="953" spans="3:17" ht="15.75" customHeight="1">
      <c r="C953" s="1003"/>
      <c r="D953" s="1003"/>
      <c r="E953" s="1003"/>
      <c r="F953" s="1003"/>
      <c r="G953" s="1003"/>
      <c r="H953" s="1003"/>
      <c r="I953" s="1003"/>
      <c r="J953" s="1003"/>
      <c r="K953" s="1003"/>
      <c r="L953" s="1003"/>
      <c r="M953" s="1003"/>
      <c r="N953" s="1003"/>
      <c r="O953" s="1003"/>
      <c r="P953" s="1003"/>
      <c r="Q953" s="1003"/>
    </row>
    <row r="954" spans="3:17" ht="15.75" customHeight="1">
      <c r="C954" s="1003"/>
      <c r="D954" s="1003"/>
      <c r="E954" s="1003"/>
      <c r="F954" s="1003"/>
      <c r="G954" s="1003"/>
      <c r="H954" s="1003"/>
      <c r="I954" s="1003"/>
      <c r="J954" s="1003"/>
      <c r="K954" s="1003"/>
      <c r="L954" s="1003"/>
      <c r="M954" s="1003"/>
      <c r="N954" s="1003"/>
      <c r="O954" s="1003"/>
      <c r="P954" s="1003"/>
      <c r="Q954" s="1003"/>
    </row>
    <row r="955" spans="3:17" ht="15.75" customHeight="1">
      <c r="C955" s="1003"/>
      <c r="D955" s="1003"/>
      <c r="E955" s="1003"/>
      <c r="F955" s="1003"/>
      <c r="G955" s="1003"/>
      <c r="H955" s="1003"/>
      <c r="I955" s="1003"/>
      <c r="J955" s="1003"/>
      <c r="K955" s="1003"/>
      <c r="L955" s="1003"/>
      <c r="M955" s="1003"/>
      <c r="N955" s="1003"/>
      <c r="O955" s="1003"/>
      <c r="P955" s="1003"/>
      <c r="Q955" s="1003"/>
    </row>
    <row r="956" spans="3:17" ht="15.75" customHeight="1">
      <c r="C956" s="1003"/>
      <c r="D956" s="1003"/>
      <c r="E956" s="1003"/>
      <c r="F956" s="1003"/>
      <c r="G956" s="1003"/>
      <c r="H956" s="1003"/>
      <c r="I956" s="1003"/>
      <c r="J956" s="1003"/>
      <c r="K956" s="1003"/>
      <c r="L956" s="1003"/>
      <c r="M956" s="1003"/>
      <c r="N956" s="1003"/>
      <c r="O956" s="1003"/>
      <c r="P956" s="1003"/>
      <c r="Q956" s="1003"/>
    </row>
    <row r="957" spans="3:17" ht="15.75" customHeight="1">
      <c r="C957" s="1003"/>
      <c r="D957" s="1003"/>
      <c r="E957" s="1003"/>
      <c r="F957" s="1003"/>
      <c r="G957" s="1003"/>
      <c r="H957" s="1003"/>
      <c r="I957" s="1003"/>
      <c r="J957" s="1003"/>
      <c r="K957" s="1003"/>
      <c r="L957" s="1003"/>
      <c r="M957" s="1003"/>
      <c r="N957" s="1003"/>
      <c r="O957" s="1003"/>
      <c r="P957" s="1003"/>
      <c r="Q957" s="1003"/>
    </row>
    <row r="958" spans="3:17" ht="15.75" customHeight="1">
      <c r="C958" s="1003"/>
      <c r="D958" s="1003"/>
      <c r="E958" s="1003"/>
      <c r="F958" s="1003"/>
      <c r="G958" s="1003"/>
      <c r="H958" s="1003"/>
      <c r="I958" s="1003"/>
      <c r="J958" s="1003"/>
      <c r="K958" s="1003"/>
      <c r="L958" s="1003"/>
      <c r="M958" s="1003"/>
      <c r="N958" s="1003"/>
      <c r="O958" s="1003"/>
      <c r="P958" s="1003"/>
      <c r="Q958" s="1003"/>
    </row>
    <row r="959" spans="3:17" ht="15.75" customHeight="1">
      <c r="C959" s="1003"/>
      <c r="D959" s="1003"/>
      <c r="E959" s="1003"/>
      <c r="F959" s="1003"/>
      <c r="G959" s="1003"/>
      <c r="H959" s="1003"/>
      <c r="I959" s="1003"/>
      <c r="J959" s="1003"/>
      <c r="K959" s="1003"/>
      <c r="L959" s="1003"/>
      <c r="M959" s="1003"/>
      <c r="N959" s="1003"/>
      <c r="O959" s="1003"/>
      <c r="P959" s="1003"/>
      <c r="Q959" s="1003"/>
    </row>
    <row r="960" spans="3:17" ht="15.75" customHeight="1">
      <c r="C960" s="1003"/>
      <c r="D960" s="1003"/>
      <c r="E960" s="1003"/>
      <c r="F960" s="1003"/>
      <c r="G960" s="1003"/>
      <c r="H960" s="1003"/>
      <c r="I960" s="1003"/>
      <c r="J960" s="1003"/>
      <c r="K960" s="1003"/>
      <c r="L960" s="1003"/>
      <c r="M960" s="1003"/>
      <c r="N960" s="1003"/>
      <c r="O960" s="1003"/>
      <c r="P960" s="1003"/>
      <c r="Q960" s="1003"/>
    </row>
    <row r="961" spans="3:17" ht="15.75" customHeight="1">
      <c r="C961" s="1003"/>
      <c r="D961" s="1003"/>
      <c r="E961" s="1003"/>
      <c r="F961" s="1003"/>
      <c r="G961" s="1003"/>
      <c r="H961" s="1003"/>
      <c r="I961" s="1003"/>
      <c r="J961" s="1003"/>
      <c r="K961" s="1003"/>
      <c r="L961" s="1003"/>
      <c r="M961" s="1003"/>
      <c r="N961" s="1003"/>
      <c r="O961" s="1003"/>
      <c r="P961" s="1003"/>
      <c r="Q961" s="1003"/>
    </row>
    <row r="962" spans="3:17" ht="15.75" customHeight="1">
      <c r="C962" s="1003"/>
      <c r="D962" s="1003"/>
      <c r="E962" s="1003"/>
      <c r="F962" s="1003"/>
      <c r="G962" s="1003"/>
      <c r="H962" s="1003"/>
      <c r="I962" s="1003"/>
      <c r="J962" s="1003"/>
      <c r="K962" s="1003"/>
      <c r="L962" s="1003"/>
      <c r="M962" s="1003"/>
      <c r="N962" s="1003"/>
      <c r="O962" s="1003"/>
      <c r="P962" s="1003"/>
      <c r="Q962" s="1003"/>
    </row>
    <row r="963" spans="3:17" ht="15.75" customHeight="1">
      <c r="C963" s="1003"/>
      <c r="D963" s="1003"/>
      <c r="E963" s="1003"/>
      <c r="F963" s="1003"/>
      <c r="G963" s="1003"/>
      <c r="H963" s="1003"/>
      <c r="I963" s="1003"/>
      <c r="J963" s="1003"/>
      <c r="K963" s="1003"/>
      <c r="L963" s="1003"/>
      <c r="M963" s="1003"/>
      <c r="N963" s="1003"/>
      <c r="O963" s="1003"/>
      <c r="P963" s="1003"/>
      <c r="Q963" s="1003"/>
    </row>
    <row r="964" spans="3:17" ht="15.75" customHeight="1">
      <c r="C964" s="1003"/>
      <c r="D964" s="1003"/>
      <c r="E964" s="1003"/>
      <c r="F964" s="1003"/>
      <c r="G964" s="1003"/>
      <c r="H964" s="1003"/>
      <c r="I964" s="1003"/>
      <c r="J964" s="1003"/>
      <c r="K964" s="1003"/>
      <c r="L964" s="1003"/>
      <c r="M964" s="1003"/>
      <c r="N964" s="1003"/>
      <c r="O964" s="1003"/>
      <c r="P964" s="1003"/>
      <c r="Q964" s="1003"/>
    </row>
    <row r="965" spans="3:17" ht="15.75" customHeight="1">
      <c r="C965" s="1003"/>
      <c r="D965" s="1003"/>
      <c r="E965" s="1003"/>
      <c r="F965" s="1003"/>
      <c r="G965" s="1003"/>
      <c r="H965" s="1003"/>
      <c r="I965" s="1003"/>
      <c r="J965" s="1003"/>
      <c r="K965" s="1003"/>
      <c r="L965" s="1003"/>
      <c r="M965" s="1003"/>
      <c r="N965" s="1003"/>
      <c r="O965" s="1003"/>
      <c r="P965" s="1003"/>
      <c r="Q965" s="1003"/>
    </row>
    <row r="966" spans="3:17" ht="15.75" customHeight="1">
      <c r="C966" s="1003"/>
      <c r="D966" s="1003"/>
      <c r="E966" s="1003"/>
      <c r="F966" s="1003"/>
      <c r="G966" s="1003"/>
      <c r="H966" s="1003"/>
      <c r="I966" s="1003"/>
      <c r="J966" s="1003"/>
      <c r="K966" s="1003"/>
      <c r="L966" s="1003"/>
      <c r="M966" s="1003"/>
      <c r="N966" s="1003"/>
      <c r="O966" s="1003"/>
      <c r="P966" s="1003"/>
      <c r="Q966" s="1003"/>
    </row>
    <row r="967" spans="3:17" ht="15.75" customHeight="1">
      <c r="C967" s="1003"/>
      <c r="D967" s="1003"/>
      <c r="E967" s="1003"/>
      <c r="F967" s="1003"/>
      <c r="G967" s="1003"/>
      <c r="H967" s="1003"/>
      <c r="I967" s="1003"/>
      <c r="J967" s="1003"/>
      <c r="K967" s="1003"/>
      <c r="L967" s="1003"/>
      <c r="M967" s="1003"/>
      <c r="N967" s="1003"/>
      <c r="O967" s="1003"/>
      <c r="P967" s="1003"/>
      <c r="Q967" s="1003"/>
    </row>
    <row r="968" spans="3:17" ht="15.75" customHeight="1">
      <c r="C968" s="1003"/>
      <c r="D968" s="1003"/>
      <c r="E968" s="1003"/>
      <c r="F968" s="1003"/>
      <c r="G968" s="1003"/>
      <c r="H968" s="1003"/>
      <c r="I968" s="1003"/>
      <c r="J968" s="1003"/>
      <c r="K968" s="1003"/>
      <c r="L968" s="1003"/>
      <c r="M968" s="1003"/>
      <c r="N968" s="1003"/>
      <c r="O968" s="1003"/>
      <c r="P968" s="1003"/>
      <c r="Q968" s="1003"/>
    </row>
    <row r="969" spans="3:17" ht="15.75" customHeight="1">
      <c r="C969" s="1003"/>
      <c r="D969" s="1003"/>
      <c r="E969" s="1003"/>
      <c r="F969" s="1003"/>
      <c r="G969" s="1003"/>
      <c r="H969" s="1003"/>
      <c r="I969" s="1003"/>
      <c r="J969" s="1003"/>
      <c r="K969" s="1003"/>
      <c r="L969" s="1003"/>
      <c r="M969" s="1003"/>
      <c r="N969" s="1003"/>
      <c r="O969" s="1003"/>
      <c r="P969" s="1003"/>
      <c r="Q969" s="1003"/>
    </row>
    <row r="970" spans="3:17" ht="15.75" customHeight="1">
      <c r="C970" s="1003"/>
      <c r="D970" s="1003"/>
      <c r="E970" s="1003"/>
      <c r="F970" s="1003"/>
      <c r="G970" s="1003"/>
      <c r="H970" s="1003"/>
      <c r="I970" s="1003"/>
      <c r="J970" s="1003"/>
      <c r="K970" s="1003"/>
      <c r="L970" s="1003"/>
      <c r="M970" s="1003"/>
      <c r="N970" s="1003"/>
      <c r="O970" s="1003"/>
      <c r="P970" s="1003"/>
      <c r="Q970" s="1003"/>
    </row>
    <row r="971" spans="3:17" ht="15.75" customHeight="1">
      <c r="C971" s="1003"/>
      <c r="D971" s="1003"/>
      <c r="E971" s="1003"/>
      <c r="F971" s="1003"/>
      <c r="G971" s="1003"/>
      <c r="H971" s="1003"/>
      <c r="I971" s="1003"/>
      <c r="J971" s="1003"/>
      <c r="K971" s="1003"/>
      <c r="L971" s="1003"/>
      <c r="M971" s="1003"/>
      <c r="N971" s="1003"/>
      <c r="O971" s="1003"/>
      <c r="P971" s="1003"/>
      <c r="Q971" s="1003"/>
    </row>
    <row r="972" spans="3:17" ht="15.75" customHeight="1">
      <c r="C972" s="1003"/>
      <c r="D972" s="1003"/>
      <c r="E972" s="1003"/>
      <c r="F972" s="1003"/>
      <c r="G972" s="1003"/>
      <c r="H972" s="1003"/>
      <c r="I972" s="1003"/>
      <c r="J972" s="1003"/>
      <c r="K972" s="1003"/>
      <c r="L972" s="1003"/>
      <c r="M972" s="1003"/>
      <c r="N972" s="1003"/>
      <c r="O972" s="1003"/>
      <c r="P972" s="1003"/>
      <c r="Q972" s="1003"/>
    </row>
    <row r="973" spans="3:17" ht="15.75" customHeight="1">
      <c r="C973" s="1003"/>
      <c r="D973" s="1003"/>
      <c r="E973" s="1003"/>
      <c r="F973" s="1003"/>
      <c r="G973" s="1003"/>
      <c r="H973" s="1003"/>
      <c r="I973" s="1003"/>
      <c r="J973" s="1003"/>
      <c r="K973" s="1003"/>
      <c r="L973" s="1003"/>
      <c r="M973" s="1003"/>
      <c r="N973" s="1003"/>
      <c r="O973" s="1003"/>
      <c r="P973" s="1003"/>
      <c r="Q973" s="1003"/>
    </row>
    <row r="974" spans="3:17" ht="15.75" customHeight="1">
      <c r="C974" s="1003"/>
      <c r="D974" s="1003"/>
      <c r="E974" s="1003"/>
      <c r="F974" s="1003"/>
      <c r="G974" s="1003"/>
      <c r="H974" s="1003"/>
      <c r="I974" s="1003"/>
      <c r="J974" s="1003"/>
      <c r="K974" s="1003"/>
      <c r="L974" s="1003"/>
      <c r="M974" s="1003"/>
      <c r="N974" s="1003"/>
      <c r="O974" s="1003"/>
      <c r="P974" s="1003"/>
      <c r="Q974" s="1003"/>
    </row>
    <row r="975" spans="3:17" ht="15.75" customHeight="1">
      <c r="C975" s="1003"/>
      <c r="D975" s="1003"/>
      <c r="E975" s="1003"/>
      <c r="F975" s="1003"/>
      <c r="G975" s="1003"/>
      <c r="H975" s="1003"/>
      <c r="I975" s="1003"/>
      <c r="J975" s="1003"/>
      <c r="K975" s="1003"/>
      <c r="L975" s="1003"/>
      <c r="M975" s="1003"/>
      <c r="N975" s="1003"/>
      <c r="O975" s="1003"/>
      <c r="P975" s="1003"/>
      <c r="Q975" s="1003"/>
    </row>
    <row r="976" spans="3:17" ht="15.75" customHeight="1">
      <c r="C976" s="1003"/>
      <c r="D976" s="1003"/>
      <c r="E976" s="1003"/>
      <c r="F976" s="1003"/>
      <c r="G976" s="1003"/>
      <c r="H976" s="1003"/>
      <c r="I976" s="1003"/>
      <c r="J976" s="1003"/>
      <c r="K976" s="1003"/>
      <c r="L976" s="1003"/>
      <c r="M976" s="1003"/>
      <c r="N976" s="1003"/>
      <c r="O976" s="1003"/>
      <c r="P976" s="1003"/>
      <c r="Q976" s="1003"/>
    </row>
    <row r="977" spans="3:17" ht="15.75" customHeight="1">
      <c r="C977" s="1003"/>
      <c r="D977" s="1003"/>
      <c r="E977" s="1003"/>
      <c r="F977" s="1003"/>
      <c r="G977" s="1003"/>
      <c r="H977" s="1003"/>
      <c r="I977" s="1003"/>
      <c r="J977" s="1003"/>
      <c r="K977" s="1003"/>
      <c r="L977" s="1003"/>
      <c r="M977" s="1003"/>
      <c r="N977" s="1003"/>
      <c r="O977" s="1003"/>
      <c r="P977" s="1003"/>
      <c r="Q977" s="1003"/>
    </row>
    <row r="978" spans="3:17" ht="15.75" customHeight="1">
      <c r="C978" s="1003"/>
      <c r="D978" s="1003"/>
      <c r="E978" s="1003"/>
      <c r="F978" s="1003"/>
      <c r="G978" s="1003"/>
      <c r="H978" s="1003"/>
      <c r="I978" s="1003"/>
      <c r="J978" s="1003"/>
      <c r="K978" s="1003"/>
      <c r="L978" s="1003"/>
      <c r="M978" s="1003"/>
      <c r="N978" s="1003"/>
      <c r="O978" s="1003"/>
      <c r="P978" s="1003"/>
      <c r="Q978" s="1003"/>
    </row>
    <row r="979" spans="3:17" ht="15.75" customHeight="1">
      <c r="C979" s="1003"/>
      <c r="D979" s="1003"/>
      <c r="E979" s="1003"/>
      <c r="F979" s="1003"/>
      <c r="G979" s="1003"/>
      <c r="H979" s="1003"/>
      <c r="I979" s="1003"/>
      <c r="J979" s="1003"/>
      <c r="K979" s="1003"/>
      <c r="L979" s="1003"/>
      <c r="M979" s="1003"/>
      <c r="N979" s="1003"/>
      <c r="O979" s="1003"/>
      <c r="P979" s="1003"/>
      <c r="Q979" s="1003"/>
    </row>
    <row r="980" spans="3:17" ht="15.75" customHeight="1">
      <c r="C980" s="1003"/>
      <c r="D980" s="1003"/>
      <c r="E980" s="1003"/>
      <c r="F980" s="1003"/>
      <c r="G980" s="1003"/>
      <c r="H980" s="1003"/>
      <c r="I980" s="1003"/>
      <c r="J980" s="1003"/>
      <c r="K980" s="1003"/>
      <c r="L980" s="1003"/>
      <c r="M980" s="1003"/>
      <c r="N980" s="1003"/>
      <c r="O980" s="1003"/>
      <c r="P980" s="1003"/>
      <c r="Q980" s="1003"/>
    </row>
    <row r="981" spans="3:17" ht="15.75" customHeight="1">
      <c r="C981" s="1003"/>
      <c r="D981" s="1003"/>
      <c r="E981" s="1003"/>
      <c r="F981" s="1003"/>
      <c r="G981" s="1003"/>
      <c r="H981" s="1003"/>
      <c r="I981" s="1003"/>
      <c r="J981" s="1003"/>
      <c r="K981" s="1003"/>
      <c r="L981" s="1003"/>
      <c r="M981" s="1003"/>
      <c r="N981" s="1003"/>
      <c r="O981" s="1003"/>
      <c r="P981" s="1003"/>
      <c r="Q981" s="1003"/>
    </row>
    <row r="982" spans="3:17" ht="15.75" customHeight="1">
      <c r="C982" s="1003"/>
      <c r="D982" s="1003"/>
      <c r="E982" s="1003"/>
      <c r="F982" s="1003"/>
      <c r="G982" s="1003"/>
      <c r="H982" s="1003"/>
      <c r="I982" s="1003"/>
      <c r="J982" s="1003"/>
      <c r="K982" s="1003"/>
      <c r="L982" s="1003"/>
      <c r="M982" s="1003"/>
      <c r="N982" s="1003"/>
      <c r="O982" s="1003"/>
      <c r="P982" s="1003"/>
      <c r="Q982" s="1003"/>
    </row>
    <row r="983" spans="3:17" ht="15.75" customHeight="1">
      <c r="C983" s="1003"/>
      <c r="D983" s="1003"/>
      <c r="E983" s="1003"/>
      <c r="F983" s="1003"/>
      <c r="G983" s="1003"/>
      <c r="H983" s="1003"/>
      <c r="I983" s="1003"/>
      <c r="J983" s="1003"/>
      <c r="K983" s="1003"/>
      <c r="L983" s="1003"/>
      <c r="M983" s="1003"/>
      <c r="N983" s="1003"/>
      <c r="O983" s="1003"/>
      <c r="P983" s="1003"/>
      <c r="Q983" s="1003"/>
    </row>
    <row r="984" spans="3:17" ht="15.75" customHeight="1">
      <c r="C984" s="1003"/>
      <c r="D984" s="1003"/>
      <c r="E984" s="1003"/>
      <c r="F984" s="1003"/>
      <c r="G984" s="1003"/>
      <c r="H984" s="1003"/>
      <c r="I984" s="1003"/>
      <c r="J984" s="1003"/>
      <c r="K984" s="1003"/>
      <c r="L984" s="1003"/>
      <c r="M984" s="1003"/>
      <c r="N984" s="1003"/>
      <c r="O984" s="1003"/>
      <c r="P984" s="1003"/>
      <c r="Q984" s="1003"/>
    </row>
    <row r="985" spans="3:17" ht="15.75" customHeight="1">
      <c r="C985" s="1003"/>
      <c r="D985" s="1003"/>
      <c r="E985" s="1003"/>
      <c r="F985" s="1003"/>
      <c r="G985" s="1003"/>
      <c r="H985" s="1003"/>
      <c r="I985" s="1003"/>
      <c r="J985" s="1003"/>
      <c r="K985" s="1003"/>
      <c r="L985" s="1003"/>
      <c r="M985" s="1003"/>
      <c r="N985" s="1003"/>
      <c r="O985" s="1003"/>
      <c r="P985" s="1003"/>
      <c r="Q985" s="1003"/>
    </row>
    <row r="986" spans="3:17" ht="15.75" customHeight="1">
      <c r="C986" s="1003"/>
      <c r="D986" s="1003"/>
      <c r="E986" s="1003"/>
      <c r="F986" s="1003"/>
      <c r="G986" s="1003"/>
      <c r="H986" s="1003"/>
      <c r="I986" s="1003"/>
      <c r="J986" s="1003"/>
      <c r="K986" s="1003"/>
      <c r="L986" s="1003"/>
      <c r="M986" s="1003"/>
      <c r="N986" s="1003"/>
      <c r="O986" s="1003"/>
      <c r="P986" s="1003"/>
      <c r="Q986" s="1003"/>
    </row>
    <row r="987" spans="3:17" ht="15.75" customHeight="1">
      <c r="C987" s="1003"/>
      <c r="D987" s="1003"/>
      <c r="E987" s="1003"/>
      <c r="F987" s="1003"/>
      <c r="G987" s="1003"/>
      <c r="H987" s="1003"/>
      <c r="I987" s="1003"/>
      <c r="J987" s="1003"/>
      <c r="K987" s="1003"/>
      <c r="L987" s="1003"/>
      <c r="M987" s="1003"/>
      <c r="N987" s="1003"/>
      <c r="O987" s="1003"/>
      <c r="P987" s="1003"/>
      <c r="Q987" s="1003"/>
    </row>
    <row r="988" spans="3:17" ht="15.75" customHeight="1">
      <c r="C988" s="1003"/>
      <c r="D988" s="1003"/>
      <c r="E988" s="1003"/>
      <c r="F988" s="1003"/>
      <c r="G988" s="1003"/>
      <c r="H988" s="1003"/>
      <c r="I988" s="1003"/>
      <c r="J988" s="1003"/>
      <c r="K988" s="1003"/>
      <c r="L988" s="1003"/>
      <c r="M988" s="1003"/>
      <c r="N988" s="1003"/>
      <c r="O988" s="1003"/>
      <c r="P988" s="1003"/>
      <c r="Q988" s="1003"/>
    </row>
    <row r="989" spans="3:17" ht="15.75" customHeight="1">
      <c r="C989" s="1003"/>
      <c r="D989" s="1003"/>
      <c r="E989" s="1003"/>
      <c r="F989" s="1003"/>
      <c r="G989" s="1003"/>
      <c r="H989" s="1003"/>
      <c r="I989" s="1003"/>
      <c r="J989" s="1003"/>
      <c r="K989" s="1003"/>
      <c r="L989" s="1003"/>
      <c r="M989" s="1003"/>
      <c r="N989" s="1003"/>
      <c r="O989" s="1003"/>
      <c r="P989" s="1003"/>
      <c r="Q989" s="1003"/>
    </row>
    <row r="990" spans="3:17" ht="15.75" customHeight="1">
      <c r="C990" s="1003"/>
      <c r="D990" s="1003"/>
      <c r="E990" s="1003"/>
      <c r="F990" s="1003"/>
      <c r="G990" s="1003"/>
      <c r="H990" s="1003"/>
      <c r="I990" s="1003"/>
      <c r="J990" s="1003"/>
      <c r="K990" s="1003"/>
      <c r="L990" s="1003"/>
      <c r="M990" s="1003"/>
      <c r="N990" s="1003"/>
      <c r="O990" s="1003"/>
      <c r="P990" s="1003"/>
      <c r="Q990" s="1003"/>
    </row>
    <row r="991" spans="3:17" ht="15.75" customHeight="1">
      <c r="C991" s="1003"/>
      <c r="D991" s="1003"/>
      <c r="E991" s="1003"/>
      <c r="F991" s="1003"/>
      <c r="G991" s="1003"/>
      <c r="H991" s="1003"/>
      <c r="I991" s="1003"/>
      <c r="J991" s="1003"/>
      <c r="K991" s="1003"/>
      <c r="L991" s="1003"/>
      <c r="M991" s="1003"/>
      <c r="N991" s="1003"/>
      <c r="O991" s="1003"/>
      <c r="P991" s="1003"/>
      <c r="Q991" s="1003"/>
    </row>
    <row r="992" spans="3:17" ht="15.75" customHeight="1">
      <c r="C992" s="1003"/>
      <c r="D992" s="1003"/>
      <c r="E992" s="1003"/>
      <c r="F992" s="1003"/>
      <c r="G992" s="1003"/>
      <c r="H992" s="1003"/>
      <c r="I992" s="1003"/>
      <c r="J992" s="1003"/>
      <c r="K992" s="1003"/>
      <c r="L992" s="1003"/>
      <c r="M992" s="1003"/>
      <c r="N992" s="1003"/>
      <c r="O992" s="1003"/>
      <c r="P992" s="1003"/>
      <c r="Q992" s="1003"/>
    </row>
    <row r="993" spans="3:17" ht="15.75" customHeight="1">
      <c r="C993" s="1003"/>
      <c r="D993" s="1003"/>
      <c r="E993" s="1003"/>
      <c r="F993" s="1003"/>
      <c r="G993" s="1003"/>
      <c r="H993" s="1003"/>
      <c r="I993" s="1003"/>
      <c r="J993" s="1003"/>
      <c r="K993" s="1003"/>
      <c r="L993" s="1003"/>
      <c r="M993" s="1003"/>
      <c r="N993" s="1003"/>
      <c r="O993" s="1003"/>
      <c r="P993" s="1003"/>
      <c r="Q993" s="1003"/>
    </row>
    <row r="994" spans="3:17" ht="15.75" customHeight="1">
      <c r="C994" s="1003"/>
      <c r="D994" s="1003"/>
      <c r="E994" s="1003"/>
      <c r="F994" s="1003"/>
      <c r="G994" s="1003"/>
      <c r="H994" s="1003"/>
      <c r="I994" s="1003"/>
      <c r="J994" s="1003"/>
      <c r="K994" s="1003"/>
      <c r="L994" s="1003"/>
      <c r="M994" s="1003"/>
      <c r="N994" s="1003"/>
      <c r="O994" s="1003"/>
      <c r="P994" s="1003"/>
      <c r="Q994" s="1003"/>
    </row>
    <row r="995" spans="3:17" ht="15.75" customHeight="1">
      <c r="C995" s="1003"/>
      <c r="D995" s="1003"/>
      <c r="E995" s="1003"/>
      <c r="F995" s="1003"/>
      <c r="G995" s="1003"/>
      <c r="H995" s="1003"/>
      <c r="I995" s="1003"/>
      <c r="J995" s="1003"/>
      <c r="K995" s="1003"/>
      <c r="L995" s="1003"/>
      <c r="M995" s="1003"/>
      <c r="N995" s="1003"/>
      <c r="O995" s="1003"/>
      <c r="P995" s="1003"/>
      <c r="Q995" s="1003"/>
    </row>
    <row r="996" spans="3:17" ht="15.75" customHeight="1">
      <c r="C996" s="1003"/>
      <c r="D996" s="1003"/>
      <c r="E996" s="1003"/>
      <c r="F996" s="1003"/>
      <c r="G996" s="1003"/>
      <c r="H996" s="1003"/>
      <c r="I996" s="1003"/>
      <c r="J996" s="1003"/>
      <c r="K996" s="1003"/>
      <c r="L996" s="1003"/>
      <c r="M996" s="1003"/>
      <c r="N996" s="1003"/>
      <c r="O996" s="1003"/>
      <c r="P996" s="1003"/>
      <c r="Q996" s="1003"/>
    </row>
    <row r="997" spans="3:17" ht="15.75" customHeight="1">
      <c r="C997" s="1003"/>
      <c r="D997" s="1003"/>
      <c r="E997" s="1003"/>
      <c r="F997" s="1003"/>
      <c r="G997" s="1003"/>
      <c r="H997" s="1003"/>
      <c r="I997" s="1003"/>
      <c r="J997" s="1003"/>
      <c r="K997" s="1003"/>
      <c r="L997" s="1003"/>
      <c r="M997" s="1003"/>
      <c r="N997" s="1003"/>
      <c r="O997" s="1003"/>
      <c r="P997" s="1003"/>
      <c r="Q997" s="1003"/>
    </row>
    <row r="998" spans="3:17" ht="15.75" customHeight="1">
      <c r="C998" s="1003"/>
      <c r="D998" s="1003"/>
      <c r="E998" s="1003"/>
      <c r="F998" s="1003"/>
      <c r="G998" s="1003"/>
      <c r="H998" s="1003"/>
      <c r="I998" s="1003"/>
      <c r="J998" s="1003"/>
      <c r="K998" s="1003"/>
      <c r="L998" s="1003"/>
      <c r="M998" s="1003"/>
      <c r="N998" s="1003"/>
      <c r="O998" s="1003"/>
      <c r="P998" s="1003"/>
      <c r="Q998" s="1003"/>
    </row>
    <row r="999" spans="3:17" ht="15.75" customHeight="1">
      <c r="C999" s="1003"/>
      <c r="D999" s="1003"/>
      <c r="E999" s="1003"/>
      <c r="F999" s="1003"/>
      <c r="G999" s="1003"/>
      <c r="H999" s="1003"/>
      <c r="I999" s="1003"/>
      <c r="J999" s="1003"/>
      <c r="K999" s="1003"/>
      <c r="L999" s="1003"/>
      <c r="M999" s="1003"/>
      <c r="N999" s="1003"/>
      <c r="O999" s="1003"/>
      <c r="P999" s="1003"/>
      <c r="Q999" s="1003"/>
    </row>
    <row r="1000" spans="3:17" ht="15.75" customHeight="1">
      <c r="C1000" s="1003"/>
      <c r="D1000" s="1003"/>
      <c r="E1000" s="1003"/>
      <c r="F1000" s="1003"/>
      <c r="G1000" s="1003"/>
      <c r="H1000" s="1003"/>
      <c r="I1000" s="1003"/>
      <c r="J1000" s="1003"/>
      <c r="K1000" s="1003"/>
      <c r="L1000" s="1003"/>
      <c r="M1000" s="1003"/>
      <c r="N1000" s="1003"/>
      <c r="O1000" s="1003"/>
      <c r="P1000" s="1003"/>
      <c r="Q1000" s="1003"/>
    </row>
    <row r="1001" spans="3:17" ht="15.75" customHeight="1">
      <c r="C1001" s="1003"/>
      <c r="D1001" s="1003"/>
      <c r="E1001" s="1003"/>
      <c r="F1001" s="1003"/>
      <c r="G1001" s="1003"/>
      <c r="H1001" s="1003"/>
      <c r="I1001" s="1003"/>
      <c r="J1001" s="1003"/>
      <c r="K1001" s="1003"/>
      <c r="L1001" s="1003"/>
      <c r="M1001" s="1003"/>
      <c r="N1001" s="1003"/>
      <c r="O1001" s="1003"/>
      <c r="P1001" s="1003"/>
      <c r="Q1001" s="1003"/>
    </row>
    <row r="1002" spans="3:17" ht="15.75" customHeight="1">
      <c r="C1002" s="1003"/>
      <c r="D1002" s="1003"/>
      <c r="E1002" s="1003"/>
      <c r="F1002" s="1003"/>
      <c r="G1002" s="1003"/>
      <c r="H1002" s="1003"/>
      <c r="I1002" s="1003"/>
      <c r="J1002" s="1003"/>
      <c r="K1002" s="1003"/>
      <c r="L1002" s="1003"/>
      <c r="M1002" s="1003"/>
      <c r="N1002" s="1003"/>
      <c r="O1002" s="1003"/>
      <c r="P1002" s="1003"/>
      <c r="Q1002" s="1003"/>
    </row>
  </sheetData>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A9D08E"/>
    <pageSetUpPr fitToPage="1"/>
  </sheetPr>
  <dimension ref="A1:X1000"/>
  <sheetViews>
    <sheetView showGridLines="0" workbookViewId="0">
      <pane xSplit="1" topLeftCell="B1" activePane="topRight" state="frozen"/>
      <selection pane="topRight"/>
    </sheetView>
  </sheetViews>
  <sheetFormatPr defaultColWidth="12.6328125" defaultRowHeight="15" customHeight="1"/>
  <cols>
    <col min="1" max="1" width="3.26953125" customWidth="1"/>
    <col min="2" max="2" width="38.1796875" customWidth="1"/>
    <col min="3" max="3" width="17.26953125" customWidth="1"/>
    <col min="4" max="4" width="14.54296875" customWidth="1"/>
    <col min="5" max="7" width="3.6328125" customWidth="1"/>
    <col min="8" max="21" width="14.90625" customWidth="1"/>
    <col min="22" max="24" width="13" customWidth="1"/>
  </cols>
  <sheetData>
    <row r="1" spans="1:24" ht="14.25" customHeight="1">
      <c r="A1" s="1475"/>
      <c r="B1" s="1475"/>
      <c r="C1" s="1475"/>
      <c r="D1" s="1475"/>
      <c r="E1" s="1475"/>
      <c r="F1" s="1475"/>
      <c r="G1" s="1475"/>
      <c r="H1" s="1475"/>
      <c r="I1" s="1475"/>
      <c r="J1" s="1475"/>
      <c r="K1" s="1475"/>
      <c r="L1" s="1475"/>
      <c r="M1" s="1475"/>
      <c r="N1" s="1475"/>
      <c r="O1" s="1475"/>
      <c r="P1" s="1475"/>
      <c r="Q1" s="1475"/>
      <c r="R1" s="1475"/>
      <c r="S1" s="1475"/>
      <c r="T1" s="1475"/>
      <c r="U1" s="1475"/>
      <c r="V1" s="1475"/>
      <c r="W1" s="1475"/>
      <c r="X1" s="1475"/>
    </row>
    <row r="2" spans="1:24" ht="30" customHeight="1" thickBot="1">
      <c r="A2" s="1488" t="s">
        <v>334</v>
      </c>
      <c r="B2" s="1489"/>
      <c r="C2" s="1489"/>
      <c r="D2" s="1489"/>
      <c r="E2" s="1489"/>
      <c r="F2" s="1489"/>
      <c r="G2" s="1489"/>
      <c r="H2" s="1489"/>
      <c r="I2" s="1489"/>
      <c r="J2" s="1489"/>
      <c r="K2" s="1489"/>
      <c r="L2" s="1489"/>
      <c r="M2" s="1489"/>
      <c r="N2" s="1489"/>
      <c r="O2" s="1489"/>
      <c r="P2" s="1489"/>
      <c r="Q2" s="1489"/>
      <c r="R2" s="1489"/>
      <c r="S2" s="1489"/>
      <c r="T2" s="1489"/>
      <c r="U2" s="1489"/>
      <c r="V2" s="1475"/>
      <c r="W2" s="1475"/>
      <c r="X2" s="1475"/>
    </row>
    <row r="3" spans="1:24" ht="24" customHeight="1">
      <c r="A3" s="1476"/>
      <c r="B3" s="1477"/>
      <c r="C3" s="1477"/>
      <c r="D3" s="1477"/>
      <c r="E3" s="1477"/>
      <c r="F3" s="1477"/>
      <c r="G3" s="1477"/>
      <c r="H3" s="1477"/>
      <c r="I3" s="1477"/>
      <c r="J3" s="1477"/>
      <c r="K3" s="1477"/>
      <c r="L3" s="1477"/>
      <c r="M3" s="1477"/>
      <c r="N3" s="1477"/>
      <c r="O3" s="1477"/>
      <c r="P3" s="1477"/>
      <c r="Q3" s="1477"/>
      <c r="R3" s="1477"/>
      <c r="S3" s="1477"/>
      <c r="T3" s="1477"/>
      <c r="U3" s="1477"/>
      <c r="V3" s="1475"/>
      <c r="W3" s="1475"/>
      <c r="X3" s="1475"/>
    </row>
    <row r="4" spans="1:24" ht="15" customHeight="1">
      <c r="A4" s="1476"/>
      <c r="B4" s="1495" t="s">
        <v>1795</v>
      </c>
      <c r="C4" s="1493" t="s">
        <v>1796</v>
      </c>
      <c r="D4" s="1499" t="s">
        <v>253</v>
      </c>
      <c r="E4" s="1475"/>
      <c r="F4" s="1475"/>
      <c r="G4" s="1475"/>
      <c r="H4" s="1475"/>
      <c r="I4" s="1475"/>
      <c r="J4" s="1475"/>
      <c r="K4" s="1475"/>
      <c r="L4" s="1475"/>
      <c r="M4" s="1478"/>
      <c r="N4" s="1478"/>
      <c r="O4" s="1478"/>
      <c r="P4" s="1478"/>
      <c r="Q4" s="1478"/>
      <c r="R4" s="1478"/>
      <c r="S4" s="1478"/>
      <c r="T4" s="1478"/>
      <c r="U4" s="1478"/>
      <c r="V4" s="1478"/>
      <c r="W4" s="1478"/>
      <c r="X4" s="1478"/>
    </row>
    <row r="5" spans="1:24" ht="15" customHeight="1">
      <c r="A5" s="1476"/>
      <c r="B5" s="1496"/>
      <c r="C5" s="1490">
        <f>Inputs!E53-Inputs!E51</f>
        <v>12675915</v>
      </c>
      <c r="D5" s="1500">
        <f>Inputs!E75</f>
        <v>0</v>
      </c>
      <c r="E5" s="1475"/>
      <c r="F5" s="1475"/>
      <c r="G5" s="1475"/>
      <c r="H5" s="1475"/>
      <c r="I5" s="1475"/>
      <c r="J5" s="1479"/>
      <c r="K5" s="1475"/>
      <c r="L5" s="1475"/>
      <c r="M5" s="1478"/>
      <c r="N5" s="1478"/>
      <c r="O5" s="1478"/>
      <c r="P5" s="1478"/>
      <c r="Q5" s="1478"/>
      <c r="R5" s="1478"/>
      <c r="S5" s="1478"/>
      <c r="T5" s="1478"/>
      <c r="U5" s="1478"/>
      <c r="V5" s="1478"/>
      <c r="W5" s="1478"/>
      <c r="X5" s="1478"/>
    </row>
    <row r="6" spans="1:24" ht="15" customHeight="1">
      <c r="A6" s="1476"/>
      <c r="B6" s="1497" t="str">
        <f>Inputs!D64</f>
        <v>Years</v>
      </c>
      <c r="C6" s="1491">
        <f>Inputs!E64</f>
        <v>10</v>
      </c>
      <c r="D6" s="1501">
        <f>Inputs!E73</f>
        <v>10</v>
      </c>
      <c r="E6" s="1475"/>
      <c r="F6" s="1475"/>
      <c r="G6" s="1475"/>
      <c r="H6" s="1475"/>
      <c r="I6" s="1475"/>
      <c r="J6" s="1475"/>
      <c r="K6" s="1475"/>
      <c r="L6" s="1475"/>
      <c r="M6" s="1478"/>
      <c r="N6" s="1478"/>
      <c r="O6" s="1478"/>
      <c r="P6" s="1478"/>
      <c r="Q6" s="1478"/>
      <c r="R6" s="1478"/>
      <c r="S6" s="1478"/>
      <c r="T6" s="1478"/>
      <c r="U6" s="1478"/>
      <c r="V6" s="1478"/>
      <c r="W6" s="1478"/>
      <c r="X6" s="1478"/>
    </row>
    <row r="7" spans="1:24" ht="15" customHeight="1">
      <c r="A7" s="1476"/>
      <c r="B7" s="1497" t="str">
        <f>Inputs!D65</f>
        <v>%</v>
      </c>
      <c r="C7" s="1492">
        <f>Inputs!E63</f>
        <v>0.08</v>
      </c>
      <c r="D7" s="1502">
        <f>Inputs!E72</f>
        <v>0.12</v>
      </c>
      <c r="E7" s="1475"/>
      <c r="F7" s="1475"/>
      <c r="G7" s="1475"/>
      <c r="H7" s="1475"/>
      <c r="I7" s="1475"/>
      <c r="J7" s="1475"/>
      <c r="K7" s="1475"/>
      <c r="L7" s="1475"/>
      <c r="M7" s="1478"/>
      <c r="N7" s="1478"/>
      <c r="O7" s="1478"/>
      <c r="P7" s="1478"/>
      <c r="Q7" s="1478"/>
      <c r="R7" s="1478"/>
      <c r="S7" s="1478"/>
      <c r="T7" s="1478"/>
      <c r="U7" s="1478"/>
      <c r="V7" s="1478"/>
      <c r="W7" s="1478"/>
      <c r="X7" s="1478"/>
    </row>
    <row r="8" spans="1:24" ht="15" customHeight="1">
      <c r="A8" s="1476"/>
      <c r="B8" s="1497" t="str">
        <f>Inputs!D66</f>
        <v>AUD</v>
      </c>
      <c r="C8" s="1482" t="str">
        <f>Inputs!E68</f>
        <v>FY27</v>
      </c>
      <c r="D8" s="1503" t="str">
        <f>Inputs!E77</f>
        <v>FY27</v>
      </c>
      <c r="E8" s="1475"/>
      <c r="F8" s="1475"/>
      <c r="G8" s="1475"/>
      <c r="H8" s="1475"/>
      <c r="I8" s="1475"/>
      <c r="J8" s="1475"/>
      <c r="K8" s="1475"/>
      <c r="L8" s="1475"/>
      <c r="M8" s="1478"/>
      <c r="N8" s="1478"/>
      <c r="O8" s="1478"/>
      <c r="P8" s="1478"/>
      <c r="Q8" s="1478"/>
      <c r="R8" s="1478"/>
      <c r="S8" s="1478"/>
      <c r="T8" s="1478"/>
      <c r="U8" s="1478"/>
      <c r="V8" s="1478"/>
      <c r="W8" s="1478"/>
      <c r="X8" s="1478"/>
    </row>
    <row r="9" spans="1:24" ht="15" customHeight="1">
      <c r="A9" s="1476"/>
      <c r="B9" s="1498">
        <f>Inputs!D67</f>
        <v>0</v>
      </c>
      <c r="C9" s="1494" t="s">
        <v>850</v>
      </c>
      <c r="D9" s="1504" t="str">
        <f>Inputs!$G$73</f>
        <v>5-year term</v>
      </c>
      <c r="E9" s="1475"/>
      <c r="F9" s="1475"/>
      <c r="G9" s="1475"/>
      <c r="H9" s="1475"/>
      <c r="I9" s="1475"/>
      <c r="J9" s="1475"/>
      <c r="K9" s="1475"/>
      <c r="L9" s="1475"/>
      <c r="M9" s="1478"/>
      <c r="N9" s="1478"/>
      <c r="O9" s="1478"/>
      <c r="P9" s="1478"/>
      <c r="Q9" s="1478"/>
      <c r="R9" s="1478"/>
      <c r="S9" s="1478"/>
      <c r="T9" s="1478"/>
      <c r="U9" s="1478"/>
      <c r="V9" s="1478"/>
      <c r="W9" s="1478"/>
      <c r="X9" s="1478"/>
    </row>
    <row r="10" spans="1:24" ht="15" customHeight="1">
      <c r="A10" s="1481"/>
      <c r="B10" s="1475"/>
      <c r="C10" s="1475"/>
      <c r="D10" s="1475"/>
      <c r="E10" s="1475"/>
      <c r="F10" s="1475"/>
      <c r="G10" s="1475"/>
      <c r="H10" s="1475"/>
      <c r="I10" s="1475"/>
      <c r="J10" s="1475"/>
      <c r="K10" s="1475"/>
      <c r="L10" s="1475"/>
      <c r="M10" s="1478"/>
      <c r="N10" s="1478"/>
      <c r="O10" s="1478"/>
      <c r="P10" s="1478"/>
      <c r="Q10" s="1478"/>
      <c r="R10" s="1478"/>
      <c r="S10" s="1478"/>
      <c r="T10" s="1478"/>
      <c r="U10" s="1478"/>
      <c r="V10" s="1478"/>
      <c r="W10" s="1478"/>
      <c r="X10" s="1478"/>
    </row>
    <row r="11" spans="1:24" ht="22" customHeight="1">
      <c r="A11" s="1481"/>
      <c r="B11" s="1505" t="s">
        <v>1796</v>
      </c>
      <c r="C11" s="1506"/>
      <c r="D11" s="1506"/>
      <c r="E11" s="1506"/>
      <c r="F11" s="1506"/>
      <c r="G11" s="1506"/>
      <c r="H11" s="1506"/>
      <c r="I11" s="1506"/>
      <c r="J11" s="1506"/>
      <c r="K11" s="1506"/>
      <c r="L11" s="1506"/>
      <c r="M11" s="1506"/>
      <c r="N11" s="1506"/>
      <c r="O11" s="1506"/>
      <c r="P11" s="1506"/>
      <c r="Q11" s="1506"/>
      <c r="R11" s="1506"/>
      <c r="S11" s="1506"/>
      <c r="T11" s="1506"/>
      <c r="U11" s="1506"/>
      <c r="V11" s="1478"/>
      <c r="W11" s="1478"/>
      <c r="X11" s="1478"/>
    </row>
    <row r="12" spans="1:24" ht="27.75" customHeight="1">
      <c r="A12" s="1481"/>
      <c r="B12" s="1475"/>
      <c r="C12" s="1475"/>
      <c r="D12" s="1475"/>
      <c r="E12" s="1508" t="s">
        <v>190</v>
      </c>
      <c r="F12" s="1475"/>
      <c r="G12" s="1479"/>
      <c r="H12" s="1542">
        <f>'P&amp;L'!G4</f>
        <v>45689</v>
      </c>
      <c r="I12" s="1542">
        <f>'P&amp;L'!H4</f>
        <v>45839</v>
      </c>
      <c r="J12" s="1542">
        <f>'P&amp;L'!I4</f>
        <v>46204</v>
      </c>
      <c r="K12" s="1542">
        <f>'P&amp;L'!J4</f>
        <v>46569</v>
      </c>
      <c r="L12" s="1542">
        <f>'P&amp;L'!K4</f>
        <v>46935</v>
      </c>
      <c r="M12" s="1542">
        <f>'P&amp;L'!L4</f>
        <v>47300</v>
      </c>
      <c r="N12" s="1542">
        <f>'P&amp;L'!M4</f>
        <v>47665</v>
      </c>
      <c r="O12" s="1542">
        <f>'P&amp;L'!N4</f>
        <v>48030</v>
      </c>
      <c r="P12" s="1542">
        <f>'P&amp;L'!O4</f>
        <v>48396</v>
      </c>
      <c r="Q12" s="1542">
        <f>'P&amp;L'!P4</f>
        <v>48761</v>
      </c>
      <c r="R12" s="1542">
        <f>'P&amp;L'!Q4</f>
        <v>49126</v>
      </c>
      <c r="S12" s="1542">
        <f>'P&amp;L'!R4</f>
        <v>49491</v>
      </c>
      <c r="T12" s="1542">
        <f>'P&amp;L'!S4</f>
        <v>49857</v>
      </c>
      <c r="U12" s="1542">
        <f>'P&amp;L'!T4</f>
        <v>50222</v>
      </c>
      <c r="V12" s="1480"/>
      <c r="W12" s="1478"/>
      <c r="X12" s="1478"/>
    </row>
    <row r="13" spans="1:24" ht="27.75" customHeight="1">
      <c r="A13" s="1481"/>
      <c r="B13" s="1508" t="s">
        <v>1797</v>
      </c>
      <c r="C13" s="1475"/>
      <c r="D13" s="1475"/>
      <c r="E13" s="1475"/>
      <c r="F13" s="1475"/>
      <c r="G13" s="1483"/>
      <c r="H13" s="1542">
        <f>'P&amp;L'!G5</f>
        <v>45838</v>
      </c>
      <c r="I13" s="1542">
        <f>'P&amp;L'!H5</f>
        <v>46203</v>
      </c>
      <c r="J13" s="1542">
        <f>'P&amp;L'!I5</f>
        <v>46568</v>
      </c>
      <c r="K13" s="1542">
        <f>'P&amp;L'!J5</f>
        <v>46934</v>
      </c>
      <c r="L13" s="1542">
        <f>'P&amp;L'!K5</f>
        <v>47299</v>
      </c>
      <c r="M13" s="1542">
        <f>'P&amp;L'!L5</f>
        <v>47664</v>
      </c>
      <c r="N13" s="1542">
        <f>'P&amp;L'!M5</f>
        <v>48029</v>
      </c>
      <c r="O13" s="1542">
        <f>'P&amp;L'!N5</f>
        <v>48395</v>
      </c>
      <c r="P13" s="1542">
        <f>'P&amp;L'!O5</f>
        <v>48760</v>
      </c>
      <c r="Q13" s="1542">
        <f>'P&amp;L'!P5</f>
        <v>49125</v>
      </c>
      <c r="R13" s="1542">
        <f>'P&amp;L'!Q5</f>
        <v>49490</v>
      </c>
      <c r="S13" s="1542">
        <f>'P&amp;L'!R5</f>
        <v>49856</v>
      </c>
      <c r="T13" s="1542">
        <f>'P&amp;L'!S5</f>
        <v>50221</v>
      </c>
      <c r="U13" s="1542">
        <f>'P&amp;L'!T5</f>
        <v>50586</v>
      </c>
      <c r="V13" s="1480"/>
      <c r="W13" s="1478"/>
      <c r="X13" s="1478"/>
    </row>
    <row r="14" spans="1:24" ht="15" customHeight="1">
      <c r="A14" s="1481"/>
      <c r="B14" s="1475"/>
      <c r="C14" s="1475"/>
      <c r="D14" s="1475"/>
      <c r="E14" s="1475"/>
      <c r="F14" s="1475"/>
      <c r="G14" s="1483"/>
      <c r="H14" s="1509" t="str">
        <f>'P&amp;L'!G6</f>
        <v>FY25</v>
      </c>
      <c r="I14" s="1509" t="str">
        <f>'P&amp;L'!H6</f>
        <v>FY26</v>
      </c>
      <c r="J14" s="1509" t="str">
        <f>'P&amp;L'!I6</f>
        <v>FY27</v>
      </c>
      <c r="K14" s="1509" t="str">
        <f>'P&amp;L'!J6</f>
        <v>FY28</v>
      </c>
      <c r="L14" s="1509" t="str">
        <f>'P&amp;L'!K6</f>
        <v>FY29</v>
      </c>
      <c r="M14" s="1509" t="str">
        <f>'P&amp;L'!L6</f>
        <v>FY30</v>
      </c>
      <c r="N14" s="1509" t="str">
        <f>'P&amp;L'!M6</f>
        <v>FY31</v>
      </c>
      <c r="O14" s="1509" t="str">
        <f>'P&amp;L'!N6</f>
        <v>FY32</v>
      </c>
      <c r="P14" s="1509" t="str">
        <f>'P&amp;L'!O6</f>
        <v>FY33</v>
      </c>
      <c r="Q14" s="1509" t="str">
        <f>'P&amp;L'!P6</f>
        <v>FY34</v>
      </c>
      <c r="R14" s="1509" t="str">
        <f>'P&amp;L'!Q6</f>
        <v>FY35</v>
      </c>
      <c r="S14" s="1509" t="str">
        <f>'P&amp;L'!R6</f>
        <v>FY36</v>
      </c>
      <c r="T14" s="1509" t="str">
        <f>'P&amp;L'!S6</f>
        <v>FY37</v>
      </c>
      <c r="U14" s="1509" t="str">
        <f>'P&amp;L'!T6</f>
        <v>FY38</v>
      </c>
      <c r="V14" s="1478"/>
      <c r="W14" s="1478"/>
      <c r="X14" s="1478"/>
    </row>
    <row r="15" spans="1:24" ht="15" customHeight="1">
      <c r="A15" s="1481"/>
      <c r="B15" s="1476" t="s">
        <v>1798</v>
      </c>
      <c r="C15" s="1475"/>
      <c r="D15" s="1475"/>
      <c r="E15" s="1475"/>
      <c r="F15" s="1475"/>
      <c r="G15" s="1483"/>
      <c r="H15" s="1510">
        <f t="shared" ref="H15:U15" si="0">IF(AND(COLUMN(H14)&gt;=COLUMN($H$14)+MATCH($C$8,$H$14:$S$14,0)-1, COLUMN(H14)&lt;COLUMN($H$14)+MATCH($C$8,$H$14:$S$14,0)-1+$C$6), 1, 0)</f>
        <v>0</v>
      </c>
      <c r="I15" s="1510">
        <f t="shared" si="0"/>
        <v>0</v>
      </c>
      <c r="J15" s="1510">
        <f t="shared" si="0"/>
        <v>1</v>
      </c>
      <c r="K15" s="1510">
        <f t="shared" si="0"/>
        <v>1</v>
      </c>
      <c r="L15" s="1510">
        <f t="shared" si="0"/>
        <v>1</v>
      </c>
      <c r="M15" s="1510">
        <f t="shared" si="0"/>
        <v>1</v>
      </c>
      <c r="N15" s="1510">
        <f t="shared" si="0"/>
        <v>1</v>
      </c>
      <c r="O15" s="1510">
        <f t="shared" si="0"/>
        <v>1</v>
      </c>
      <c r="P15" s="1510">
        <f t="shared" si="0"/>
        <v>1</v>
      </c>
      <c r="Q15" s="1510">
        <f t="shared" si="0"/>
        <v>1</v>
      </c>
      <c r="R15" s="1510">
        <f t="shared" si="0"/>
        <v>1</v>
      </c>
      <c r="S15" s="1510">
        <f t="shared" si="0"/>
        <v>1</v>
      </c>
      <c r="T15" s="1510">
        <f t="shared" si="0"/>
        <v>0</v>
      </c>
      <c r="U15" s="1510">
        <f t="shared" si="0"/>
        <v>0</v>
      </c>
      <c r="V15" s="1478"/>
      <c r="W15" s="1478"/>
      <c r="X15" s="1478"/>
    </row>
    <row r="16" spans="1:24" ht="15" customHeight="1">
      <c r="A16" s="1481"/>
      <c r="B16" s="1476" t="s">
        <v>1799</v>
      </c>
      <c r="C16" s="1475"/>
      <c r="D16" s="1475"/>
      <c r="E16" s="1475"/>
      <c r="F16" s="1475"/>
      <c r="G16" s="1483"/>
      <c r="H16" s="1510">
        <f t="shared" ref="H16:U16" si="1">IF(AND(H15=1, H24=0), 1, 0)</f>
        <v>0</v>
      </c>
      <c r="I16" s="1510">
        <f t="shared" si="1"/>
        <v>0</v>
      </c>
      <c r="J16" s="1510">
        <f t="shared" si="1"/>
        <v>0</v>
      </c>
      <c r="K16" s="1510">
        <f t="shared" si="1"/>
        <v>0</v>
      </c>
      <c r="L16" s="1510">
        <f t="shared" si="1"/>
        <v>0</v>
      </c>
      <c r="M16" s="1510">
        <f t="shared" si="1"/>
        <v>0</v>
      </c>
      <c r="N16" s="1510">
        <f t="shared" si="1"/>
        <v>0</v>
      </c>
      <c r="O16" s="1510">
        <f t="shared" si="1"/>
        <v>0</v>
      </c>
      <c r="P16" s="1510">
        <f t="shared" si="1"/>
        <v>0</v>
      </c>
      <c r="Q16" s="1510">
        <f t="shared" si="1"/>
        <v>0</v>
      </c>
      <c r="R16" s="1510">
        <f t="shared" si="1"/>
        <v>0</v>
      </c>
      <c r="S16" s="1510">
        <f t="shared" si="1"/>
        <v>1</v>
      </c>
      <c r="T16" s="1510">
        <f t="shared" si="1"/>
        <v>0</v>
      </c>
      <c r="U16" s="1510">
        <f t="shared" si="1"/>
        <v>0</v>
      </c>
      <c r="V16" s="1478"/>
      <c r="W16" s="1478"/>
      <c r="X16" s="1478"/>
    </row>
    <row r="17" spans="1:24" ht="15" customHeight="1">
      <c r="A17" s="1481"/>
      <c r="B17" s="1476"/>
      <c r="C17" s="1475"/>
      <c r="D17" s="1475"/>
      <c r="E17" s="1475"/>
      <c r="F17" s="1475"/>
      <c r="G17" s="1483"/>
      <c r="H17" s="1486"/>
      <c r="I17" s="1486"/>
      <c r="J17" s="1486"/>
      <c r="K17" s="1486"/>
      <c r="L17" s="1486"/>
      <c r="M17" s="1486"/>
      <c r="N17" s="1486"/>
      <c r="O17" s="1486"/>
      <c r="P17" s="1486"/>
      <c r="Q17" s="1486"/>
      <c r="R17" s="1486"/>
      <c r="S17" s="1486"/>
      <c r="T17" s="1486"/>
      <c r="U17" s="1486"/>
      <c r="V17" s="1475"/>
      <c r="W17" s="1475"/>
      <c r="X17" s="1475"/>
    </row>
    <row r="18" spans="1:24" ht="15" customHeight="1">
      <c r="A18" s="1481"/>
      <c r="B18" s="1476" t="s">
        <v>1800</v>
      </c>
      <c r="C18" s="1475"/>
      <c r="D18" s="1475"/>
      <c r="E18" s="1475"/>
      <c r="F18" s="1475"/>
      <c r="G18" s="1483"/>
      <c r="H18" s="1511">
        <f t="shared" ref="H18:I18" si="2">IF(H$15=0,0,IF(COLUMNS($H18:H18)=MATCH($C$8,$H$14:$S$14,0),0,INDEX($H$24:$S$24,COLUMNS($H18:H18)-1)))</f>
        <v>0</v>
      </c>
      <c r="I18" s="1511">
        <f t="shared" si="2"/>
        <v>0</v>
      </c>
      <c r="J18" s="1511">
        <f>IF(J15=0,0,0)</f>
        <v>0</v>
      </c>
      <c r="K18" s="1511">
        <f t="shared" ref="K18:U18" si="3">IF(K15=0,0,J24)</f>
        <v>12675915</v>
      </c>
      <c r="L18" s="1511">
        <f t="shared" si="3"/>
        <v>12675915</v>
      </c>
      <c r="M18" s="1511">
        <f t="shared" si="3"/>
        <v>11091425.625</v>
      </c>
      <c r="N18" s="1511">
        <f t="shared" si="3"/>
        <v>9506936.25</v>
      </c>
      <c r="O18" s="1511">
        <f t="shared" si="3"/>
        <v>7922446.875</v>
      </c>
      <c r="P18" s="1511">
        <f t="shared" si="3"/>
        <v>6337957.5</v>
      </c>
      <c r="Q18" s="1511">
        <f t="shared" si="3"/>
        <v>4753468.125</v>
      </c>
      <c r="R18" s="1511">
        <f t="shared" si="3"/>
        <v>3168978.75</v>
      </c>
      <c r="S18" s="1511">
        <f t="shared" si="3"/>
        <v>1584489.375</v>
      </c>
      <c r="T18" s="1511">
        <f t="shared" si="3"/>
        <v>0</v>
      </c>
      <c r="U18" s="1511">
        <f t="shared" si="3"/>
        <v>0</v>
      </c>
      <c r="V18" s="1475"/>
      <c r="W18" s="1475"/>
      <c r="X18" s="1475"/>
    </row>
    <row r="19" spans="1:24" ht="15" customHeight="1">
      <c r="A19" s="1481"/>
      <c r="B19" s="1476" t="s">
        <v>1801</v>
      </c>
      <c r="C19" s="1476" t="s">
        <v>850</v>
      </c>
      <c r="D19" s="1485"/>
      <c r="E19" s="1485"/>
      <c r="F19" s="1485"/>
      <c r="G19" s="1475"/>
      <c r="H19" s="1486"/>
      <c r="I19" s="1486"/>
      <c r="J19" s="1486"/>
      <c r="K19" s="1486"/>
      <c r="L19" s="1486"/>
      <c r="M19" s="1486"/>
      <c r="N19" s="1486"/>
      <c r="O19" s="1486"/>
      <c r="P19" s="1486"/>
      <c r="Q19" s="1486"/>
      <c r="R19" s="1486"/>
      <c r="S19" s="1486"/>
      <c r="T19" s="1486"/>
      <c r="U19" s="1486"/>
      <c r="V19" s="1475"/>
      <c r="W19" s="1475"/>
      <c r="X19" s="1475"/>
    </row>
    <row r="20" spans="1:24" ht="15" customHeight="1">
      <c r="A20" s="1481"/>
      <c r="B20" s="1476" t="s">
        <v>1802</v>
      </c>
      <c r="C20" s="1485"/>
      <c r="D20" s="1485"/>
      <c r="E20" s="1485"/>
      <c r="F20" s="1485"/>
      <c r="G20" s="1475"/>
      <c r="H20" s="1511">
        <f t="shared" ref="H20:U20" si="4">IF(H$15=0,0,IF(COLUMNS($H20:H20)=MATCH($C$8,$H$14:$S$14,0),$C$5,0))</f>
        <v>0</v>
      </c>
      <c r="I20" s="1511">
        <f t="shared" si="4"/>
        <v>0</v>
      </c>
      <c r="J20" s="1511">
        <f t="shared" si="4"/>
        <v>12675915</v>
      </c>
      <c r="K20" s="1511">
        <f t="shared" si="4"/>
        <v>0</v>
      </c>
      <c r="L20" s="1511">
        <f t="shared" si="4"/>
        <v>0</v>
      </c>
      <c r="M20" s="1511">
        <f t="shared" si="4"/>
        <v>0</v>
      </c>
      <c r="N20" s="1511">
        <f t="shared" si="4"/>
        <v>0</v>
      </c>
      <c r="O20" s="1511">
        <f t="shared" si="4"/>
        <v>0</v>
      </c>
      <c r="P20" s="1511">
        <f t="shared" si="4"/>
        <v>0</v>
      </c>
      <c r="Q20" s="1511">
        <f t="shared" si="4"/>
        <v>0</v>
      </c>
      <c r="R20" s="1511">
        <f t="shared" si="4"/>
        <v>0</v>
      </c>
      <c r="S20" s="1511">
        <f t="shared" si="4"/>
        <v>0</v>
      </c>
      <c r="T20" s="1511">
        <f t="shared" si="4"/>
        <v>0</v>
      </c>
      <c r="U20" s="1511">
        <f t="shared" si="4"/>
        <v>0</v>
      </c>
      <c r="V20" s="1475"/>
      <c r="W20" s="1475"/>
      <c r="X20" s="1475"/>
    </row>
    <row r="21" spans="1:24" ht="15.75" customHeight="1">
      <c r="A21" s="1481"/>
      <c r="B21" s="1476" t="s">
        <v>1803</v>
      </c>
      <c r="C21" s="1485"/>
      <c r="D21" s="1485"/>
      <c r="E21" s="1485"/>
      <c r="F21" s="1485"/>
      <c r="G21" s="1475"/>
      <c r="H21" s="1511">
        <f>IF(H$15=0,0,IF(OR($C$9="Bullet",$C$9="Interest-only"),IF($C$9="Bullet",IF(H$16=1,H$18+H$20,0),0),IF(OR($C$9="Amortising",$C$9="Amortizing"),IF(H$15=1,IF((COLUMNS($H21:H21)-MATCH($C$8,$H$14:$S$14,0)+1)&lt;=ROUNDUP(RM_IO_Months/12,0),0,IF(H$16=1,H$18+H$20,MIN(H$18+H$20,IF(($C$7-ROUNDUP(RM_IO_Months/12,0))&lt;=0,H$18+H$20,$C$5/($C$7-ROUNDUP(RM_IO_Months/12,0)))))),0),0)))</f>
        <v>0</v>
      </c>
      <c r="I21" s="1511">
        <f>IF(I$15=0,0,IF(OR($C$9="Bullet",$C$9="Interest-only"),IF($C$9="Bullet",IF(I$16=1,I$18+I$20,0),0),IF(OR($C$9="Amortising",$C$9="Amortizing"),IF(I$15=1,IF((COLUMNS($H21:I21)-MATCH($C$8,$H$14:$S$14,0)+1)&lt;=ROUNDUP(RM_IO_Months/12,0),0,IF(I$16=1,I$18+I$20,MIN(I$18+I$20,IF(($C$7-ROUNDUP(RM_IO_Months/12,0))&lt;=0,I$18+I$20,$C$5/($C$7-ROUNDUP(RM_IO_Months/12,0)))))),0),0)))</f>
        <v>0</v>
      </c>
      <c r="J21" s="1511">
        <f>MIN(J18+J20,$C$5/($C$6-ROUNDUP(RM_IO_Months/12,0)))*IF(J$15=0,0,IF(OR($C$9="Bullet",$C$9="Interest-only"),0,IF((COLUMNS($H21:J21)-MATCH($C$8,$H$14:$S$14,0)+1)&lt;=ROUNDUP(RM_IO_Months/12,0),0,1)))</f>
        <v>0</v>
      </c>
      <c r="K21" s="1511">
        <f>MIN(K18+K20,$C$5/($C$6-ROUNDUP(RM_IO_Months/12,0)))*IF(K$15=0,0,IF(OR($C$9="Bullet",$C$9="Interest-only"),0,IF((COLUMNS($H21:K21)-MATCH($C$8,$H$14:$S$14,0)+1)&lt;=ROUNDUP(RM_IO_Months/12,0),0,1)))</f>
        <v>0</v>
      </c>
      <c r="L21" s="1511">
        <f>MIN(L18+L20,$C$5/($C$6-ROUNDUP(RM_IO_Months/12,0)))*IF(L$15=0,0,IF(OR($C$9="Bullet",$C$9="Interest-only"),0,IF((COLUMNS($H21:L21)-MATCH($C$8,$H$14:$S$14,0)+1)&lt;=ROUNDUP(RM_IO_Months/12,0),0,1)))</f>
        <v>1584489.375</v>
      </c>
      <c r="M21" s="1511">
        <f>MIN(M18+M20,$C$5/($C$6-ROUNDUP(RM_IO_Months/12,0)))*IF(M$15=0,0,IF(OR($C$9="Bullet",$C$9="Interest-only"),0,IF((COLUMNS($H21:M21)-MATCH($C$8,$H$14:$S$14,0)+1)&lt;=ROUNDUP(RM_IO_Months/12,0),0,1)))</f>
        <v>1584489.375</v>
      </c>
      <c r="N21" s="1511">
        <f>MIN(N18+N20,$C$5/($C$6-ROUNDUP(RM_IO_Months/12,0)))*IF(N$15=0,0,IF(OR($C$9="Bullet",$C$9="Interest-only"),0,IF((COLUMNS($H21:N21)-MATCH($C$8,$H$14:$S$14,0)+1)&lt;=ROUNDUP(RM_IO_Months/12,0),0,1)))</f>
        <v>1584489.375</v>
      </c>
      <c r="O21" s="1511">
        <f>MIN(O18+O20,$C$5/($C$6-ROUNDUP(RM_IO_Months/12,0)))*IF(O$15=0,0,IF(OR($C$9="Bullet",$C$9="Interest-only"),0,IF((COLUMNS($H21:O21)-MATCH($C$8,$H$14:$S$14,0)+1)&lt;=ROUNDUP(RM_IO_Months/12,0),0,1)))</f>
        <v>1584489.375</v>
      </c>
      <c r="P21" s="1511">
        <f>MIN(P18+P20,$C$5/($C$6-ROUNDUP(RM_IO_Months/12,0)))*IF(P$15=0,0,IF(OR($C$9="Bullet",$C$9="Interest-only"),0,IF((COLUMNS($H21:P21)-MATCH($C$8,$H$14:$S$14,0)+1)&lt;=ROUNDUP(RM_IO_Months/12,0),0,1)))</f>
        <v>1584489.375</v>
      </c>
      <c r="Q21" s="1511">
        <f>MIN(Q18+Q20,$C$5/($C$6-ROUNDUP(RM_IO_Months/12,0)))*IF(Q$15=0,0,IF(OR($C$9="Bullet",$C$9="Interest-only"),0,IF((COLUMNS($H21:Q21)-MATCH($C$8,$H$14:$S$14,0)+1)&lt;=ROUNDUP(RM_IO_Months/12,0),0,1)))</f>
        <v>1584489.375</v>
      </c>
      <c r="R21" s="1511">
        <f>MIN(R18+R20,$C$5/($C$6-ROUNDUP(RM_IO_Months/12,0)))*IF(R$15=0,0,IF(OR($C$9="Bullet",$C$9="Interest-only"),0,IF((COLUMNS($H21:R21)-MATCH($C$8,$H$14:$S$14,0)+1)&lt;=ROUNDUP(RM_IO_Months/12,0),0,1)))</f>
        <v>1584489.375</v>
      </c>
      <c r="S21" s="1511">
        <f>MIN(S18+S20,$C$5/($C$6-ROUNDUP(RM_IO_Months/12,0)))*IF(S$15=0,0,IF(OR($C$9="Bullet",$C$9="Interest-only"),0,IF((COLUMNS($H21:S21)-MATCH($C$8,$H$14:$S$14,0)+1)&lt;=ROUNDUP(RM_IO_Months/12,0),0,1)))</f>
        <v>1584489.375</v>
      </c>
      <c r="T21" s="1511">
        <f>MIN(T18+T20,$C$5/($C$6-ROUNDUP(RM_IO_Months/12,0)))*IF(T$15=0,0,IF(OR($C$9="Bullet",$C$9="Interest-only"),0,IF((COLUMNS($H21:T21)-MATCH($C$8,$H$14:$S$14,0)+1)&lt;=ROUNDUP(RM_IO_Months/12,0),0,1)))</f>
        <v>0</v>
      </c>
      <c r="U21" s="1511">
        <f>MIN(U18+U20,$C$5/($C$6-ROUNDUP(RM_IO_Months/12,0)))*IF(U$15=0,0,IF(OR($C$9="Bullet",$C$9="Interest-only"),0,IF((COLUMNS($H21:U21)-MATCH($C$8,$H$14:$S$14,0)+1)&lt;=ROUNDUP(RM_IO_Months/12,0),0,1)))</f>
        <v>0</v>
      </c>
      <c r="V21" s="1475"/>
      <c r="W21" s="1475"/>
      <c r="X21" s="1475"/>
    </row>
    <row r="22" spans="1:24" ht="15.75" customHeight="1">
      <c r="A22" s="1481"/>
      <c r="B22" s="1476" t="s">
        <v>1804</v>
      </c>
      <c r="C22" s="1485"/>
      <c r="D22" s="1485"/>
      <c r="E22" s="1485"/>
      <c r="F22" s="1485"/>
      <c r="G22" s="1475"/>
      <c r="H22" s="1511">
        <f t="shared" ref="H22:U22" si="5">IF(H$15=0,0,((H$18+H$24)/2)*$C$7)</f>
        <v>0</v>
      </c>
      <c r="I22" s="1511">
        <f t="shared" si="5"/>
        <v>0</v>
      </c>
      <c r="J22" s="1511">
        <f t="shared" si="5"/>
        <v>507036.60000000003</v>
      </c>
      <c r="K22" s="1511">
        <f t="shared" si="5"/>
        <v>1014073.2000000001</v>
      </c>
      <c r="L22" s="1511">
        <f t="shared" si="5"/>
        <v>950693.625</v>
      </c>
      <c r="M22" s="1511">
        <f t="shared" si="5"/>
        <v>823934.47499999998</v>
      </c>
      <c r="N22" s="1511">
        <f t="shared" si="5"/>
        <v>697175.32500000007</v>
      </c>
      <c r="O22" s="1511">
        <f t="shared" si="5"/>
        <v>570416.17500000005</v>
      </c>
      <c r="P22" s="1511">
        <f t="shared" si="5"/>
        <v>443657.02500000002</v>
      </c>
      <c r="Q22" s="1511">
        <f t="shared" si="5"/>
        <v>316897.875</v>
      </c>
      <c r="R22" s="1511">
        <f t="shared" si="5"/>
        <v>190138.72500000001</v>
      </c>
      <c r="S22" s="1511">
        <f t="shared" si="5"/>
        <v>63379.575000000004</v>
      </c>
      <c r="T22" s="1511">
        <f t="shared" si="5"/>
        <v>0</v>
      </c>
      <c r="U22" s="1511">
        <f t="shared" si="5"/>
        <v>0</v>
      </c>
      <c r="V22" s="1475"/>
      <c r="W22" s="1475"/>
      <c r="X22" s="1475"/>
    </row>
    <row r="23" spans="1:24" ht="15.75" customHeight="1">
      <c r="A23" s="1481"/>
      <c r="B23" s="1476" t="s">
        <v>1805</v>
      </c>
      <c r="C23" s="1485"/>
      <c r="D23" s="1485"/>
      <c r="E23" s="1485"/>
      <c r="F23" s="1485"/>
      <c r="G23" s="1475"/>
      <c r="H23" s="1511">
        <f t="shared" ref="H23:U23" si="6">H$21+H$22</f>
        <v>0</v>
      </c>
      <c r="I23" s="1511">
        <f t="shared" si="6"/>
        <v>0</v>
      </c>
      <c r="J23" s="1511">
        <f t="shared" si="6"/>
        <v>507036.60000000003</v>
      </c>
      <c r="K23" s="1511">
        <f t="shared" si="6"/>
        <v>1014073.2000000001</v>
      </c>
      <c r="L23" s="1511">
        <f t="shared" si="6"/>
        <v>2535183</v>
      </c>
      <c r="M23" s="1511">
        <f t="shared" si="6"/>
        <v>2408423.85</v>
      </c>
      <c r="N23" s="1511">
        <f t="shared" si="6"/>
        <v>2281664.7000000002</v>
      </c>
      <c r="O23" s="1511">
        <f t="shared" si="6"/>
        <v>2154905.5499999998</v>
      </c>
      <c r="P23" s="1511">
        <f t="shared" si="6"/>
        <v>2028146.4</v>
      </c>
      <c r="Q23" s="1511">
        <f t="shared" si="6"/>
        <v>1901387.25</v>
      </c>
      <c r="R23" s="1511">
        <f t="shared" si="6"/>
        <v>1774628.1</v>
      </c>
      <c r="S23" s="1511">
        <f t="shared" si="6"/>
        <v>1647868.95</v>
      </c>
      <c r="T23" s="1511">
        <f t="shared" si="6"/>
        <v>0</v>
      </c>
      <c r="U23" s="1511">
        <f t="shared" si="6"/>
        <v>0</v>
      </c>
      <c r="V23" s="1475"/>
      <c r="W23" s="1475"/>
      <c r="X23" s="1475"/>
    </row>
    <row r="24" spans="1:24" ht="15.75" customHeight="1">
      <c r="A24" s="1481"/>
      <c r="B24" s="1513" t="s">
        <v>1806</v>
      </c>
      <c r="C24" s="1514"/>
      <c r="D24" s="1514"/>
      <c r="E24" s="1514"/>
      <c r="F24" s="1514"/>
      <c r="G24" s="1515"/>
      <c r="H24" s="1516">
        <f t="shared" ref="H24:I24" si="7">IF(H$15=0,0,MAX(0,H$18+H$20-H$21))</f>
        <v>0</v>
      </c>
      <c r="I24" s="1516">
        <f t="shared" si="7"/>
        <v>0</v>
      </c>
      <c r="J24" s="1516">
        <f t="shared" ref="J24:U24" si="8">IF(J15=0,0,J18+J20-J21)</f>
        <v>12675915</v>
      </c>
      <c r="K24" s="1516">
        <f t="shared" si="8"/>
        <v>12675915</v>
      </c>
      <c r="L24" s="1516">
        <f t="shared" si="8"/>
        <v>11091425.625</v>
      </c>
      <c r="M24" s="1516">
        <f t="shared" si="8"/>
        <v>9506936.25</v>
      </c>
      <c r="N24" s="1516">
        <f t="shared" si="8"/>
        <v>7922446.875</v>
      </c>
      <c r="O24" s="1516">
        <f t="shared" si="8"/>
        <v>6337957.5</v>
      </c>
      <c r="P24" s="1516">
        <f t="shared" si="8"/>
        <v>4753468.125</v>
      </c>
      <c r="Q24" s="1516">
        <f t="shared" si="8"/>
        <v>3168978.75</v>
      </c>
      <c r="R24" s="1516">
        <f t="shared" si="8"/>
        <v>1584489.375</v>
      </c>
      <c r="S24" s="1516">
        <f t="shared" si="8"/>
        <v>0</v>
      </c>
      <c r="T24" s="1516">
        <f t="shared" si="8"/>
        <v>0</v>
      </c>
      <c r="U24" s="1516">
        <f t="shared" si="8"/>
        <v>0</v>
      </c>
      <c r="V24" s="1475"/>
      <c r="W24" s="1475"/>
      <c r="X24" s="1475"/>
    </row>
    <row r="25" spans="1:24" ht="15.75" customHeight="1">
      <c r="A25" s="1481"/>
      <c r="B25" s="1476" t="s">
        <v>1807</v>
      </c>
      <c r="C25" s="1485"/>
      <c r="D25" s="1485"/>
      <c r="E25" s="1485"/>
      <c r="F25" s="1485"/>
      <c r="G25" s="1475"/>
      <c r="H25" s="1511">
        <f t="shared" ref="H25:U25" si="9">IF(H$15=0,0,IF(H$24=0,0,IF(H$16=1,0,MIN(H$24,IFERROR(INDEX($H$21:$S$21,COLUMNS($H25:H25)+1),0)))))</f>
        <v>0</v>
      </c>
      <c r="I25" s="1511">
        <f t="shared" si="9"/>
        <v>0</v>
      </c>
      <c r="J25" s="1511">
        <f t="shared" si="9"/>
        <v>0</v>
      </c>
      <c r="K25" s="1511">
        <f t="shared" si="9"/>
        <v>1584489.375</v>
      </c>
      <c r="L25" s="1511">
        <f t="shared" si="9"/>
        <v>1584489.375</v>
      </c>
      <c r="M25" s="1511">
        <f t="shared" si="9"/>
        <v>1584489.375</v>
      </c>
      <c r="N25" s="1511">
        <f t="shared" si="9"/>
        <v>1584489.375</v>
      </c>
      <c r="O25" s="1511">
        <f t="shared" si="9"/>
        <v>1584489.375</v>
      </c>
      <c r="P25" s="1511">
        <f t="shared" si="9"/>
        <v>1584489.375</v>
      </c>
      <c r="Q25" s="1511">
        <f t="shared" si="9"/>
        <v>1584489.375</v>
      </c>
      <c r="R25" s="1511">
        <f t="shared" si="9"/>
        <v>1584489.375</v>
      </c>
      <c r="S25" s="1511">
        <f t="shared" si="9"/>
        <v>0</v>
      </c>
      <c r="T25" s="1511">
        <f t="shared" si="9"/>
        <v>0</v>
      </c>
      <c r="U25" s="1511">
        <f t="shared" si="9"/>
        <v>0</v>
      </c>
      <c r="V25" s="1475"/>
      <c r="W25" s="1475"/>
      <c r="X25" s="1475"/>
    </row>
    <row r="26" spans="1:24" ht="15.75" customHeight="1">
      <c r="A26" s="1481"/>
      <c r="B26" s="1476" t="s">
        <v>1808</v>
      </c>
      <c r="C26" s="1485"/>
      <c r="D26" s="1485"/>
      <c r="E26" s="1485"/>
      <c r="F26" s="1485"/>
      <c r="G26" s="1475"/>
      <c r="H26" s="1511">
        <f t="shared" ref="H26:U26" si="10">MAX(0,H$24-H$25)</f>
        <v>0</v>
      </c>
      <c r="I26" s="1511">
        <f t="shared" si="10"/>
        <v>0</v>
      </c>
      <c r="J26" s="1511">
        <f t="shared" si="10"/>
        <v>12675915</v>
      </c>
      <c r="K26" s="1511">
        <f t="shared" si="10"/>
        <v>11091425.625</v>
      </c>
      <c r="L26" s="1511">
        <f t="shared" si="10"/>
        <v>9506936.25</v>
      </c>
      <c r="M26" s="1511">
        <f t="shared" si="10"/>
        <v>7922446.875</v>
      </c>
      <c r="N26" s="1511">
        <f t="shared" si="10"/>
        <v>6337957.5</v>
      </c>
      <c r="O26" s="1511">
        <f t="shared" si="10"/>
        <v>4753468.125</v>
      </c>
      <c r="P26" s="1511">
        <f t="shared" si="10"/>
        <v>3168978.75</v>
      </c>
      <c r="Q26" s="1511">
        <f t="shared" si="10"/>
        <v>1584489.375</v>
      </c>
      <c r="R26" s="1511">
        <f t="shared" si="10"/>
        <v>0</v>
      </c>
      <c r="S26" s="1511">
        <f t="shared" si="10"/>
        <v>0</v>
      </c>
      <c r="T26" s="1511">
        <f t="shared" si="10"/>
        <v>0</v>
      </c>
      <c r="U26" s="1511">
        <f t="shared" si="10"/>
        <v>0</v>
      </c>
      <c r="V26" s="1475"/>
      <c r="W26" s="1475"/>
      <c r="X26" s="1475"/>
    </row>
    <row r="27" spans="1:24" ht="15.75" customHeight="1">
      <c r="A27" s="1481"/>
      <c r="B27" s="1485"/>
      <c r="C27" s="1485"/>
      <c r="D27" s="1485"/>
      <c r="E27" s="1485"/>
      <c r="F27" s="1485"/>
      <c r="G27" s="1475"/>
      <c r="H27" s="1486"/>
      <c r="I27" s="1486"/>
      <c r="J27" s="1486"/>
      <c r="K27" s="1486"/>
      <c r="L27" s="1486"/>
      <c r="M27" s="1486"/>
      <c r="N27" s="1486"/>
      <c r="O27" s="1486"/>
      <c r="P27" s="1486"/>
      <c r="Q27" s="1486"/>
      <c r="R27" s="1486"/>
      <c r="S27" s="1486"/>
      <c r="T27" s="1486"/>
      <c r="U27" s="1486"/>
      <c r="V27" s="1475"/>
      <c r="W27" s="1475"/>
      <c r="X27" s="1475"/>
    </row>
    <row r="28" spans="1:24" ht="15.75" customHeight="1">
      <c r="A28" s="1481"/>
      <c r="B28" s="1485"/>
      <c r="C28" s="1485"/>
      <c r="D28" s="1485"/>
      <c r="E28" s="1485"/>
      <c r="F28" s="1485"/>
      <c r="G28" s="1475"/>
      <c r="H28" s="1486"/>
      <c r="I28" s="1486"/>
      <c r="J28" s="1486"/>
      <c r="K28" s="1486"/>
      <c r="L28" s="1486"/>
      <c r="M28" s="1486"/>
      <c r="N28" s="1486"/>
      <c r="O28" s="1486"/>
      <c r="P28" s="1486"/>
      <c r="Q28" s="1486"/>
      <c r="R28" s="1486"/>
      <c r="S28" s="1486"/>
      <c r="T28" s="1486"/>
      <c r="U28" s="1486"/>
      <c r="V28" s="1475"/>
      <c r="W28" s="1475"/>
      <c r="X28" s="1475"/>
    </row>
    <row r="29" spans="1:24" ht="15.75" customHeight="1">
      <c r="A29" s="1481"/>
      <c r="B29" s="1485"/>
      <c r="C29" s="1485"/>
      <c r="D29" s="1485"/>
      <c r="E29" s="1485"/>
      <c r="F29" s="1485"/>
      <c r="G29" s="1475"/>
      <c r="H29" s="1486" t="s">
        <v>1809</v>
      </c>
      <c r="I29" s="1486"/>
      <c r="J29" s="1486"/>
      <c r="K29" s="1486"/>
      <c r="L29" s="1486"/>
      <c r="M29" s="1486"/>
      <c r="N29" s="1486"/>
      <c r="O29" s="1486"/>
      <c r="P29" s="1486"/>
      <c r="Q29" s="1486"/>
      <c r="R29" s="1486"/>
      <c r="S29" s="1486"/>
      <c r="T29" s="1486"/>
      <c r="U29" s="1486"/>
      <c r="V29" s="1475"/>
      <c r="W29" s="1475"/>
      <c r="X29" s="1475"/>
    </row>
    <row r="30" spans="1:24" ht="15.75" customHeight="1">
      <c r="A30" s="1481"/>
      <c r="B30" s="1475"/>
      <c r="C30" s="1475"/>
      <c r="D30" s="1475"/>
      <c r="E30" s="1475"/>
      <c r="F30" s="1475"/>
      <c r="G30" s="1475"/>
      <c r="H30" s="1486"/>
      <c r="I30" s="1486"/>
      <c r="J30" s="1486"/>
      <c r="K30" s="1486"/>
      <c r="L30" s="1486"/>
      <c r="M30" s="1486"/>
      <c r="N30" s="1486"/>
      <c r="O30" s="1486"/>
      <c r="P30" s="1486"/>
      <c r="Q30" s="1486"/>
      <c r="R30" s="1486"/>
      <c r="S30" s="1486"/>
      <c r="T30" s="1486"/>
      <c r="U30" s="1486"/>
      <c r="V30" s="1475"/>
      <c r="W30" s="1475"/>
      <c r="X30" s="1475"/>
    </row>
    <row r="31" spans="1:24" ht="15.75" customHeight="1">
      <c r="A31" s="1481"/>
      <c r="B31" s="1475"/>
      <c r="C31" s="1475"/>
      <c r="D31" s="1475"/>
      <c r="E31" s="1475"/>
      <c r="F31" s="1475"/>
      <c r="G31" s="1475"/>
      <c r="H31" s="1486"/>
      <c r="I31" s="1486"/>
      <c r="J31" s="1486"/>
      <c r="K31" s="1486"/>
      <c r="L31" s="1486"/>
      <c r="M31" s="1486"/>
      <c r="N31" s="1486"/>
      <c r="O31" s="1486"/>
      <c r="P31" s="1486"/>
      <c r="Q31" s="1486"/>
      <c r="R31" s="1486"/>
      <c r="S31" s="1486"/>
      <c r="T31" s="1486"/>
      <c r="U31" s="1486"/>
      <c r="V31" s="1475"/>
      <c r="W31" s="1475"/>
      <c r="X31" s="1475"/>
    </row>
    <row r="32" spans="1:24" ht="20" customHeight="1">
      <c r="A32" s="1481"/>
      <c r="B32" s="1535" t="s">
        <v>1810</v>
      </c>
      <c r="C32" s="1536"/>
      <c r="D32" s="1536"/>
      <c r="E32" s="1536"/>
      <c r="F32" s="1536"/>
      <c r="G32" s="1536"/>
      <c r="H32" s="1537">
        <f t="shared" ref="H32:U32" si="11">H12</f>
        <v>45689</v>
      </c>
      <c r="I32" s="1537">
        <f t="shared" si="11"/>
        <v>45839</v>
      </c>
      <c r="J32" s="1537">
        <f t="shared" si="11"/>
        <v>46204</v>
      </c>
      <c r="K32" s="1537">
        <f t="shared" si="11"/>
        <v>46569</v>
      </c>
      <c r="L32" s="1537">
        <f t="shared" si="11"/>
        <v>46935</v>
      </c>
      <c r="M32" s="1537">
        <f t="shared" si="11"/>
        <v>47300</v>
      </c>
      <c r="N32" s="1537">
        <f t="shared" si="11"/>
        <v>47665</v>
      </c>
      <c r="O32" s="1537">
        <f t="shared" si="11"/>
        <v>48030</v>
      </c>
      <c r="P32" s="1537">
        <f t="shared" si="11"/>
        <v>48396</v>
      </c>
      <c r="Q32" s="1537">
        <f t="shared" si="11"/>
        <v>48761</v>
      </c>
      <c r="R32" s="1537">
        <f t="shared" si="11"/>
        <v>49126</v>
      </c>
      <c r="S32" s="1537">
        <f t="shared" si="11"/>
        <v>49491</v>
      </c>
      <c r="T32" s="1537">
        <f t="shared" si="11"/>
        <v>49857</v>
      </c>
      <c r="U32" s="1537">
        <f t="shared" si="11"/>
        <v>50222</v>
      </c>
      <c r="V32" s="1475"/>
      <c r="W32" s="1475"/>
      <c r="X32" s="1475"/>
    </row>
    <row r="33" spans="1:24" ht="15.75" customHeight="1">
      <c r="A33" s="1481"/>
      <c r="B33" s="1538"/>
      <c r="C33" s="1538"/>
      <c r="D33" s="1538"/>
      <c r="E33" s="1538"/>
      <c r="F33" s="1538"/>
      <c r="G33" s="1538"/>
      <c r="H33" s="1542">
        <f t="shared" ref="H33:U33" si="12">H13</f>
        <v>45838</v>
      </c>
      <c r="I33" s="1542">
        <f t="shared" si="12"/>
        <v>46203</v>
      </c>
      <c r="J33" s="1542">
        <f t="shared" si="12"/>
        <v>46568</v>
      </c>
      <c r="K33" s="1542">
        <f t="shared" si="12"/>
        <v>46934</v>
      </c>
      <c r="L33" s="1542">
        <f t="shared" si="12"/>
        <v>47299</v>
      </c>
      <c r="M33" s="1542">
        <f t="shared" si="12"/>
        <v>47664</v>
      </c>
      <c r="N33" s="1542">
        <f t="shared" si="12"/>
        <v>48029</v>
      </c>
      <c r="O33" s="1542">
        <f t="shared" si="12"/>
        <v>48395</v>
      </c>
      <c r="P33" s="1542">
        <f t="shared" si="12"/>
        <v>48760</v>
      </c>
      <c r="Q33" s="1542">
        <f t="shared" si="12"/>
        <v>49125</v>
      </c>
      <c r="R33" s="1542">
        <f t="shared" si="12"/>
        <v>49490</v>
      </c>
      <c r="S33" s="1542">
        <f t="shared" si="12"/>
        <v>49856</v>
      </c>
      <c r="T33" s="1542">
        <f t="shared" si="12"/>
        <v>50221</v>
      </c>
      <c r="U33" s="1542">
        <f t="shared" si="12"/>
        <v>50586</v>
      </c>
      <c r="V33" s="1475"/>
      <c r="W33" s="1475"/>
      <c r="X33" s="1475"/>
    </row>
    <row r="34" spans="1:24" ht="15.75" customHeight="1">
      <c r="A34" s="1481"/>
      <c r="B34" s="1538"/>
      <c r="C34" s="1539"/>
      <c r="D34" s="1539"/>
      <c r="E34" s="1539"/>
      <c r="F34" s="1539"/>
      <c r="G34" s="1538"/>
      <c r="H34" s="1543" t="str">
        <f t="shared" ref="H34:U34" si="13">H14</f>
        <v>FY25</v>
      </c>
      <c r="I34" s="1543" t="str">
        <f t="shared" si="13"/>
        <v>FY26</v>
      </c>
      <c r="J34" s="1543" t="str">
        <f t="shared" si="13"/>
        <v>FY27</v>
      </c>
      <c r="K34" s="1543" t="str">
        <f t="shared" si="13"/>
        <v>FY28</v>
      </c>
      <c r="L34" s="1543" t="str">
        <f t="shared" si="13"/>
        <v>FY29</v>
      </c>
      <c r="M34" s="1543" t="str">
        <f t="shared" si="13"/>
        <v>FY30</v>
      </c>
      <c r="N34" s="1543" t="str">
        <f t="shared" si="13"/>
        <v>FY31</v>
      </c>
      <c r="O34" s="1543" t="str">
        <f t="shared" si="13"/>
        <v>FY32</v>
      </c>
      <c r="P34" s="1543" t="str">
        <f t="shared" si="13"/>
        <v>FY33</v>
      </c>
      <c r="Q34" s="1543" t="str">
        <f t="shared" si="13"/>
        <v>FY34</v>
      </c>
      <c r="R34" s="1543" t="str">
        <f t="shared" si="13"/>
        <v>FY35</v>
      </c>
      <c r="S34" s="1543" t="str">
        <f t="shared" si="13"/>
        <v>FY36</v>
      </c>
      <c r="T34" s="1543" t="str">
        <f t="shared" si="13"/>
        <v>FY37</v>
      </c>
      <c r="U34" s="1543" t="str">
        <f t="shared" si="13"/>
        <v>FY38</v>
      </c>
      <c r="V34" s="1475"/>
      <c r="W34" s="1475"/>
      <c r="X34" s="1475"/>
    </row>
    <row r="35" spans="1:24" ht="15.75" customHeight="1">
      <c r="A35" s="1481"/>
      <c r="B35" s="1538"/>
      <c r="C35" s="1539"/>
      <c r="D35" s="1539"/>
      <c r="E35" s="1539"/>
      <c r="F35" s="1539"/>
      <c r="G35" s="1538"/>
      <c r="H35" s="1540"/>
      <c r="I35" s="1540"/>
      <c r="J35" s="1540"/>
      <c r="K35" s="1540"/>
      <c r="L35" s="1540"/>
      <c r="M35" s="1540"/>
      <c r="N35" s="1540"/>
      <c r="O35" s="1540"/>
      <c r="P35" s="1540"/>
      <c r="Q35" s="1540"/>
      <c r="R35" s="1540"/>
      <c r="S35" s="1540"/>
      <c r="T35" s="1540"/>
      <c r="U35" s="1540"/>
      <c r="V35" s="1475"/>
      <c r="W35" s="1475"/>
      <c r="X35" s="1475"/>
    </row>
    <row r="36" spans="1:24" ht="15.75" customHeight="1">
      <c r="A36" s="1481"/>
      <c r="B36" s="1508" t="s">
        <v>1811</v>
      </c>
      <c r="C36" s="1539"/>
      <c r="D36" s="1539"/>
      <c r="E36" s="1539"/>
      <c r="F36" s="1539"/>
      <c r="G36" s="1538"/>
      <c r="H36" s="1544">
        <f t="shared" ref="H36:U36" si="14">H$44</f>
        <v>0</v>
      </c>
      <c r="I36" s="1544">
        <f t="shared" si="14"/>
        <v>0</v>
      </c>
      <c r="J36" s="1544">
        <f t="shared" si="14"/>
        <v>0</v>
      </c>
      <c r="K36" s="1544">
        <f t="shared" si="14"/>
        <v>0</v>
      </c>
      <c r="L36" s="1544">
        <f t="shared" si="14"/>
        <v>0</v>
      </c>
      <c r="M36" s="1544">
        <f t="shared" si="14"/>
        <v>0</v>
      </c>
      <c r="N36" s="1544">
        <f t="shared" si="14"/>
        <v>0</v>
      </c>
      <c r="O36" s="1544">
        <f t="shared" si="14"/>
        <v>0</v>
      </c>
      <c r="P36" s="1544">
        <f t="shared" si="14"/>
        <v>0</v>
      </c>
      <c r="Q36" s="1544">
        <f t="shared" si="14"/>
        <v>0</v>
      </c>
      <c r="R36" s="1544">
        <f t="shared" si="14"/>
        <v>0</v>
      </c>
      <c r="S36" s="1544">
        <f t="shared" si="14"/>
        <v>0</v>
      </c>
      <c r="T36" s="1544">
        <f t="shared" si="14"/>
        <v>0</v>
      </c>
      <c r="U36" s="1544">
        <f t="shared" si="14"/>
        <v>0</v>
      </c>
      <c r="V36" s="1475"/>
      <c r="W36" s="1475"/>
      <c r="X36" s="1475"/>
    </row>
    <row r="37" spans="1:24" ht="15.75" customHeight="1">
      <c r="A37" s="1481"/>
      <c r="B37" s="1508" t="s">
        <v>1798</v>
      </c>
      <c r="C37" s="1539"/>
      <c r="D37" s="1539"/>
      <c r="E37" s="1539"/>
      <c r="F37" s="1539"/>
      <c r="G37" s="1538"/>
      <c r="H37" s="1544">
        <f t="shared" ref="H37:U37" si="15">IF(AND(COLUMN(H34)&gt;=COLUMN($H$34)+MATCH($D$8,$H$34:$S$34,0)-1, COLUMN(H34)&lt;COLUMN($H$34)+MATCH($D$8,$H$34:$S$34,0)-1+$D$6), 1, 0)</f>
        <v>0</v>
      </c>
      <c r="I37" s="1544">
        <f t="shared" si="15"/>
        <v>0</v>
      </c>
      <c r="J37" s="1544">
        <f t="shared" si="15"/>
        <v>1</v>
      </c>
      <c r="K37" s="1544">
        <f t="shared" si="15"/>
        <v>1</v>
      </c>
      <c r="L37" s="1544">
        <f t="shared" si="15"/>
        <v>1</v>
      </c>
      <c r="M37" s="1544">
        <f t="shared" si="15"/>
        <v>1</v>
      </c>
      <c r="N37" s="1544">
        <f t="shared" si="15"/>
        <v>1</v>
      </c>
      <c r="O37" s="1544">
        <f t="shared" si="15"/>
        <v>1</v>
      </c>
      <c r="P37" s="1544">
        <f t="shared" si="15"/>
        <v>1</v>
      </c>
      <c r="Q37" s="1544">
        <f t="shared" si="15"/>
        <v>1</v>
      </c>
      <c r="R37" s="1544">
        <f t="shared" si="15"/>
        <v>1</v>
      </c>
      <c r="S37" s="1544">
        <f t="shared" si="15"/>
        <v>1</v>
      </c>
      <c r="T37" s="1544">
        <f t="shared" si="15"/>
        <v>0</v>
      </c>
      <c r="U37" s="1544">
        <f t="shared" si="15"/>
        <v>0</v>
      </c>
      <c r="V37" s="1475"/>
      <c r="W37" s="1475"/>
      <c r="X37" s="1475"/>
    </row>
    <row r="38" spans="1:24" ht="15.75" customHeight="1">
      <c r="A38" s="1481"/>
      <c r="B38" s="1508" t="s">
        <v>1799</v>
      </c>
      <c r="C38" s="1539"/>
      <c r="D38" s="1539"/>
      <c r="E38" s="1539"/>
      <c r="F38" s="1539"/>
      <c r="G38" s="1538"/>
      <c r="H38" s="1544">
        <f t="shared" ref="H38:U38" si="16">IF(AND(H37=1, H47=0), 1, 0)</f>
        <v>0</v>
      </c>
      <c r="I38" s="1544">
        <f t="shared" si="16"/>
        <v>0</v>
      </c>
      <c r="J38" s="1544">
        <f t="shared" si="16"/>
        <v>1</v>
      </c>
      <c r="K38" s="1544">
        <f t="shared" si="16"/>
        <v>1</v>
      </c>
      <c r="L38" s="1544">
        <f t="shared" si="16"/>
        <v>1</v>
      </c>
      <c r="M38" s="1544">
        <f t="shared" si="16"/>
        <v>1</v>
      </c>
      <c r="N38" s="1544">
        <f t="shared" si="16"/>
        <v>1</v>
      </c>
      <c r="O38" s="1544">
        <f t="shared" si="16"/>
        <v>1</v>
      </c>
      <c r="P38" s="1544">
        <f t="shared" si="16"/>
        <v>1</v>
      </c>
      <c r="Q38" s="1544">
        <f t="shared" si="16"/>
        <v>1</v>
      </c>
      <c r="R38" s="1544">
        <f t="shared" si="16"/>
        <v>1</v>
      </c>
      <c r="S38" s="1544">
        <f t="shared" si="16"/>
        <v>1</v>
      </c>
      <c r="T38" s="1544">
        <f t="shared" si="16"/>
        <v>0</v>
      </c>
      <c r="U38" s="1544">
        <f t="shared" si="16"/>
        <v>0</v>
      </c>
      <c r="V38" s="1475"/>
      <c r="W38" s="1475"/>
      <c r="X38" s="1475"/>
    </row>
    <row r="39" spans="1:24" ht="15.75" customHeight="1">
      <c r="A39" s="1481"/>
      <c r="B39" s="1508"/>
      <c r="C39" s="1539"/>
      <c r="D39" s="1539"/>
      <c r="E39" s="1539"/>
      <c r="F39" s="1539"/>
      <c r="G39" s="1538"/>
      <c r="H39" s="1544"/>
      <c r="I39" s="1544"/>
      <c r="J39" s="1544"/>
      <c r="K39" s="1544"/>
      <c r="L39" s="1544"/>
      <c r="M39" s="1544"/>
      <c r="N39" s="1544"/>
      <c r="O39" s="1544"/>
      <c r="P39" s="1544"/>
      <c r="Q39" s="1544"/>
      <c r="R39" s="1544"/>
      <c r="S39" s="1544"/>
      <c r="T39" s="1544"/>
      <c r="U39" s="1544"/>
      <c r="V39" s="1475"/>
      <c r="W39" s="1475"/>
      <c r="X39" s="1475"/>
    </row>
    <row r="40" spans="1:24" ht="15.75" customHeight="1">
      <c r="A40" s="1481"/>
      <c r="B40" s="1508" t="s">
        <v>1812</v>
      </c>
      <c r="C40" s="1539"/>
      <c r="D40" s="1539"/>
      <c r="E40" s="1539"/>
      <c r="F40" s="1539"/>
      <c r="G40" s="1538"/>
      <c r="H40" s="1544">
        <f t="shared" ref="H40:U40" si="17">H$45</f>
        <v>0</v>
      </c>
      <c r="I40" s="1544">
        <f t="shared" si="17"/>
        <v>0</v>
      </c>
      <c r="J40" s="1544">
        <f t="shared" si="17"/>
        <v>0</v>
      </c>
      <c r="K40" s="1544">
        <f t="shared" si="17"/>
        <v>0</v>
      </c>
      <c r="L40" s="1544">
        <f t="shared" si="17"/>
        <v>0</v>
      </c>
      <c r="M40" s="1544">
        <f t="shared" si="17"/>
        <v>0</v>
      </c>
      <c r="N40" s="1544">
        <f t="shared" si="17"/>
        <v>0</v>
      </c>
      <c r="O40" s="1544">
        <f t="shared" si="17"/>
        <v>0</v>
      </c>
      <c r="P40" s="1544">
        <f t="shared" si="17"/>
        <v>0</v>
      </c>
      <c r="Q40" s="1544">
        <f t="shared" si="17"/>
        <v>0</v>
      </c>
      <c r="R40" s="1544">
        <f t="shared" si="17"/>
        <v>0</v>
      </c>
      <c r="S40" s="1544">
        <f t="shared" si="17"/>
        <v>0</v>
      </c>
      <c r="T40" s="1544">
        <f t="shared" si="17"/>
        <v>0</v>
      </c>
      <c r="U40" s="1544">
        <f t="shared" si="17"/>
        <v>0</v>
      </c>
      <c r="V40" s="1475"/>
      <c r="W40" s="1475"/>
      <c r="X40" s="1475"/>
    </row>
    <row r="41" spans="1:24" ht="15.75" customHeight="1">
      <c r="A41" s="1481"/>
      <c r="B41" s="1508" t="s">
        <v>1813</v>
      </c>
      <c r="C41" s="1539"/>
      <c r="D41" s="1539"/>
      <c r="E41" s="1539"/>
      <c r="F41" s="1539"/>
      <c r="G41" s="1538"/>
      <c r="H41" s="1544"/>
      <c r="I41" s="1544"/>
      <c r="J41" s="1544"/>
      <c r="K41" s="1544"/>
      <c r="L41" s="1544"/>
      <c r="M41" s="1544"/>
      <c r="N41" s="1544"/>
      <c r="O41" s="1544"/>
      <c r="P41" s="1544"/>
      <c r="Q41" s="1544"/>
      <c r="R41" s="1544"/>
      <c r="S41" s="1544"/>
      <c r="T41" s="1544"/>
      <c r="U41" s="1544"/>
      <c r="V41" s="1475"/>
      <c r="W41" s="1475"/>
      <c r="X41" s="1475"/>
    </row>
    <row r="42" spans="1:24" ht="15.75" customHeight="1">
      <c r="A42" s="1481"/>
      <c r="B42" s="1508" t="s">
        <v>1814</v>
      </c>
      <c r="C42" s="1539"/>
      <c r="D42" s="1539"/>
      <c r="E42" s="1539"/>
      <c r="F42" s="1539"/>
      <c r="G42" s="1538"/>
      <c r="H42" s="1544">
        <f t="shared" ref="H42:I42" si="18">IF(H$37=0,0,IF(COLUMNS($H42:H42)=MATCH($D$8,$H$34:$S$34,0),0,INDEX($H$47:$S$47,COLUMNS($H42:H42)-1)))</f>
        <v>0</v>
      </c>
      <c r="I42" s="1544">
        <f t="shared" si="18"/>
        <v>0</v>
      </c>
      <c r="J42" s="1544">
        <f>IF(J37=0,0,0)</f>
        <v>0</v>
      </c>
      <c r="K42" s="1544">
        <f t="shared" ref="K42:O42" si="19">IF(K37=0,0,J47)</f>
        <v>0</v>
      </c>
      <c r="L42" s="1544">
        <f t="shared" si="19"/>
        <v>0</v>
      </c>
      <c r="M42" s="1544">
        <f t="shared" si="19"/>
        <v>0</v>
      </c>
      <c r="N42" s="1544">
        <f t="shared" si="19"/>
        <v>0</v>
      </c>
      <c r="O42" s="1544">
        <f t="shared" si="19"/>
        <v>0</v>
      </c>
      <c r="P42" s="1544">
        <f t="shared" ref="P42:U42" si="20">IF(P$37=0,0,IF(COLUMNS($H42:P42)=MATCH($D$8,$H$34:$S$34,0),0,INDEX($H$47:$S$47,COLUMNS($H42:P42)-1)))</f>
        <v>0</v>
      </c>
      <c r="Q42" s="1544">
        <f t="shared" si="20"/>
        <v>0</v>
      </c>
      <c r="R42" s="1544">
        <f t="shared" si="20"/>
        <v>0</v>
      </c>
      <c r="S42" s="1544">
        <f t="shared" si="20"/>
        <v>0</v>
      </c>
      <c r="T42" s="1544">
        <f t="shared" si="20"/>
        <v>0</v>
      </c>
      <c r="U42" s="1544">
        <f t="shared" si="20"/>
        <v>0</v>
      </c>
      <c r="V42" s="1475"/>
      <c r="W42" s="1475"/>
      <c r="X42" s="1475"/>
    </row>
    <row r="43" spans="1:24" ht="15.75" customHeight="1">
      <c r="A43" s="1481"/>
      <c r="B43" s="1508" t="s">
        <v>1801</v>
      </c>
      <c r="C43" s="1508" t="s">
        <v>850</v>
      </c>
      <c r="D43" s="1539"/>
      <c r="E43" s="1539"/>
      <c r="F43" s="1539"/>
      <c r="G43" s="1541"/>
      <c r="H43" s="1544"/>
      <c r="I43" s="1544"/>
      <c r="J43" s="1544"/>
      <c r="K43" s="1544"/>
      <c r="L43" s="1544"/>
      <c r="M43" s="1544"/>
      <c r="N43" s="1544"/>
      <c r="O43" s="1544"/>
      <c r="P43" s="1544"/>
      <c r="Q43" s="1544"/>
      <c r="R43" s="1544"/>
      <c r="S43" s="1544"/>
      <c r="T43" s="1544"/>
      <c r="U43" s="1544"/>
      <c r="V43" s="1475"/>
      <c r="W43" s="1475"/>
      <c r="X43" s="1475"/>
    </row>
    <row r="44" spans="1:24" ht="15.75" customHeight="1">
      <c r="A44" s="1481"/>
      <c r="B44" s="1508" t="s">
        <v>1802</v>
      </c>
      <c r="C44" s="1539"/>
      <c r="D44" s="1539"/>
      <c r="E44" s="1539"/>
      <c r="F44" s="1539"/>
      <c r="G44" s="1538"/>
      <c r="H44" s="1544">
        <f t="shared" ref="H44:U44" si="21">IF(H$37=0,0,IF(COLUMNS($H44:H44)=MATCH($D$8,$H$34:$S$34,0),$D$5,0))</f>
        <v>0</v>
      </c>
      <c r="I44" s="1544">
        <f t="shared" si="21"/>
        <v>0</v>
      </c>
      <c r="J44" s="1544">
        <f t="shared" si="21"/>
        <v>0</v>
      </c>
      <c r="K44" s="1544">
        <f t="shared" si="21"/>
        <v>0</v>
      </c>
      <c r="L44" s="1544">
        <f t="shared" si="21"/>
        <v>0</v>
      </c>
      <c r="M44" s="1544">
        <f t="shared" si="21"/>
        <v>0</v>
      </c>
      <c r="N44" s="1544">
        <f t="shared" si="21"/>
        <v>0</v>
      </c>
      <c r="O44" s="1544">
        <f t="shared" si="21"/>
        <v>0</v>
      </c>
      <c r="P44" s="1544">
        <f t="shared" si="21"/>
        <v>0</v>
      </c>
      <c r="Q44" s="1544">
        <f t="shared" si="21"/>
        <v>0</v>
      </c>
      <c r="R44" s="1544">
        <f t="shared" si="21"/>
        <v>0</v>
      </c>
      <c r="S44" s="1544">
        <f t="shared" si="21"/>
        <v>0</v>
      </c>
      <c r="T44" s="1544">
        <f t="shared" si="21"/>
        <v>0</v>
      </c>
      <c r="U44" s="1544">
        <f t="shared" si="21"/>
        <v>0</v>
      </c>
      <c r="V44" s="1475"/>
      <c r="W44" s="1475"/>
      <c r="X44" s="1475"/>
    </row>
    <row r="45" spans="1:24" ht="15.75" customHeight="1">
      <c r="A45" s="1481"/>
      <c r="B45" s="1508" t="s">
        <v>1803</v>
      </c>
      <c r="C45" s="1539"/>
      <c r="D45" s="1539"/>
      <c r="E45" s="1539"/>
      <c r="F45" s="1539"/>
      <c r="G45" s="1538"/>
      <c r="H45" s="1544">
        <f>IF(H$37=0,0,IF(OR($D$9="Bullet",$D$9="Interest-only"),IF($D$9="Bullet",IF(H$38=1,H$42+H$44,0),0),IF(OR($D$9="Amortising",$D$9="Amortizing"),IF(H$37=1,IF((COLUMNS($H45:H45)-MATCH($D$8,$H$34:$S$34,0)+1)&lt;=ROUNDUP(RM_IO_Months/12,0),0,IF(H$38=1,H$42+H$44,MIN(H$42+H$44,IF(($D$7-ROUNDUP(RM_IO_Months/12,0))&lt;=0,H$42+H$44,$D$5/($D$7-ROUNDUP(RM_IO_Months/12,0)))))),0),0)))</f>
        <v>0</v>
      </c>
      <c r="I45" s="1544">
        <f>IF(I$37=0,0,IF(OR($D$9="Bullet",$D$9="Interest-only"),IF($D$9="Bullet",IF(I$38=1,I$42+I$44,0),0),IF(OR($D$9="Amortising",$D$9="Amortizing"),IF(I$37=1,IF((COLUMNS($H45:I45)-MATCH($D$8,$H$34:$S$34,0)+1)&lt;=ROUNDUP(RM_IO_Months/12,0),0,IF(I$38=1,I$42+I$44,MIN(I$42+I$44,IF(($D$7-ROUNDUP(RM_IO_Months/12,0))&lt;=0,I$42+I$44,$D$5/($D$7-ROUNDUP(RM_IO_Months/12,0)))))),0),0)))</f>
        <v>0</v>
      </c>
      <c r="J45" s="1544">
        <f t="shared" ref="J45:O45" si="22">IF(J37=0,0,$D$5/$D$6)</f>
        <v>0</v>
      </c>
      <c r="K45" s="1544">
        <f t="shared" si="22"/>
        <v>0</v>
      </c>
      <c r="L45" s="1544">
        <f t="shared" si="22"/>
        <v>0</v>
      </c>
      <c r="M45" s="1544">
        <f t="shared" si="22"/>
        <v>0</v>
      </c>
      <c r="N45" s="1544">
        <f t="shared" si="22"/>
        <v>0</v>
      </c>
      <c r="O45" s="1544">
        <f t="shared" si="22"/>
        <v>0</v>
      </c>
      <c r="P45" s="1544">
        <f>IF(P$37=0,0,IF(OR($D$9="Bullet",$D$9="Interest-only"),IF($D$9="Bullet",IF(P$38=1,P$42+P$44,0),0),IF(OR($D$9="Amortising",$D$9="Amortizing"),IF(P$37=1,IF((COLUMNS($H45:P45)-MATCH($D$8,$H$34:$S$34,0)+1)&lt;=ROUNDUP(RM_IO_Months/12,0),0,IF(P$38=1,P$42+P$44,MIN(P$42+P$44,IF(($D$7-ROUNDUP(RM_IO_Months/12,0))&lt;=0,P$42+P$44,$D$5/($D$7-ROUNDUP(RM_IO_Months/12,0)))))),0),0)))</f>
        <v>0</v>
      </c>
      <c r="Q45" s="1544">
        <f>IF(Q$37=0,0,IF(OR($D$9="Bullet",$D$9="Interest-only"),IF($D$9="Bullet",IF(Q$38=1,Q$42+Q$44,0),0),IF(OR($D$9="Amortising",$D$9="Amortizing"),IF(Q$37=1,IF((COLUMNS($H45:Q45)-MATCH($D$8,$H$34:$S$34,0)+1)&lt;=ROUNDUP(RM_IO_Months/12,0),0,IF(Q$38=1,Q$42+Q$44,MIN(Q$42+Q$44,IF(($D$7-ROUNDUP(RM_IO_Months/12,0))&lt;=0,Q$42+Q$44,$D$5/($D$7-ROUNDUP(RM_IO_Months/12,0)))))),0),0)))</f>
        <v>0</v>
      </c>
      <c r="R45" s="1544">
        <f>IF(R$37=0,0,IF(OR($D$9="Bullet",$D$9="Interest-only"),IF($D$9="Bullet",IF(R$38=1,R$42+R$44,0),0),IF(OR($D$9="Amortising",$D$9="Amortizing"),IF(R$37=1,IF((COLUMNS($H45:R45)-MATCH($D$8,$H$34:$S$34,0)+1)&lt;=ROUNDUP(RM_IO_Months/12,0),0,IF(R$38=1,R$42+R$44,MIN(R$42+R$44,IF(($D$7-ROUNDUP(RM_IO_Months/12,0))&lt;=0,R$42+R$44,$D$5/($D$7-ROUNDUP(RM_IO_Months/12,0)))))),0),0)))</f>
        <v>0</v>
      </c>
      <c r="S45" s="1544">
        <f>IF(S$37=0,0,IF(OR($D$9="Bullet",$D$9="Interest-only"),IF($D$9="Bullet",IF(S$38=1,S$42+S$44,0),0),IF(OR($D$9="Amortising",$D$9="Amortizing"),IF(S$37=1,IF((COLUMNS($H45:S45)-MATCH($D$8,$H$34:$S$34,0)+1)&lt;=ROUNDUP(RM_IO_Months/12,0),0,IF(S$38=1,S$42+S$44,MIN(S$42+S$44,IF(($D$7-ROUNDUP(RM_IO_Months/12,0))&lt;=0,S$42+S$44,$D$5/($D$7-ROUNDUP(RM_IO_Months/12,0)))))),0),0)))</f>
        <v>0</v>
      </c>
      <c r="T45" s="1544">
        <f>IF(T$37=0,0,IF(OR($D$9="Bullet",$D$9="Interest-only"),IF($D$9="Bullet",IF(T$38=1,T$42+T$44,0),0),IF(OR($D$9="Amortising",$D$9="Amortizing"),IF(T$37=1,IF((COLUMNS($H45:T45)-MATCH($D$8,$H$34:$S$34,0)+1)&lt;=ROUNDUP(RM_IO_Months/12,0),0,IF(T$38=1,T$42+T$44,MIN(T$42+T$44,IF(($D$7-ROUNDUP(RM_IO_Months/12,0))&lt;=0,T$42+T$44,$D$5/($D$7-ROUNDUP(RM_IO_Months/12,0)))))),0),0)))</f>
        <v>0</v>
      </c>
      <c r="U45" s="1544">
        <f>IF(U$37=0,0,IF(OR($D$9="Bullet",$D$9="Interest-only"),IF($D$9="Bullet",IF(U$38=1,U$42+U$44,0),0),IF(OR($D$9="Amortising",$D$9="Amortizing"),IF(U$37=1,IF((COLUMNS($H45:U45)-MATCH($D$8,$H$34:$S$34,0)+1)&lt;=ROUNDUP(RM_IO_Months/12,0),0,IF(U$38=1,U$42+U$44,MIN(U$42+U$44,IF(($D$7-ROUNDUP(RM_IO_Months/12,0))&lt;=0,U$42+U$44,$D$5/($D$7-ROUNDUP(RM_IO_Months/12,0)))))),0),0)))</f>
        <v>0</v>
      </c>
      <c r="V45" s="1475"/>
      <c r="W45" s="1475"/>
      <c r="X45" s="1475"/>
    </row>
    <row r="46" spans="1:24" ht="15.75" customHeight="1">
      <c r="A46" s="1481"/>
      <c r="B46" s="1508" t="s">
        <v>1804</v>
      </c>
      <c r="C46" s="1539"/>
      <c r="D46" s="1538"/>
      <c r="E46" s="1538"/>
      <c r="F46" s="1538"/>
      <c r="G46" s="1538"/>
      <c r="H46" s="1544">
        <f t="shared" ref="H46:I46" si="23">IF(H$37=0,0,((H$42+H$47)/2)*$D$7)</f>
        <v>0</v>
      </c>
      <c r="I46" s="1544">
        <f t="shared" si="23"/>
        <v>0</v>
      </c>
      <c r="J46" s="1544">
        <f t="shared" ref="J46:N46" si="24">IF(J37=0,0,((J42+J47)/2)*$D$7)</f>
        <v>0</v>
      </c>
      <c r="K46" s="1544">
        <f t="shared" si="24"/>
        <v>0</v>
      </c>
      <c r="L46" s="1544">
        <f t="shared" si="24"/>
        <v>0</v>
      </c>
      <c r="M46" s="1544">
        <f t="shared" si="24"/>
        <v>0</v>
      </c>
      <c r="N46" s="1544">
        <f t="shared" si="24"/>
        <v>0</v>
      </c>
      <c r="O46" s="1544">
        <f t="shared" ref="O46:U46" si="25">IF(O$37=0,0,((O$42+O$47)/2)*$D$7)</f>
        <v>0</v>
      </c>
      <c r="P46" s="1544">
        <f t="shared" si="25"/>
        <v>0</v>
      </c>
      <c r="Q46" s="1544">
        <f t="shared" si="25"/>
        <v>0</v>
      </c>
      <c r="R46" s="1544">
        <f t="shared" si="25"/>
        <v>0</v>
      </c>
      <c r="S46" s="1544">
        <f t="shared" si="25"/>
        <v>0</v>
      </c>
      <c r="T46" s="1544">
        <f t="shared" si="25"/>
        <v>0</v>
      </c>
      <c r="U46" s="1544">
        <f t="shared" si="25"/>
        <v>0</v>
      </c>
      <c r="V46" s="1475"/>
      <c r="W46" s="1475"/>
      <c r="X46" s="1475"/>
    </row>
    <row r="47" spans="1:24" ht="15.75" customHeight="1">
      <c r="A47" s="1481"/>
      <c r="B47" s="1508" t="s">
        <v>1806</v>
      </c>
      <c r="C47" s="1539"/>
      <c r="D47" s="1538"/>
      <c r="E47" s="1538"/>
      <c r="F47" s="1538"/>
      <c r="G47" s="1538"/>
      <c r="H47" s="1544">
        <f t="shared" ref="H47:I47" si="26">IF(H$37=0,0,MAX(0,H$42+H$44-H$45))</f>
        <v>0</v>
      </c>
      <c r="I47" s="1544">
        <f t="shared" si="26"/>
        <v>0</v>
      </c>
      <c r="J47" s="1544">
        <f t="shared" ref="J47:N47" si="27">IF(J37=0,0,J42+J44-J45)</f>
        <v>0</v>
      </c>
      <c r="K47" s="1544">
        <f t="shared" si="27"/>
        <v>0</v>
      </c>
      <c r="L47" s="1544">
        <f t="shared" si="27"/>
        <v>0</v>
      </c>
      <c r="M47" s="1544">
        <f t="shared" si="27"/>
        <v>0</v>
      </c>
      <c r="N47" s="1544">
        <f t="shared" si="27"/>
        <v>0</v>
      </c>
      <c r="O47" s="1544">
        <f>IF(O37=0,0,MAX(0,ROUND(O42+O44-O45,2)))</f>
        <v>0</v>
      </c>
      <c r="P47" s="1544">
        <f t="shared" ref="P47:U47" si="28">IF(P$37=0,0,MAX(0,P$42+P$44-P$45))</f>
        <v>0</v>
      </c>
      <c r="Q47" s="1544">
        <f t="shared" si="28"/>
        <v>0</v>
      </c>
      <c r="R47" s="1544">
        <f t="shared" si="28"/>
        <v>0</v>
      </c>
      <c r="S47" s="1544">
        <f t="shared" si="28"/>
        <v>0</v>
      </c>
      <c r="T47" s="1544">
        <f t="shared" si="28"/>
        <v>0</v>
      </c>
      <c r="U47" s="1544">
        <f t="shared" si="28"/>
        <v>0</v>
      </c>
      <c r="V47" s="1475"/>
      <c r="W47" s="1475"/>
      <c r="X47" s="1475"/>
    </row>
    <row r="48" spans="1:24" ht="15.75" customHeight="1">
      <c r="A48" s="1481"/>
      <c r="B48" s="1508" t="s">
        <v>1815</v>
      </c>
      <c r="C48" s="1539"/>
      <c r="D48" s="1539"/>
      <c r="E48" s="1539"/>
      <c r="F48" s="1539"/>
      <c r="G48" s="1538"/>
      <c r="H48" s="1544">
        <f t="shared" ref="H48:U48" si="29">H$24+H$47</f>
        <v>0</v>
      </c>
      <c r="I48" s="1544">
        <f t="shared" si="29"/>
        <v>0</v>
      </c>
      <c r="J48" s="1544">
        <f t="shared" si="29"/>
        <v>12675915</v>
      </c>
      <c r="K48" s="1544">
        <f t="shared" si="29"/>
        <v>12675915</v>
      </c>
      <c r="L48" s="1544">
        <f t="shared" si="29"/>
        <v>11091425.625</v>
      </c>
      <c r="M48" s="1544">
        <f t="shared" si="29"/>
        <v>9506936.25</v>
      </c>
      <c r="N48" s="1544">
        <f t="shared" si="29"/>
        <v>7922446.875</v>
      </c>
      <c r="O48" s="1544">
        <f t="shared" si="29"/>
        <v>6337957.5</v>
      </c>
      <c r="P48" s="1544">
        <f t="shared" si="29"/>
        <v>4753468.125</v>
      </c>
      <c r="Q48" s="1544">
        <f t="shared" si="29"/>
        <v>3168978.75</v>
      </c>
      <c r="R48" s="1544">
        <f t="shared" si="29"/>
        <v>1584489.375</v>
      </c>
      <c r="S48" s="1544">
        <f t="shared" si="29"/>
        <v>0</v>
      </c>
      <c r="T48" s="1544">
        <f t="shared" si="29"/>
        <v>0</v>
      </c>
      <c r="U48" s="1544">
        <f t="shared" si="29"/>
        <v>0</v>
      </c>
      <c r="V48" s="1475"/>
      <c r="W48" s="1475"/>
      <c r="X48" s="1475"/>
    </row>
    <row r="49" spans="1:24" ht="15.75" customHeight="1">
      <c r="A49" s="1481"/>
      <c r="B49" s="1508" t="s">
        <v>388</v>
      </c>
      <c r="C49" s="1539"/>
      <c r="D49" s="1539"/>
      <c r="E49" s="1539"/>
      <c r="F49" s="1539"/>
      <c r="G49" s="1538"/>
      <c r="H49" s="1544">
        <f t="shared" ref="H49:U49" si="30">H$25+H$51</f>
        <v>0</v>
      </c>
      <c r="I49" s="1544">
        <f t="shared" si="30"/>
        <v>0</v>
      </c>
      <c r="J49" s="1544">
        <f t="shared" si="30"/>
        <v>0</v>
      </c>
      <c r="K49" s="1544">
        <f t="shared" si="30"/>
        <v>1584489.375</v>
      </c>
      <c r="L49" s="1544">
        <f t="shared" si="30"/>
        <v>1584489.375</v>
      </c>
      <c r="M49" s="1544">
        <f t="shared" si="30"/>
        <v>1584489.375</v>
      </c>
      <c r="N49" s="1544">
        <f t="shared" si="30"/>
        <v>1584489.375</v>
      </c>
      <c r="O49" s="1544">
        <f t="shared" si="30"/>
        <v>1584489.375</v>
      </c>
      <c r="P49" s="1544">
        <f t="shared" si="30"/>
        <v>1584489.375</v>
      </c>
      <c r="Q49" s="1544">
        <f t="shared" si="30"/>
        <v>1584489.375</v>
      </c>
      <c r="R49" s="1544">
        <f t="shared" si="30"/>
        <v>1584489.375</v>
      </c>
      <c r="S49" s="1544">
        <f t="shared" si="30"/>
        <v>0</v>
      </c>
      <c r="T49" s="1544">
        <f t="shared" si="30"/>
        <v>0</v>
      </c>
      <c r="U49" s="1544">
        <f t="shared" si="30"/>
        <v>0</v>
      </c>
      <c r="V49" s="1475"/>
      <c r="W49" s="1475"/>
      <c r="X49" s="1475"/>
    </row>
    <row r="50" spans="1:24" ht="15.75" customHeight="1">
      <c r="A50" s="1481"/>
      <c r="B50" s="1508" t="s">
        <v>389</v>
      </c>
      <c r="C50" s="1539"/>
      <c r="D50" s="1539"/>
      <c r="E50" s="1539"/>
      <c r="F50" s="1539"/>
      <c r="G50" s="1538"/>
      <c r="H50" s="1544">
        <f t="shared" ref="H50:U50" si="31">MAX(0,H$48-H$49)</f>
        <v>0</v>
      </c>
      <c r="I50" s="1544">
        <f t="shared" si="31"/>
        <v>0</v>
      </c>
      <c r="J50" s="1544">
        <f t="shared" si="31"/>
        <v>12675915</v>
      </c>
      <c r="K50" s="1544">
        <f t="shared" si="31"/>
        <v>11091425.625</v>
      </c>
      <c r="L50" s="1544">
        <f t="shared" si="31"/>
        <v>9506936.25</v>
      </c>
      <c r="M50" s="1544">
        <f t="shared" si="31"/>
        <v>7922446.875</v>
      </c>
      <c r="N50" s="1544">
        <f t="shared" si="31"/>
        <v>6337957.5</v>
      </c>
      <c r="O50" s="1544">
        <f t="shared" si="31"/>
        <v>4753468.125</v>
      </c>
      <c r="P50" s="1544">
        <f t="shared" si="31"/>
        <v>3168978.75</v>
      </c>
      <c r="Q50" s="1544">
        <f t="shared" si="31"/>
        <v>1584489.375</v>
      </c>
      <c r="R50" s="1544">
        <f t="shared" si="31"/>
        <v>0</v>
      </c>
      <c r="S50" s="1544">
        <f t="shared" si="31"/>
        <v>0</v>
      </c>
      <c r="T50" s="1544">
        <f t="shared" si="31"/>
        <v>0</v>
      </c>
      <c r="U50" s="1544">
        <f t="shared" si="31"/>
        <v>0</v>
      </c>
      <c r="V50" s="1475"/>
      <c r="W50" s="1475"/>
      <c r="X50" s="1475"/>
    </row>
    <row r="51" spans="1:24" ht="15.75" customHeight="1">
      <c r="A51" s="1481"/>
      <c r="B51" s="1508" t="s">
        <v>1816</v>
      </c>
      <c r="C51" s="1539"/>
      <c r="D51" s="1539"/>
      <c r="E51" s="1539"/>
      <c r="F51" s="1539"/>
      <c r="G51" s="1538"/>
      <c r="H51" s="1544">
        <f t="shared" ref="H51:U51" si="32">IF(H$37=0,0,IF(H$47=0,0,IF(H$38=1,0,MIN(H$47,IFERROR(INDEX($H$45:$S$45,COLUMNS($H51:H51)+1),0)))))</f>
        <v>0</v>
      </c>
      <c r="I51" s="1544">
        <f t="shared" si="32"/>
        <v>0</v>
      </c>
      <c r="J51" s="1544">
        <f t="shared" si="32"/>
        <v>0</v>
      </c>
      <c r="K51" s="1544">
        <f t="shared" si="32"/>
        <v>0</v>
      </c>
      <c r="L51" s="1544">
        <f t="shared" si="32"/>
        <v>0</v>
      </c>
      <c r="M51" s="1544">
        <f t="shared" si="32"/>
        <v>0</v>
      </c>
      <c r="N51" s="1544">
        <f t="shared" si="32"/>
        <v>0</v>
      </c>
      <c r="O51" s="1544">
        <f t="shared" si="32"/>
        <v>0</v>
      </c>
      <c r="P51" s="1544">
        <f t="shared" si="32"/>
        <v>0</v>
      </c>
      <c r="Q51" s="1544">
        <f t="shared" si="32"/>
        <v>0</v>
      </c>
      <c r="R51" s="1544">
        <f t="shared" si="32"/>
        <v>0</v>
      </c>
      <c r="S51" s="1544">
        <f t="shared" si="32"/>
        <v>0</v>
      </c>
      <c r="T51" s="1544">
        <f t="shared" si="32"/>
        <v>0</v>
      </c>
      <c r="U51" s="1544">
        <f t="shared" si="32"/>
        <v>0</v>
      </c>
      <c r="V51" s="1475"/>
      <c r="W51" s="1475"/>
      <c r="X51" s="1475"/>
    </row>
    <row r="52" spans="1:24" ht="15.75" customHeight="1">
      <c r="A52" s="1481"/>
      <c r="B52" s="1475"/>
      <c r="C52" s="1475"/>
      <c r="D52" s="1475"/>
      <c r="E52" s="1475"/>
      <c r="F52" s="1475"/>
      <c r="G52" s="1475"/>
      <c r="H52" s="1484"/>
      <c r="I52" s="1484"/>
      <c r="J52" s="1484"/>
      <c r="K52" s="1484"/>
      <c r="L52" s="1484"/>
      <c r="M52" s="1484"/>
      <c r="N52" s="1484"/>
      <c r="O52" s="1484"/>
      <c r="P52" s="1484"/>
      <c r="Q52" s="1484"/>
      <c r="R52" s="1484"/>
      <c r="S52" s="1484"/>
      <c r="T52" s="1484"/>
      <c r="U52" s="1484"/>
      <c r="V52" s="1475"/>
      <c r="W52" s="1475"/>
      <c r="X52" s="1475"/>
    </row>
    <row r="53" spans="1:24" ht="15.75" customHeight="1">
      <c r="A53" s="1481"/>
      <c r="B53" s="1475"/>
      <c r="C53" s="1475"/>
      <c r="D53" s="1475"/>
      <c r="E53" s="1475"/>
      <c r="F53" s="1475"/>
      <c r="G53" s="1475"/>
      <c r="H53" s="1484"/>
      <c r="I53" s="1484"/>
      <c r="J53" s="1484"/>
      <c r="K53" s="1484"/>
      <c r="L53" s="1484"/>
      <c r="M53" s="1484"/>
      <c r="N53" s="1484"/>
      <c r="O53" s="1484"/>
      <c r="P53" s="1484"/>
      <c r="Q53" s="1484"/>
      <c r="R53" s="1484"/>
      <c r="S53" s="1484"/>
      <c r="T53" s="1484"/>
      <c r="U53" s="1484"/>
      <c r="V53" s="1475"/>
      <c r="W53" s="1475"/>
      <c r="X53" s="1475"/>
    </row>
    <row r="54" spans="1:24" ht="22" customHeight="1">
      <c r="A54" s="1481"/>
      <c r="B54" s="1545" t="s">
        <v>191</v>
      </c>
      <c r="C54" s="1517"/>
      <c r="D54" s="1517"/>
      <c r="E54" s="1517"/>
      <c r="F54" s="1517"/>
      <c r="G54" s="1517"/>
      <c r="H54" s="1546"/>
      <c r="I54" s="1546"/>
      <c r="J54" s="1546"/>
      <c r="K54" s="1546"/>
      <c r="L54" s="1546"/>
      <c r="M54" s="1546"/>
      <c r="N54" s="1546"/>
      <c r="O54" s="1546"/>
      <c r="P54" s="1546"/>
      <c r="Q54" s="1546"/>
      <c r="R54" s="1546"/>
      <c r="S54" s="1546"/>
      <c r="T54" s="1546"/>
      <c r="U54" s="1546"/>
      <c r="V54" s="1475"/>
      <c r="W54" s="1475"/>
      <c r="X54" s="1475"/>
    </row>
    <row r="55" spans="1:24" ht="15.75" customHeight="1">
      <c r="A55" s="1481"/>
      <c r="B55" s="1476" t="s">
        <v>1817</v>
      </c>
      <c r="C55" s="1485"/>
      <c r="D55" s="1485"/>
      <c r="E55" s="1485"/>
      <c r="F55" s="1485"/>
      <c r="G55" s="1475"/>
      <c r="H55" s="1511">
        <f t="shared" ref="H55:U55" si="33">H$20+H$44</f>
        <v>0</v>
      </c>
      <c r="I55" s="1511">
        <f t="shared" si="33"/>
        <v>0</v>
      </c>
      <c r="J55" s="1511">
        <f t="shared" si="33"/>
        <v>12675915</v>
      </c>
      <c r="K55" s="1511">
        <f t="shared" si="33"/>
        <v>0</v>
      </c>
      <c r="L55" s="1511">
        <f t="shared" si="33"/>
        <v>0</v>
      </c>
      <c r="M55" s="1511">
        <f t="shared" si="33"/>
        <v>0</v>
      </c>
      <c r="N55" s="1511">
        <f t="shared" si="33"/>
        <v>0</v>
      </c>
      <c r="O55" s="1511">
        <f t="shared" si="33"/>
        <v>0</v>
      </c>
      <c r="P55" s="1511">
        <f t="shared" si="33"/>
        <v>0</v>
      </c>
      <c r="Q55" s="1511">
        <f t="shared" si="33"/>
        <v>0</v>
      </c>
      <c r="R55" s="1511">
        <f t="shared" si="33"/>
        <v>0</v>
      </c>
      <c r="S55" s="1511">
        <f t="shared" si="33"/>
        <v>0</v>
      </c>
      <c r="T55" s="1511">
        <f t="shared" si="33"/>
        <v>0</v>
      </c>
      <c r="U55" s="1511">
        <f t="shared" si="33"/>
        <v>0</v>
      </c>
      <c r="V55" s="1475"/>
      <c r="W55" s="1475"/>
      <c r="X55" s="1475"/>
    </row>
    <row r="56" spans="1:24" ht="15.75" customHeight="1">
      <c r="A56" s="1481"/>
      <c r="B56" s="1476" t="s">
        <v>1818</v>
      </c>
      <c r="C56" s="1485"/>
      <c r="D56" s="1485"/>
      <c r="E56" s="1485"/>
      <c r="F56" s="1485"/>
      <c r="G56" s="1475"/>
      <c r="H56" s="1511">
        <f t="shared" ref="H56:U56" si="34">H$21+H$45</f>
        <v>0</v>
      </c>
      <c r="I56" s="1511">
        <f t="shared" si="34"/>
        <v>0</v>
      </c>
      <c r="J56" s="1511">
        <f t="shared" si="34"/>
        <v>0</v>
      </c>
      <c r="K56" s="1511">
        <f t="shared" si="34"/>
        <v>0</v>
      </c>
      <c r="L56" s="1511">
        <f t="shared" si="34"/>
        <v>1584489.375</v>
      </c>
      <c r="M56" s="1511">
        <f t="shared" si="34"/>
        <v>1584489.375</v>
      </c>
      <c r="N56" s="1511">
        <f t="shared" si="34"/>
        <v>1584489.375</v>
      </c>
      <c r="O56" s="1511">
        <f t="shared" si="34"/>
        <v>1584489.375</v>
      </c>
      <c r="P56" s="1511">
        <f t="shared" si="34"/>
        <v>1584489.375</v>
      </c>
      <c r="Q56" s="1511">
        <f t="shared" si="34"/>
        <v>1584489.375</v>
      </c>
      <c r="R56" s="1511">
        <f t="shared" si="34"/>
        <v>1584489.375</v>
      </c>
      <c r="S56" s="1511">
        <f t="shared" si="34"/>
        <v>1584489.375</v>
      </c>
      <c r="T56" s="1511">
        <f t="shared" si="34"/>
        <v>0</v>
      </c>
      <c r="U56" s="1511">
        <f t="shared" si="34"/>
        <v>0</v>
      </c>
      <c r="V56" s="1475"/>
      <c r="W56" s="1475"/>
      <c r="X56" s="1475"/>
    </row>
    <row r="57" spans="1:24" ht="15.75" customHeight="1">
      <c r="A57" s="1481"/>
      <c r="B57" s="1476" t="s">
        <v>1819</v>
      </c>
      <c r="C57" s="1485"/>
      <c r="D57" s="1485"/>
      <c r="E57" s="1485"/>
      <c r="F57" s="1485"/>
      <c r="G57" s="1475"/>
      <c r="H57" s="1511">
        <f t="shared" ref="H57:U57" si="35">H$22+H$46</f>
        <v>0</v>
      </c>
      <c r="I57" s="1511">
        <f t="shared" si="35"/>
        <v>0</v>
      </c>
      <c r="J57" s="1511">
        <f t="shared" si="35"/>
        <v>507036.60000000003</v>
      </c>
      <c r="K57" s="1511">
        <f t="shared" si="35"/>
        <v>1014073.2000000001</v>
      </c>
      <c r="L57" s="1511">
        <f t="shared" si="35"/>
        <v>950693.625</v>
      </c>
      <c r="M57" s="1511">
        <f t="shared" si="35"/>
        <v>823934.47499999998</v>
      </c>
      <c r="N57" s="1511">
        <f t="shared" si="35"/>
        <v>697175.32500000007</v>
      </c>
      <c r="O57" s="1511">
        <f t="shared" si="35"/>
        <v>570416.17500000005</v>
      </c>
      <c r="P57" s="1511">
        <f t="shared" si="35"/>
        <v>443657.02500000002</v>
      </c>
      <c r="Q57" s="1511">
        <f t="shared" si="35"/>
        <v>316897.875</v>
      </c>
      <c r="R57" s="1511">
        <f t="shared" si="35"/>
        <v>190138.72500000001</v>
      </c>
      <c r="S57" s="1511">
        <f t="shared" si="35"/>
        <v>63379.575000000004</v>
      </c>
      <c r="T57" s="1511">
        <f t="shared" si="35"/>
        <v>0</v>
      </c>
      <c r="U57" s="1511">
        <f t="shared" si="35"/>
        <v>0</v>
      </c>
      <c r="V57" s="1475"/>
      <c r="W57" s="1475"/>
      <c r="X57" s="1475"/>
    </row>
    <row r="58" spans="1:24" ht="28.5" customHeight="1">
      <c r="A58" s="1481"/>
      <c r="B58" s="1513" t="s">
        <v>1820</v>
      </c>
      <c r="C58" s="1514"/>
      <c r="D58" s="1514"/>
      <c r="E58" s="1514"/>
      <c r="F58" s="1514"/>
      <c r="G58" s="1530"/>
      <c r="H58" s="1516">
        <f t="shared" ref="H58:U58" si="36">H56+H57</f>
        <v>0</v>
      </c>
      <c r="I58" s="1516">
        <f t="shared" si="36"/>
        <v>0</v>
      </c>
      <c r="J58" s="1516">
        <f t="shared" si="36"/>
        <v>507036.60000000003</v>
      </c>
      <c r="K58" s="1516">
        <f t="shared" si="36"/>
        <v>1014073.2000000001</v>
      </c>
      <c r="L58" s="1516">
        <f t="shared" si="36"/>
        <v>2535183</v>
      </c>
      <c r="M58" s="1516">
        <f t="shared" si="36"/>
        <v>2408423.85</v>
      </c>
      <c r="N58" s="1516">
        <f t="shared" si="36"/>
        <v>2281664.7000000002</v>
      </c>
      <c r="O58" s="1516">
        <f t="shared" si="36"/>
        <v>2154905.5499999998</v>
      </c>
      <c r="P58" s="1516">
        <f t="shared" si="36"/>
        <v>2028146.4</v>
      </c>
      <c r="Q58" s="1516">
        <f t="shared" si="36"/>
        <v>1901387.25</v>
      </c>
      <c r="R58" s="1516">
        <f t="shared" si="36"/>
        <v>1774628.1</v>
      </c>
      <c r="S58" s="1516">
        <f t="shared" si="36"/>
        <v>1647868.95</v>
      </c>
      <c r="T58" s="1516">
        <f t="shared" si="36"/>
        <v>0</v>
      </c>
      <c r="U58" s="1516">
        <f t="shared" si="36"/>
        <v>0</v>
      </c>
      <c r="V58" s="1475"/>
      <c r="W58" s="1475"/>
      <c r="X58" s="1475"/>
    </row>
    <row r="59" spans="1:24" ht="15.75" customHeight="1">
      <c r="A59" s="1481"/>
      <c r="B59" s="1476"/>
      <c r="C59" s="1475"/>
      <c r="D59" s="1475"/>
      <c r="E59" s="1475"/>
      <c r="F59" s="1475"/>
      <c r="G59" s="1475"/>
      <c r="H59" s="1475"/>
      <c r="I59" s="1475"/>
      <c r="J59" s="1475"/>
      <c r="K59" s="1475"/>
      <c r="L59" s="1475"/>
      <c r="M59" s="1475"/>
      <c r="N59" s="1475"/>
      <c r="O59" s="1475"/>
      <c r="P59" s="1475"/>
      <c r="Q59" s="1475"/>
      <c r="R59" s="1475"/>
      <c r="S59" s="1475"/>
      <c r="T59" s="1475"/>
      <c r="U59" s="1475"/>
      <c r="V59" s="1475"/>
      <c r="W59" s="1475"/>
      <c r="X59" s="1475"/>
    </row>
    <row r="60" spans="1:24" ht="15.75" customHeight="1">
      <c r="A60" s="1481"/>
      <c r="B60" s="1476"/>
      <c r="C60" s="1475"/>
      <c r="D60" s="1475"/>
      <c r="E60" s="1475"/>
      <c r="F60" s="1475"/>
      <c r="G60" s="1475"/>
      <c r="H60" s="1475"/>
      <c r="I60" s="1475"/>
      <c r="J60" s="1475"/>
      <c r="K60" s="1475"/>
      <c r="L60" s="1475"/>
      <c r="M60" s="1475"/>
      <c r="N60" s="1475"/>
      <c r="O60" s="1475"/>
      <c r="P60" s="1475"/>
      <c r="Q60" s="1475"/>
      <c r="R60" s="1475"/>
      <c r="S60" s="1475"/>
      <c r="T60" s="1475"/>
      <c r="U60" s="1475"/>
      <c r="V60" s="1475"/>
      <c r="W60" s="1475"/>
      <c r="X60" s="1475"/>
    </row>
    <row r="61" spans="1:24" ht="15.75" customHeight="1">
      <c r="A61" s="1481"/>
      <c r="B61" s="1476"/>
      <c r="C61" s="1475"/>
      <c r="D61" s="1475"/>
      <c r="E61" s="1475"/>
      <c r="F61" s="1475"/>
      <c r="G61" s="1475"/>
      <c r="H61" s="1475"/>
      <c r="I61" s="1475"/>
      <c r="J61" s="1475"/>
      <c r="K61" s="1475"/>
      <c r="L61" s="1475"/>
      <c r="M61" s="1475"/>
      <c r="N61" s="1475"/>
      <c r="O61" s="1475"/>
      <c r="P61" s="1475"/>
      <c r="Q61" s="1475"/>
      <c r="R61" s="1475"/>
      <c r="S61" s="1475"/>
      <c r="T61" s="1475"/>
      <c r="U61" s="1475"/>
      <c r="V61" s="1475"/>
      <c r="W61" s="1475"/>
      <c r="X61" s="1475"/>
    </row>
    <row r="62" spans="1:24" ht="22" customHeight="1">
      <c r="A62" s="1475"/>
      <c r="B62" s="1506" t="s">
        <v>1821</v>
      </c>
      <c r="C62" s="1506"/>
      <c r="D62" s="1506"/>
      <c r="E62" s="1506"/>
      <c r="F62" s="1506"/>
      <c r="G62" s="1506"/>
      <c r="H62" s="1518"/>
      <c r="I62" s="1518"/>
      <c r="J62" s="1518"/>
      <c r="K62" s="1518"/>
      <c r="L62" s="1518"/>
      <c r="M62" s="1518"/>
      <c r="N62" s="1518"/>
      <c r="O62" s="1518"/>
      <c r="P62" s="1518"/>
      <c r="Q62" s="1518"/>
      <c r="R62" s="1518"/>
      <c r="S62" s="1506"/>
      <c r="T62" s="1506"/>
      <c r="U62" s="1506"/>
      <c r="V62" s="1475"/>
      <c r="W62" s="1475"/>
      <c r="X62" s="1475"/>
    </row>
    <row r="63" spans="1:24" ht="15.75" customHeight="1">
      <c r="A63" s="1475"/>
      <c r="B63" s="1519" t="s">
        <v>1822</v>
      </c>
      <c r="C63" s="1485"/>
      <c r="D63" s="1485"/>
      <c r="E63" s="1485"/>
      <c r="F63" s="1485"/>
      <c r="G63" s="1475"/>
      <c r="H63" s="1487"/>
      <c r="I63" s="1487"/>
      <c r="J63" s="1487"/>
      <c r="K63" s="1487"/>
      <c r="L63" s="1487"/>
      <c r="M63" s="1487"/>
      <c r="N63" s="1487"/>
      <c r="O63" s="1487"/>
      <c r="P63" s="1487"/>
      <c r="Q63" s="1487"/>
      <c r="R63" s="1487"/>
      <c r="S63" s="1478"/>
      <c r="T63" s="1478"/>
      <c r="U63" s="1478"/>
      <c r="V63" s="1475"/>
      <c r="W63" s="1475"/>
      <c r="X63" s="1475"/>
    </row>
    <row r="64" spans="1:24" ht="15.75" customHeight="1">
      <c r="A64" s="1475"/>
      <c r="B64" s="1485"/>
      <c r="C64" s="1485"/>
      <c r="D64" s="1485"/>
      <c r="E64" s="1485"/>
      <c r="F64" s="1485"/>
      <c r="G64" s="1475"/>
      <c r="H64" s="1487"/>
      <c r="I64" s="1487"/>
      <c r="J64" s="1487"/>
      <c r="K64" s="1487"/>
      <c r="L64" s="1487"/>
      <c r="M64" s="1487"/>
      <c r="N64" s="1487"/>
      <c r="O64" s="1487"/>
      <c r="P64" s="1487"/>
      <c r="Q64" s="1487"/>
      <c r="R64" s="1487"/>
      <c r="S64" s="1478"/>
      <c r="T64" s="1478"/>
      <c r="U64" s="1478"/>
      <c r="V64" s="1475"/>
      <c r="W64" s="1475"/>
      <c r="X64" s="1475"/>
    </row>
    <row r="65" spans="1:24" ht="15.75" customHeight="1">
      <c r="A65" s="1475"/>
      <c r="B65" s="1520" t="s">
        <v>1823</v>
      </c>
      <c r="C65" s="1485"/>
      <c r="D65" s="1485"/>
      <c r="E65" s="1475"/>
      <c r="F65" s="1485"/>
      <c r="G65" s="1475"/>
      <c r="H65" s="1487"/>
      <c r="I65" s="1487"/>
      <c r="J65" s="1487"/>
      <c r="K65" s="1487"/>
      <c r="L65" s="1487"/>
      <c r="M65" s="1487"/>
      <c r="N65" s="1487"/>
      <c r="O65" s="1487"/>
      <c r="P65" s="1487"/>
      <c r="Q65" s="1487"/>
      <c r="R65" s="1487"/>
      <c r="S65" s="1478"/>
      <c r="T65" s="1478"/>
      <c r="U65" s="1478"/>
      <c r="V65" s="1475"/>
      <c r="W65" s="1475"/>
      <c r="X65" s="1475"/>
    </row>
    <row r="66" spans="1:24" ht="15.75" customHeight="1">
      <c r="A66" s="1475"/>
      <c r="B66" s="1485" t="s">
        <v>1824</v>
      </c>
      <c r="C66" s="1478">
        <f>Inputs!E82</f>
        <v>1</v>
      </c>
      <c r="D66" s="1485"/>
      <c r="E66" s="1475"/>
      <c r="F66" s="1485"/>
      <c r="G66" s="1475"/>
      <c r="H66" s="1487"/>
      <c r="I66" s="1487"/>
      <c r="J66" s="1487"/>
      <c r="K66" s="1487"/>
      <c r="L66" s="1487"/>
      <c r="M66" s="1487"/>
      <c r="N66" s="1487"/>
      <c r="O66" s="1487"/>
      <c r="P66" s="1487"/>
      <c r="Q66" s="1487"/>
      <c r="R66" s="1487"/>
      <c r="S66" s="1478"/>
      <c r="T66" s="1478"/>
      <c r="U66" s="1478"/>
      <c r="V66" s="1475"/>
      <c r="W66" s="1475"/>
      <c r="X66" s="1475"/>
    </row>
    <row r="67" spans="1:24" ht="15.75" customHeight="1">
      <c r="A67" s="1475"/>
      <c r="B67" s="1485" t="s">
        <v>1825</v>
      </c>
      <c r="C67" s="1523">
        <f>Inputs!E96</f>
        <v>850000</v>
      </c>
      <c r="D67" s="1485"/>
      <c r="E67" s="1475"/>
      <c r="F67" s="1485"/>
      <c r="G67" s="1475"/>
      <c r="H67" s="1487"/>
      <c r="I67" s="1487"/>
      <c r="J67" s="1487"/>
      <c r="K67" s="1487"/>
      <c r="L67" s="1487"/>
      <c r="M67" s="1487"/>
      <c r="N67" s="1487"/>
      <c r="O67" s="1487"/>
      <c r="P67" s="1487"/>
      <c r="Q67" s="1487"/>
      <c r="R67" s="1487"/>
      <c r="S67" s="1478"/>
      <c r="T67" s="1478"/>
      <c r="U67" s="1478"/>
      <c r="V67" s="1475"/>
      <c r="W67" s="1475"/>
      <c r="X67" s="1475"/>
    </row>
    <row r="68" spans="1:24" ht="15.75" customHeight="1">
      <c r="A68" s="1475"/>
      <c r="B68" s="1485" t="s">
        <v>841</v>
      </c>
      <c r="C68" s="1522">
        <f>Inputs!E83</f>
        <v>8.5000000000000006E-2</v>
      </c>
      <c r="D68" s="1485"/>
      <c r="E68" s="1475"/>
      <c r="F68" s="1485"/>
      <c r="G68" s="1475"/>
      <c r="H68" s="1487"/>
      <c r="I68" s="1487"/>
      <c r="J68" s="1487"/>
      <c r="K68" s="1487"/>
      <c r="L68" s="1487"/>
      <c r="M68" s="1487"/>
      <c r="N68" s="1487"/>
      <c r="O68" s="1487"/>
      <c r="P68" s="1487"/>
      <c r="Q68" s="1487"/>
      <c r="R68" s="1487"/>
      <c r="S68" s="1478"/>
      <c r="T68" s="1478"/>
      <c r="U68" s="1478"/>
      <c r="V68" s="1475"/>
      <c r="W68" s="1475"/>
      <c r="X68" s="1475"/>
    </row>
    <row r="69" spans="1:24" ht="15.75" customHeight="1">
      <c r="A69" s="1475"/>
      <c r="B69" s="1485" t="s">
        <v>1826</v>
      </c>
      <c r="C69" s="1522">
        <f>Inputs!E84</f>
        <v>0.01</v>
      </c>
      <c r="D69" s="1485"/>
      <c r="E69" s="1475"/>
      <c r="F69" s="1485"/>
      <c r="G69" s="1475"/>
      <c r="H69" s="1487"/>
      <c r="I69" s="1487"/>
      <c r="J69" s="1487"/>
      <c r="K69" s="1487"/>
      <c r="L69" s="1487"/>
      <c r="M69" s="1487"/>
      <c r="N69" s="1487"/>
      <c r="O69" s="1487"/>
      <c r="P69" s="1487"/>
      <c r="Q69" s="1487"/>
      <c r="R69" s="1487"/>
      <c r="S69" s="1478"/>
      <c r="T69" s="1478"/>
      <c r="U69" s="1478"/>
      <c r="V69" s="1475"/>
      <c r="W69" s="1475"/>
      <c r="X69" s="1475"/>
    </row>
    <row r="70" spans="1:24" ht="15.75" customHeight="1">
      <c r="A70" s="1475"/>
      <c r="B70" s="1485"/>
      <c r="C70" s="1521"/>
      <c r="D70" s="1485"/>
      <c r="E70" s="1475"/>
      <c r="F70" s="1485"/>
      <c r="G70" s="1475"/>
      <c r="H70" s="1487"/>
      <c r="I70" s="1487"/>
      <c r="J70" s="1487"/>
      <c r="K70" s="1487"/>
      <c r="L70" s="1487"/>
      <c r="M70" s="1487"/>
      <c r="N70" s="1487"/>
      <c r="O70" s="1487"/>
      <c r="P70" s="1487"/>
      <c r="Q70" s="1487"/>
      <c r="R70" s="1487"/>
      <c r="S70" s="1478"/>
      <c r="T70" s="1478"/>
      <c r="U70" s="1478"/>
      <c r="V70" s="1475"/>
      <c r="W70" s="1475"/>
      <c r="X70" s="1475"/>
    </row>
    <row r="71" spans="1:24" ht="15.75" customHeight="1">
      <c r="A71" s="1475"/>
      <c r="B71" s="1485" t="s">
        <v>1827</v>
      </c>
      <c r="C71" s="1523">
        <f>Inputs!E92</f>
        <v>50000</v>
      </c>
      <c r="D71" s="1485"/>
      <c r="E71" s="1475"/>
      <c r="F71" s="1485"/>
      <c r="G71" s="1475"/>
      <c r="H71" s="1487"/>
      <c r="I71" s="1487"/>
      <c r="J71" s="1487"/>
      <c r="K71" s="1487"/>
      <c r="L71" s="1487"/>
      <c r="M71" s="1487"/>
      <c r="N71" s="1487"/>
      <c r="O71" s="1487"/>
      <c r="P71" s="1487"/>
      <c r="Q71" s="1487"/>
      <c r="R71" s="1487"/>
      <c r="S71" s="1478"/>
      <c r="T71" s="1478"/>
      <c r="U71" s="1478"/>
      <c r="V71" s="1475"/>
      <c r="W71" s="1475"/>
      <c r="X71" s="1475"/>
    </row>
    <row r="72" spans="1:24" ht="15.75" customHeight="1">
      <c r="A72" s="1475"/>
      <c r="B72" s="1485" t="s">
        <v>1828</v>
      </c>
      <c r="C72" s="1478" t="str">
        <f>"FY"&amp;RIGHT(YEAR(Inputs!E22)+IF(MONTH(Inputs!E22)&gt;=7,1,0),2)</f>
        <v>FY28</v>
      </c>
      <c r="D72" s="1485"/>
      <c r="E72" s="1475"/>
      <c r="F72" s="1485"/>
      <c r="G72" s="1475"/>
      <c r="H72" s="1487"/>
      <c r="I72" s="1487"/>
      <c r="J72" s="1487"/>
      <c r="K72" s="1487"/>
      <c r="L72" s="1487"/>
      <c r="M72" s="1487"/>
      <c r="N72" s="1487"/>
      <c r="O72" s="1487"/>
      <c r="P72" s="1487"/>
      <c r="Q72" s="1487"/>
      <c r="R72" s="1487"/>
      <c r="S72" s="1478"/>
      <c r="T72" s="1478"/>
      <c r="U72" s="1478"/>
      <c r="V72" s="1475"/>
      <c r="W72" s="1475"/>
      <c r="X72" s="1475"/>
    </row>
    <row r="73" spans="1:24" ht="15.75" customHeight="1">
      <c r="A73" s="1475"/>
      <c r="B73" s="1485"/>
      <c r="C73" s="1524" t="s">
        <v>1829</v>
      </c>
      <c r="D73" s="1485"/>
      <c r="E73" s="1485"/>
      <c r="F73" s="1485"/>
      <c r="G73" s="1475"/>
      <c r="H73" s="1475"/>
      <c r="I73" s="1475"/>
      <c r="J73" s="1475"/>
      <c r="K73" s="1475"/>
      <c r="L73" s="1475"/>
      <c r="M73" s="1475"/>
      <c r="N73" s="1475"/>
      <c r="O73" s="1475"/>
      <c r="P73" s="1475"/>
      <c r="Q73" s="1475"/>
      <c r="R73" s="1475"/>
      <c r="S73" s="1475"/>
      <c r="T73" s="1475"/>
      <c r="U73" s="1475"/>
      <c r="V73" s="1475"/>
      <c r="W73" s="1475"/>
      <c r="X73" s="1475"/>
    </row>
    <row r="74" spans="1:24" ht="15.75" customHeight="1">
      <c r="A74" s="1475"/>
      <c r="B74" s="1485"/>
      <c r="C74" s="1520" t="s">
        <v>1830</v>
      </c>
      <c r="D74" s="1485"/>
      <c r="E74" s="1485"/>
      <c r="F74" s="1485"/>
      <c r="G74" s="1475"/>
      <c r="H74" s="1525" t="s">
        <v>150</v>
      </c>
      <c r="I74" s="1525" t="s">
        <v>151</v>
      </c>
      <c r="J74" s="1525" t="s">
        <v>152</v>
      </c>
      <c r="K74" s="1525" t="s">
        <v>153</v>
      </c>
      <c r="L74" s="1525" t="s">
        <v>154</v>
      </c>
      <c r="M74" s="1525" t="s">
        <v>155</v>
      </c>
      <c r="N74" s="1525" t="s">
        <v>201</v>
      </c>
      <c r="O74" s="1525" t="s">
        <v>202</v>
      </c>
      <c r="P74" s="1525" t="s">
        <v>203</v>
      </c>
      <c r="Q74" s="1525" t="s">
        <v>204</v>
      </c>
      <c r="R74" s="1525" t="s">
        <v>205</v>
      </c>
      <c r="S74" s="1526" t="s">
        <v>206</v>
      </c>
      <c r="T74" s="1526" t="s">
        <v>206</v>
      </c>
      <c r="U74" s="1526" t="s">
        <v>206</v>
      </c>
      <c r="V74" s="1475"/>
      <c r="W74" s="1475"/>
      <c r="X74" s="1475"/>
    </row>
    <row r="75" spans="1:24" ht="15.75" customHeight="1">
      <c r="A75" s="1475"/>
      <c r="B75" s="1485"/>
      <c r="C75" s="1485" t="s">
        <v>1831</v>
      </c>
      <c r="D75" s="1485"/>
      <c r="E75" s="1485"/>
      <c r="F75" s="1485"/>
      <c r="G75" s="1475"/>
      <c r="H75" s="1527">
        <f t="shared" ref="H75:H77" si="37">0</f>
        <v>0</v>
      </c>
      <c r="I75" s="1527">
        <f t="shared" ref="I75:U75" si="38">H78</f>
        <v>0</v>
      </c>
      <c r="J75" s="1527">
        <f t="shared" si="38"/>
        <v>0</v>
      </c>
      <c r="K75" s="1527">
        <f t="shared" si="38"/>
        <v>850000</v>
      </c>
      <c r="L75" s="1527">
        <f t="shared" si="38"/>
        <v>0</v>
      </c>
      <c r="M75" s="1527">
        <f t="shared" si="38"/>
        <v>0</v>
      </c>
      <c r="N75" s="1527">
        <f t="shared" si="38"/>
        <v>0</v>
      </c>
      <c r="O75" s="1527">
        <f t="shared" si="38"/>
        <v>0</v>
      </c>
      <c r="P75" s="1527">
        <f t="shared" si="38"/>
        <v>0</v>
      </c>
      <c r="Q75" s="1527">
        <f t="shared" si="38"/>
        <v>0</v>
      </c>
      <c r="R75" s="1527">
        <f t="shared" si="38"/>
        <v>0</v>
      </c>
      <c r="S75" s="1527">
        <f t="shared" si="38"/>
        <v>0</v>
      </c>
      <c r="T75" s="1527">
        <f t="shared" si="38"/>
        <v>0</v>
      </c>
      <c r="U75" s="1527">
        <f t="shared" si="38"/>
        <v>0</v>
      </c>
      <c r="V75" s="1475"/>
      <c r="W75" s="1475"/>
      <c r="X75" s="1475"/>
    </row>
    <row r="76" spans="1:24" ht="15.75" customHeight="1">
      <c r="A76" s="1475"/>
      <c r="B76" s="1485"/>
      <c r="C76" s="1485" t="s">
        <v>1802</v>
      </c>
      <c r="D76" s="1485"/>
      <c r="E76" s="1485"/>
      <c r="F76" s="1485"/>
      <c r="G76" s="1475"/>
      <c r="H76" s="1527">
        <f t="shared" si="37"/>
        <v>0</v>
      </c>
      <c r="I76" s="1527">
        <f>IF($C$66=1,'Construction Timeline'!E187,0)</f>
        <v>0</v>
      </c>
      <c r="J76" s="1527">
        <f>IF($C$66=1,C67,0)</f>
        <v>850000</v>
      </c>
      <c r="K76" s="1527">
        <f t="array" ref="K76">IF($C$66=0,0,IF(K75&gt;=$C$67,0,IF(K$14=Inputs!$E$22,0,MAX(0,MIN($C$67-K75,IFERROR(INDEX('Construction Timeline'!$G$187:$G$199,MATCH(K$14,'Construction Timeline'!$E$5:$E$18,0)),0))))))</f>
        <v>0</v>
      </c>
      <c r="L76" s="1527">
        <f t="array" ref="L76">IF($C$66=0,0,IF(L75&gt;=$C$67,0,IF(L$14=Inputs!$E$22,0,MAX(0,MIN($C$67-L75,IFERROR(INDEX('Construction Timeline'!$G$187:$G$199,MATCH(L$14,'Construction Timeline'!$E$5:$E$18,0)),0))))))</f>
        <v>0</v>
      </c>
      <c r="M76" s="1527">
        <f t="array" ref="M76">IF($C$66=0,0,IF(M75&gt;=$C$67,0,IF(M$14=Inputs!$E$22,0,MAX(0,MIN($C$67-M75,IFERROR(INDEX('Construction Timeline'!$G$187:$G$199,MATCH(M$14,'Construction Timeline'!$E$5:$E$18,0)),0))))))</f>
        <v>0</v>
      </c>
      <c r="N76" s="1527">
        <f t="array" ref="N76">IF($C$66=0,0,IF(N75&gt;=$C$67,0,IF(N$14=Inputs!$E$22,0,MAX(0,MIN($C$67-N75,IFERROR(INDEX('Construction Timeline'!$G$187:$G$199,MATCH(N$14,'Construction Timeline'!$E$5:$E$18,0)),0))))))</f>
        <v>0</v>
      </c>
      <c r="O76" s="1527">
        <f t="array" ref="O76">IF($C$66=0,0,IF(O75&gt;=$C$67,0,IF(O$14=Inputs!$E$22,0,MAX(0,MIN($C$67-O75,IFERROR(INDEX('Construction Timeline'!$G$187:$G$199,MATCH(O$14,'Construction Timeline'!$E$5:$E$18,0)),0))))))</f>
        <v>0</v>
      </c>
      <c r="P76" s="1527">
        <f t="array" ref="P76">IF($C$66=0,0,IF(P75&gt;=$C$67,0,IF(P$14=Inputs!$E$22,0,MAX(0,MIN($C$67-P75,IFERROR(INDEX('Construction Timeline'!$G$187:$G$199,MATCH(P$14,'Construction Timeline'!$E$5:$E$18,0)),0))))))</f>
        <v>0</v>
      </c>
      <c r="Q76" s="1527">
        <f t="array" ref="Q76">IF($C$66=0,0,IF(Q75&gt;=$C$67,0,IF(Q$14=Inputs!$E$22,0,MAX(0,MIN($C$67-Q75,IFERROR(INDEX('Construction Timeline'!$G$187:$G$199,MATCH(Q$14,'Construction Timeline'!$E$5:$E$18,0)),0))))))</f>
        <v>0</v>
      </c>
      <c r="R76" s="1527">
        <f t="array" ref="R76">IF($C$66=0,0,IF(R75&gt;=$C$67,0,IF(R$14=Inputs!$E$22,0,MAX(0,MIN($C$67-R75,IFERROR(INDEX('Construction Timeline'!$G$187:$G$199,MATCH(R$14,'Construction Timeline'!$E$5:$E$18,0)),0))))))</f>
        <v>0</v>
      </c>
      <c r="S76" s="1527">
        <f t="array" ref="S76">IF($C$66=0,0,IF(S75&gt;=$C$67,0,IF(S$14=Inputs!$E$22,0,MAX(0,MIN($C$67-S75,IFERROR(INDEX('Construction Timeline'!$G$187:$G$199,MATCH(S$14,'Construction Timeline'!$E$5:$E$18,0)),0))))))</f>
        <v>0</v>
      </c>
      <c r="T76" s="1527">
        <f t="array" ref="T76">IF($C$66=0,0,IF(T75&gt;=$C$67,0,IF(T$14=Inputs!$E$22,0,MAX(0,MIN($C$67-T75,IFERROR(INDEX('Construction Timeline'!$G$187:$G$199,MATCH(T$14,'Construction Timeline'!$E$5:$E$18,0)),0))))))</f>
        <v>0</v>
      </c>
      <c r="U76" s="1527">
        <f t="array" ref="U76">IF($C$66=0,0,IF(U75&gt;=$C$67,0,IF(U$14=Inputs!$E$22,0,MAX(0,MIN($C$67-U75,IFERROR(INDEX('Construction Timeline'!$G$187:$G$199,MATCH(U$14,'Construction Timeline'!$E$5:$E$18,0)),0))))))</f>
        <v>0</v>
      </c>
      <c r="V76" s="1475"/>
      <c r="W76" s="1475"/>
      <c r="X76" s="1475"/>
    </row>
    <row r="77" spans="1:24" ht="15.75" customHeight="1">
      <c r="A77" s="1475"/>
      <c r="B77" s="1485"/>
      <c r="C77" s="1485" t="s">
        <v>1832</v>
      </c>
      <c r="D77" s="1485"/>
      <c r="E77" s="1485"/>
      <c r="F77" s="1485"/>
      <c r="G77" s="1475"/>
      <c r="H77" s="1527">
        <f t="shared" si="37"/>
        <v>0</v>
      </c>
      <c r="I77" s="1527">
        <f t="shared" ref="I77:J77" si="39">0</f>
        <v>0</v>
      </c>
      <c r="J77" s="1527">
        <f t="shared" si="39"/>
        <v>0</v>
      </c>
      <c r="K77" s="1527">
        <f>IF($C$66=0,0,IF(OR(K75=0,K76&gt;0),0,IF(K$14&gt;=Inputs!$E$22,K75,0)))</f>
        <v>850000</v>
      </c>
      <c r="L77" s="1527">
        <f>IF($C$66=0,0,IF(OR(L75=0,L76&gt;0),0,IF(L$14&gt;=Inputs!$E$22,L75,0)))</f>
        <v>0</v>
      </c>
      <c r="M77" s="1527">
        <f>IF($C$66=0,0,IF(OR(M75=0,M76&gt;0),0,IF(M$14&gt;=Inputs!$E$22,M75,0)))</f>
        <v>0</v>
      </c>
      <c r="N77" s="1527">
        <f>IF($C$66=0,0,IF(OR(N75=0,N76&gt;0),0,IF(N$14&gt;=Inputs!$E$22,N75,0)))</f>
        <v>0</v>
      </c>
      <c r="O77" s="1527">
        <f>IF($C$66=0,0,IF(OR(O75=0,O76&gt;0),0,IF(O$14&gt;=Inputs!$E$22,O75,0)))</f>
        <v>0</v>
      </c>
      <c r="P77" s="1527">
        <f>IF($C$66=0,0,IF(OR(P75=0,P76&gt;0),0,IF(P$14&gt;=Inputs!$E$22,P75,0)))</f>
        <v>0</v>
      </c>
      <c r="Q77" s="1527">
        <f>IF($C$66=0,0,IF(OR(Q75=0,Q76&gt;0),0,IF(Q$14&gt;=Inputs!$E$22,Q75,0)))</f>
        <v>0</v>
      </c>
      <c r="R77" s="1527">
        <f>IF($C$66=0,0,IF(OR(R75=0,R76&gt;0),0,IF(R$14&gt;=Inputs!$E$22,R75,0)))</f>
        <v>0</v>
      </c>
      <c r="S77" s="1527">
        <f>IF($C$66=0,0,IF(OR(S75=0,S76&gt;0),0,IF(S$14&gt;=Inputs!$E$22,S75,0)))</f>
        <v>0</v>
      </c>
      <c r="T77" s="1527">
        <f>IF($C$66=0,0,IF(OR(T75=0,T76&gt;0),0,IF(T$14&gt;=Inputs!$E$22,T75,0)))</f>
        <v>0</v>
      </c>
      <c r="U77" s="1527">
        <f>IF($C$66=0,0,IF(OR(U75=0,U76&gt;0),0,IF(U$14&gt;=Inputs!$E$22,U75,0)))</f>
        <v>0</v>
      </c>
      <c r="V77" s="1475"/>
      <c r="W77" s="1475"/>
      <c r="X77" s="1475"/>
    </row>
    <row r="78" spans="1:24" ht="15.75" customHeight="1">
      <c r="A78" s="1475"/>
      <c r="B78" s="1485"/>
      <c r="C78" s="1514" t="s">
        <v>1833</v>
      </c>
      <c r="D78" s="1514"/>
      <c r="E78" s="1514"/>
      <c r="F78" s="1514"/>
      <c r="G78" s="1530"/>
      <c r="H78" s="1531">
        <f t="shared" ref="H78:U78" si="40">H75+H76-H77</f>
        <v>0</v>
      </c>
      <c r="I78" s="1531">
        <f t="shared" si="40"/>
        <v>0</v>
      </c>
      <c r="J78" s="1531">
        <f t="shared" si="40"/>
        <v>850000</v>
      </c>
      <c r="K78" s="1531">
        <f t="shared" si="40"/>
        <v>0</v>
      </c>
      <c r="L78" s="1531">
        <f t="shared" si="40"/>
        <v>0</v>
      </c>
      <c r="M78" s="1531">
        <f t="shared" si="40"/>
        <v>0</v>
      </c>
      <c r="N78" s="1531">
        <f t="shared" si="40"/>
        <v>0</v>
      </c>
      <c r="O78" s="1531">
        <f t="shared" si="40"/>
        <v>0</v>
      </c>
      <c r="P78" s="1531">
        <f t="shared" si="40"/>
        <v>0</v>
      </c>
      <c r="Q78" s="1531">
        <f t="shared" si="40"/>
        <v>0</v>
      </c>
      <c r="R78" s="1531">
        <f t="shared" si="40"/>
        <v>0</v>
      </c>
      <c r="S78" s="1531">
        <f t="shared" si="40"/>
        <v>0</v>
      </c>
      <c r="T78" s="1531">
        <f t="shared" si="40"/>
        <v>0</v>
      </c>
      <c r="U78" s="1531">
        <f t="shared" si="40"/>
        <v>0</v>
      </c>
      <c r="V78" s="1475"/>
      <c r="W78" s="1475"/>
      <c r="X78" s="1475"/>
    </row>
    <row r="79" spans="1:24" ht="15.75" customHeight="1">
      <c r="A79" s="1475"/>
      <c r="B79" s="1485"/>
      <c r="C79" s="1485"/>
      <c r="D79" s="1485"/>
      <c r="E79" s="1485"/>
      <c r="F79" s="1485"/>
      <c r="G79" s="1475"/>
      <c r="H79" s="1527"/>
      <c r="I79" s="1527"/>
      <c r="J79" s="1527"/>
      <c r="K79" s="1527"/>
      <c r="L79" s="1527"/>
      <c r="M79" s="1527"/>
      <c r="N79" s="1527"/>
      <c r="O79" s="1527"/>
      <c r="P79" s="1527"/>
      <c r="Q79" s="1527"/>
      <c r="R79" s="1527"/>
      <c r="S79" s="1527"/>
      <c r="T79" s="1527"/>
      <c r="U79" s="1527"/>
      <c r="V79" s="1475"/>
      <c r="W79" s="1475"/>
      <c r="X79" s="1475"/>
    </row>
    <row r="80" spans="1:24" ht="15.75" customHeight="1">
      <c r="A80" s="1475"/>
      <c r="B80" s="1485"/>
      <c r="C80" s="1485" t="s">
        <v>1834</v>
      </c>
      <c r="D80" s="1485"/>
      <c r="E80" s="1485"/>
      <c r="F80" s="1485"/>
      <c r="G80" s="1475"/>
      <c r="H80" s="1527">
        <f t="shared" ref="H80:U80" si="41">(H75+H78)/2*$C$68</f>
        <v>0</v>
      </c>
      <c r="I80" s="1527">
        <f t="shared" si="41"/>
        <v>0</v>
      </c>
      <c r="J80" s="1527">
        <f t="shared" si="41"/>
        <v>36125</v>
      </c>
      <c r="K80" s="1527">
        <f t="shared" si="41"/>
        <v>36125</v>
      </c>
      <c r="L80" s="1527">
        <f t="shared" si="41"/>
        <v>0</v>
      </c>
      <c r="M80" s="1527">
        <f t="shared" si="41"/>
        <v>0</v>
      </c>
      <c r="N80" s="1527">
        <f t="shared" si="41"/>
        <v>0</v>
      </c>
      <c r="O80" s="1527">
        <f t="shared" si="41"/>
        <v>0</v>
      </c>
      <c r="P80" s="1527">
        <f t="shared" si="41"/>
        <v>0</v>
      </c>
      <c r="Q80" s="1527">
        <f t="shared" si="41"/>
        <v>0</v>
      </c>
      <c r="R80" s="1527">
        <f t="shared" si="41"/>
        <v>0</v>
      </c>
      <c r="S80" s="1527">
        <f t="shared" si="41"/>
        <v>0</v>
      </c>
      <c r="T80" s="1527">
        <f t="shared" si="41"/>
        <v>0</v>
      </c>
      <c r="U80" s="1527">
        <f t="shared" si="41"/>
        <v>0</v>
      </c>
      <c r="V80" s="1475"/>
      <c r="W80" s="1475"/>
      <c r="X80" s="1475"/>
    </row>
    <row r="81" spans="1:24" ht="15.75" customHeight="1">
      <c r="A81" s="1475"/>
      <c r="B81" s="1485"/>
      <c r="C81" s="1485" t="s">
        <v>1835</v>
      </c>
      <c r="D81" s="1485"/>
      <c r="E81" s="1485"/>
      <c r="F81" s="1485"/>
      <c r="G81" s="1475"/>
      <c r="H81" s="1527">
        <f t="shared" ref="H81:U81" si="42">IF(OR(H74="FY26",H74="FY27"),MAX(0,$C$67-(H75+H78)/2)*$C$69,0)</f>
        <v>0</v>
      </c>
      <c r="I81" s="1527">
        <f t="shared" si="42"/>
        <v>8500</v>
      </c>
      <c r="J81" s="1527">
        <f t="shared" si="42"/>
        <v>4250</v>
      </c>
      <c r="K81" s="1527">
        <f t="shared" si="42"/>
        <v>0</v>
      </c>
      <c r="L81" s="1527">
        <f t="shared" si="42"/>
        <v>0</v>
      </c>
      <c r="M81" s="1527">
        <f t="shared" si="42"/>
        <v>0</v>
      </c>
      <c r="N81" s="1527">
        <f t="shared" si="42"/>
        <v>0</v>
      </c>
      <c r="O81" s="1527">
        <f t="shared" si="42"/>
        <v>0</v>
      </c>
      <c r="P81" s="1527">
        <f t="shared" si="42"/>
        <v>0</v>
      </c>
      <c r="Q81" s="1527">
        <f t="shared" si="42"/>
        <v>0</v>
      </c>
      <c r="R81" s="1527">
        <f t="shared" si="42"/>
        <v>0</v>
      </c>
      <c r="S81" s="1527">
        <f t="shared" si="42"/>
        <v>0</v>
      </c>
      <c r="T81" s="1527">
        <f t="shared" si="42"/>
        <v>0</v>
      </c>
      <c r="U81" s="1527">
        <f t="shared" si="42"/>
        <v>0</v>
      </c>
      <c r="V81" s="1475"/>
      <c r="W81" s="1475"/>
      <c r="X81" s="1475"/>
    </row>
    <row r="82" spans="1:24" ht="15.75" customHeight="1">
      <c r="A82" s="1475"/>
      <c r="B82" s="1485"/>
      <c r="C82" s="1512" t="s">
        <v>1836</v>
      </c>
      <c r="D82" s="1512"/>
      <c r="E82" s="1512"/>
      <c r="F82" s="1512"/>
      <c r="G82" s="1528"/>
      <c r="H82" s="1529">
        <f t="shared" ref="H82:U82" si="43">H80+H81</f>
        <v>0</v>
      </c>
      <c r="I82" s="1529">
        <f t="shared" si="43"/>
        <v>8500</v>
      </c>
      <c r="J82" s="1529">
        <f t="shared" si="43"/>
        <v>40375</v>
      </c>
      <c r="K82" s="1529">
        <f t="shared" si="43"/>
        <v>36125</v>
      </c>
      <c r="L82" s="1529">
        <f t="shared" si="43"/>
        <v>0</v>
      </c>
      <c r="M82" s="1529">
        <f t="shared" si="43"/>
        <v>0</v>
      </c>
      <c r="N82" s="1529">
        <f t="shared" si="43"/>
        <v>0</v>
      </c>
      <c r="O82" s="1529">
        <f t="shared" si="43"/>
        <v>0</v>
      </c>
      <c r="P82" s="1529">
        <f t="shared" si="43"/>
        <v>0</v>
      </c>
      <c r="Q82" s="1529">
        <f t="shared" si="43"/>
        <v>0</v>
      </c>
      <c r="R82" s="1529">
        <f t="shared" si="43"/>
        <v>0</v>
      </c>
      <c r="S82" s="1529">
        <f t="shared" si="43"/>
        <v>0</v>
      </c>
      <c r="T82" s="1529">
        <f t="shared" si="43"/>
        <v>0</v>
      </c>
      <c r="U82" s="1529">
        <f t="shared" si="43"/>
        <v>0</v>
      </c>
      <c r="V82" s="1475"/>
      <c r="W82" s="1475"/>
      <c r="X82" s="1475"/>
    </row>
    <row r="83" spans="1:24" ht="15.75" customHeight="1">
      <c r="A83" s="1475"/>
      <c r="B83" s="1485"/>
      <c r="C83" s="1485"/>
      <c r="D83" s="1485"/>
      <c r="E83" s="1485"/>
      <c r="F83" s="1485"/>
      <c r="G83" s="1475"/>
      <c r="H83" s="1527"/>
      <c r="I83" s="1527"/>
      <c r="J83" s="1527"/>
      <c r="K83" s="1527"/>
      <c r="L83" s="1527"/>
      <c r="M83" s="1527"/>
      <c r="N83" s="1527"/>
      <c r="O83" s="1527"/>
      <c r="P83" s="1527"/>
      <c r="Q83" s="1527"/>
      <c r="R83" s="1527"/>
      <c r="S83" s="1527"/>
      <c r="T83" s="1527"/>
      <c r="U83" s="1527"/>
      <c r="V83" s="1475"/>
      <c r="W83" s="1475"/>
      <c r="X83" s="1475"/>
    </row>
    <row r="84" spans="1:24" ht="15.75" customHeight="1">
      <c r="A84" s="1475"/>
      <c r="B84" s="1485"/>
      <c r="C84" s="1485" t="s">
        <v>1837</v>
      </c>
      <c r="D84" s="1485"/>
      <c r="E84" s="1485"/>
      <c r="F84" s="1485"/>
      <c r="G84" s="1475"/>
      <c r="H84" s="1527">
        <f t="shared" ref="H84:U84" si="44">H78</f>
        <v>0</v>
      </c>
      <c r="I84" s="1527">
        <f t="shared" si="44"/>
        <v>0</v>
      </c>
      <c r="J84" s="1527">
        <f t="shared" si="44"/>
        <v>850000</v>
      </c>
      <c r="K84" s="1527">
        <f t="shared" si="44"/>
        <v>0</v>
      </c>
      <c r="L84" s="1527">
        <f t="shared" si="44"/>
        <v>0</v>
      </c>
      <c r="M84" s="1527">
        <f t="shared" si="44"/>
        <v>0</v>
      </c>
      <c r="N84" s="1527">
        <f t="shared" si="44"/>
        <v>0</v>
      </c>
      <c r="O84" s="1527">
        <f t="shared" si="44"/>
        <v>0</v>
      </c>
      <c r="P84" s="1527">
        <f t="shared" si="44"/>
        <v>0</v>
      </c>
      <c r="Q84" s="1527">
        <f t="shared" si="44"/>
        <v>0</v>
      </c>
      <c r="R84" s="1527">
        <f t="shared" si="44"/>
        <v>0</v>
      </c>
      <c r="S84" s="1527">
        <f t="shared" si="44"/>
        <v>0</v>
      </c>
      <c r="T84" s="1527">
        <f t="shared" si="44"/>
        <v>0</v>
      </c>
      <c r="U84" s="1527">
        <f t="shared" si="44"/>
        <v>0</v>
      </c>
      <c r="V84" s="1475"/>
      <c r="W84" s="1475"/>
      <c r="X84" s="1475"/>
    </row>
    <row r="85" spans="1:24" ht="15.75" customHeight="1">
      <c r="A85" s="1475"/>
      <c r="B85" s="1485"/>
      <c r="C85" s="1485" t="s">
        <v>1838</v>
      </c>
      <c r="D85" s="1485"/>
      <c r="E85" s="1485"/>
      <c r="F85" s="1485"/>
      <c r="G85" s="1475"/>
      <c r="H85" s="1527">
        <f t="shared" ref="H85:U85" si="45">0</f>
        <v>0</v>
      </c>
      <c r="I85" s="1527">
        <f t="shared" si="45"/>
        <v>0</v>
      </c>
      <c r="J85" s="1527">
        <f t="shared" si="45"/>
        <v>0</v>
      </c>
      <c r="K85" s="1527">
        <f t="shared" si="45"/>
        <v>0</v>
      </c>
      <c r="L85" s="1527">
        <f t="shared" si="45"/>
        <v>0</v>
      </c>
      <c r="M85" s="1527">
        <f t="shared" si="45"/>
        <v>0</v>
      </c>
      <c r="N85" s="1527">
        <f t="shared" si="45"/>
        <v>0</v>
      </c>
      <c r="O85" s="1527">
        <f t="shared" si="45"/>
        <v>0</v>
      </c>
      <c r="P85" s="1527">
        <f t="shared" si="45"/>
        <v>0</v>
      </c>
      <c r="Q85" s="1527">
        <f t="shared" si="45"/>
        <v>0</v>
      </c>
      <c r="R85" s="1527">
        <f t="shared" si="45"/>
        <v>0</v>
      </c>
      <c r="S85" s="1527">
        <f t="shared" si="45"/>
        <v>0</v>
      </c>
      <c r="T85" s="1527">
        <f t="shared" si="45"/>
        <v>0</v>
      </c>
      <c r="U85" s="1527">
        <f t="shared" si="45"/>
        <v>0</v>
      </c>
      <c r="V85" s="1475"/>
      <c r="W85" s="1475"/>
      <c r="X85" s="1475"/>
    </row>
    <row r="86" spans="1:24" ht="15.75" customHeight="1">
      <c r="A86" s="1475"/>
      <c r="B86" s="1485"/>
      <c r="C86" s="1485" t="s">
        <v>1839</v>
      </c>
      <c r="D86" s="1485"/>
      <c r="E86" s="1485"/>
      <c r="F86" s="1485"/>
      <c r="G86" s="1475"/>
      <c r="H86" s="1527">
        <f t="shared" ref="H86:U86" si="46">MAX(0,$C$67-H78)</f>
        <v>850000</v>
      </c>
      <c r="I86" s="1527">
        <f t="shared" si="46"/>
        <v>850000</v>
      </c>
      <c r="J86" s="1527">
        <f t="shared" si="46"/>
        <v>0</v>
      </c>
      <c r="K86" s="1527">
        <f t="shared" si="46"/>
        <v>850000</v>
      </c>
      <c r="L86" s="1527">
        <f t="shared" si="46"/>
        <v>850000</v>
      </c>
      <c r="M86" s="1527">
        <f t="shared" si="46"/>
        <v>850000</v>
      </c>
      <c r="N86" s="1527">
        <f t="shared" si="46"/>
        <v>850000</v>
      </c>
      <c r="O86" s="1527">
        <f t="shared" si="46"/>
        <v>850000</v>
      </c>
      <c r="P86" s="1527">
        <f t="shared" si="46"/>
        <v>850000</v>
      </c>
      <c r="Q86" s="1527">
        <f t="shared" si="46"/>
        <v>850000</v>
      </c>
      <c r="R86" s="1527">
        <f t="shared" si="46"/>
        <v>850000</v>
      </c>
      <c r="S86" s="1527">
        <f t="shared" si="46"/>
        <v>850000</v>
      </c>
      <c r="T86" s="1527">
        <f t="shared" si="46"/>
        <v>850000</v>
      </c>
      <c r="U86" s="1527">
        <f t="shared" si="46"/>
        <v>850000</v>
      </c>
      <c r="V86" s="1475"/>
      <c r="W86" s="1475"/>
      <c r="X86" s="1475"/>
    </row>
    <row r="87" spans="1:24" ht="15.75" customHeight="1">
      <c r="A87" s="1475"/>
      <c r="B87" s="1485"/>
      <c r="C87" s="1485"/>
      <c r="D87" s="1485"/>
      <c r="E87" s="1485"/>
      <c r="F87" s="1485"/>
      <c r="G87" s="1475"/>
      <c r="H87" s="1527"/>
      <c r="I87" s="1527"/>
      <c r="J87" s="1527"/>
      <c r="K87" s="1527"/>
      <c r="L87" s="1527"/>
      <c r="M87" s="1527"/>
      <c r="N87" s="1527"/>
      <c r="O87" s="1527"/>
      <c r="P87" s="1527"/>
      <c r="Q87" s="1527"/>
      <c r="R87" s="1527"/>
      <c r="S87" s="1527"/>
      <c r="T87" s="1527"/>
      <c r="U87" s="1527"/>
      <c r="V87" s="1475"/>
      <c r="W87" s="1475"/>
      <c r="X87" s="1475"/>
    </row>
    <row r="88" spans="1:24" ht="15.75" customHeight="1">
      <c r="A88" s="1475"/>
      <c r="B88" s="1485"/>
      <c r="C88" s="1532" t="s">
        <v>1840</v>
      </c>
      <c r="D88" s="1532"/>
      <c r="E88" s="1532"/>
      <c r="F88" s="1532"/>
      <c r="G88" s="1533"/>
      <c r="H88" s="1534">
        <f t="shared" ref="H88:U88" si="47">H75+H76-H77-H78</f>
        <v>0</v>
      </c>
      <c r="I88" s="1534">
        <f t="shared" si="47"/>
        <v>0</v>
      </c>
      <c r="J88" s="1534">
        <f t="shared" si="47"/>
        <v>0</v>
      </c>
      <c r="K88" s="1534">
        <f t="shared" si="47"/>
        <v>0</v>
      </c>
      <c r="L88" s="1534">
        <f t="shared" si="47"/>
        <v>0</v>
      </c>
      <c r="M88" s="1534">
        <f t="shared" si="47"/>
        <v>0</v>
      </c>
      <c r="N88" s="1534">
        <f t="shared" si="47"/>
        <v>0</v>
      </c>
      <c r="O88" s="1534">
        <f t="shared" si="47"/>
        <v>0</v>
      </c>
      <c r="P88" s="1534">
        <f t="shared" si="47"/>
        <v>0</v>
      </c>
      <c r="Q88" s="1534">
        <f t="shared" si="47"/>
        <v>0</v>
      </c>
      <c r="R88" s="1534">
        <f t="shared" si="47"/>
        <v>0</v>
      </c>
      <c r="S88" s="1534">
        <f t="shared" si="47"/>
        <v>0</v>
      </c>
      <c r="T88" s="1534">
        <f t="shared" si="47"/>
        <v>0</v>
      </c>
      <c r="U88" s="1534">
        <f t="shared" si="47"/>
        <v>0</v>
      </c>
      <c r="V88" s="1475"/>
      <c r="W88" s="1475"/>
      <c r="X88" s="1475"/>
    </row>
    <row r="89" spans="1:24" ht="15.75" customHeight="1">
      <c r="A89" s="1475"/>
      <c r="B89" s="1485"/>
      <c r="C89" s="1485"/>
      <c r="D89" s="1485"/>
      <c r="E89" s="1485"/>
      <c r="F89" s="1485"/>
      <c r="G89" s="1475"/>
      <c r="H89" s="1487"/>
      <c r="I89" s="1487"/>
      <c r="J89" s="1487"/>
      <c r="K89" s="1487"/>
      <c r="L89" s="1487"/>
      <c r="M89" s="1487"/>
      <c r="N89" s="1487"/>
      <c r="O89" s="1487"/>
      <c r="P89" s="1487"/>
      <c r="Q89" s="1487"/>
      <c r="R89" s="1487"/>
      <c r="S89" s="1478"/>
      <c r="T89" s="1478"/>
      <c r="U89" s="1478"/>
      <c r="V89" s="1475"/>
      <c r="W89" s="1475"/>
      <c r="X89" s="1475"/>
    </row>
    <row r="90" spans="1:24" ht="15.75" customHeight="1">
      <c r="A90" s="1475"/>
      <c r="B90" s="1485"/>
      <c r="C90" s="1485"/>
      <c r="D90" s="1485"/>
      <c r="E90" s="1485"/>
      <c r="F90" s="1485"/>
      <c r="G90" s="1475"/>
      <c r="H90" s="1487"/>
      <c r="I90" s="1487"/>
      <c r="J90" s="1487"/>
      <c r="K90" s="1487"/>
      <c r="L90" s="1487"/>
      <c r="M90" s="1487"/>
      <c r="N90" s="1487"/>
      <c r="O90" s="1487"/>
      <c r="P90" s="1487"/>
      <c r="Q90" s="1487"/>
      <c r="R90" s="1487"/>
      <c r="S90" s="1478"/>
      <c r="T90" s="1478"/>
      <c r="U90" s="1478"/>
      <c r="V90" s="1475"/>
      <c r="W90" s="1475"/>
      <c r="X90" s="1475"/>
    </row>
    <row r="91" spans="1:24" ht="15.75" customHeight="1">
      <c r="A91" s="1475"/>
      <c r="B91" s="1485"/>
      <c r="C91" s="1485"/>
      <c r="D91" s="1485"/>
      <c r="E91" s="1485"/>
      <c r="F91" s="1485"/>
      <c r="G91" s="1475"/>
      <c r="H91" s="1487" t="s">
        <v>1809</v>
      </c>
      <c r="I91" s="1487"/>
      <c r="J91" s="1487"/>
      <c r="K91" s="1487"/>
      <c r="L91" s="1487"/>
      <c r="M91" s="1487"/>
      <c r="N91" s="1487"/>
      <c r="O91" s="1487"/>
      <c r="P91" s="1487"/>
      <c r="Q91" s="1487"/>
      <c r="R91" s="1487"/>
      <c r="S91" s="1478"/>
      <c r="T91" s="1478"/>
      <c r="U91" s="1478"/>
      <c r="V91" s="1475"/>
      <c r="W91" s="1475"/>
      <c r="X91" s="1475"/>
    </row>
    <row r="92" spans="1:24" ht="15.75" customHeight="1">
      <c r="A92" s="1475"/>
      <c r="B92" s="1475"/>
      <c r="C92" s="1475"/>
      <c r="D92" s="1475"/>
      <c r="E92" s="1475"/>
      <c r="F92" s="1475"/>
      <c r="G92" s="1475"/>
      <c r="H92" s="1478"/>
      <c r="I92" s="1478"/>
      <c r="J92" s="1478"/>
      <c r="K92" s="1478"/>
      <c r="L92" s="1478"/>
      <c r="M92" s="1478"/>
      <c r="N92" s="1478"/>
      <c r="O92" s="1478"/>
      <c r="P92" s="1478"/>
      <c r="Q92" s="1478"/>
      <c r="R92" s="1478"/>
      <c r="S92" s="1478"/>
      <c r="T92" s="1478"/>
      <c r="U92" s="1478"/>
      <c r="V92" s="1475"/>
      <c r="W92" s="1475"/>
      <c r="X92" s="1475"/>
    </row>
    <row r="93" spans="1:24" ht="15.75" customHeight="1">
      <c r="A93" s="1475"/>
      <c r="B93" s="1475"/>
      <c r="C93" s="1475"/>
      <c r="D93" s="1475"/>
      <c r="E93" s="1475"/>
      <c r="F93" s="1475"/>
      <c r="G93" s="1475"/>
      <c r="H93" s="1478"/>
      <c r="I93" s="1478"/>
      <c r="J93" s="1478"/>
      <c r="K93" s="1478"/>
      <c r="L93" s="1478"/>
      <c r="M93" s="1478"/>
      <c r="N93" s="1478"/>
      <c r="O93" s="1478"/>
      <c r="P93" s="1478"/>
      <c r="Q93" s="1478"/>
      <c r="R93" s="1478"/>
      <c r="S93" s="1478"/>
      <c r="T93" s="1478"/>
      <c r="U93" s="1478"/>
      <c r="V93" s="1475"/>
      <c r="W93" s="1475"/>
      <c r="X93" s="1475"/>
    </row>
    <row r="94" spans="1:24" ht="20" customHeight="1">
      <c r="A94" s="1475"/>
      <c r="B94" s="1535" t="s">
        <v>1810</v>
      </c>
      <c r="C94" s="1536"/>
      <c r="D94" s="1536"/>
      <c r="E94" s="1536"/>
      <c r="F94" s="1536"/>
      <c r="G94" s="1536"/>
      <c r="H94" s="1547">
        <f t="shared" ref="H94:U94" si="48">H12</f>
        <v>45689</v>
      </c>
      <c r="I94" s="1547">
        <f t="shared" si="48"/>
        <v>45839</v>
      </c>
      <c r="J94" s="1547">
        <f t="shared" si="48"/>
        <v>46204</v>
      </c>
      <c r="K94" s="1547">
        <f t="shared" si="48"/>
        <v>46569</v>
      </c>
      <c r="L94" s="1547">
        <f t="shared" si="48"/>
        <v>46935</v>
      </c>
      <c r="M94" s="1547">
        <f t="shared" si="48"/>
        <v>47300</v>
      </c>
      <c r="N94" s="1547">
        <f t="shared" si="48"/>
        <v>47665</v>
      </c>
      <c r="O94" s="1547">
        <f t="shared" si="48"/>
        <v>48030</v>
      </c>
      <c r="P94" s="1547">
        <f t="shared" si="48"/>
        <v>48396</v>
      </c>
      <c r="Q94" s="1547">
        <f t="shared" si="48"/>
        <v>48761</v>
      </c>
      <c r="R94" s="1547">
        <f t="shared" si="48"/>
        <v>49126</v>
      </c>
      <c r="S94" s="1547">
        <f t="shared" si="48"/>
        <v>49491</v>
      </c>
      <c r="T94" s="1547">
        <f t="shared" si="48"/>
        <v>49857</v>
      </c>
      <c r="U94" s="1547">
        <f t="shared" si="48"/>
        <v>50222</v>
      </c>
      <c r="V94" s="1475"/>
      <c r="W94" s="1475"/>
      <c r="X94" s="1475"/>
    </row>
    <row r="95" spans="1:24" ht="15.75" customHeight="1">
      <c r="A95" s="1475"/>
      <c r="B95" s="1538"/>
      <c r="C95" s="1538"/>
      <c r="D95" s="1538"/>
      <c r="E95" s="1538"/>
      <c r="F95" s="1538"/>
      <c r="G95" s="1538"/>
      <c r="H95" s="1542">
        <f t="shared" ref="H95:U95" si="49">H13</f>
        <v>45838</v>
      </c>
      <c r="I95" s="1542">
        <f t="shared" si="49"/>
        <v>46203</v>
      </c>
      <c r="J95" s="1542">
        <f t="shared" si="49"/>
        <v>46568</v>
      </c>
      <c r="K95" s="1542">
        <f t="shared" si="49"/>
        <v>46934</v>
      </c>
      <c r="L95" s="1542">
        <f t="shared" si="49"/>
        <v>47299</v>
      </c>
      <c r="M95" s="1542">
        <f t="shared" si="49"/>
        <v>47664</v>
      </c>
      <c r="N95" s="1542">
        <f t="shared" si="49"/>
        <v>48029</v>
      </c>
      <c r="O95" s="1542">
        <f t="shared" si="49"/>
        <v>48395</v>
      </c>
      <c r="P95" s="1542">
        <f t="shared" si="49"/>
        <v>48760</v>
      </c>
      <c r="Q95" s="1542">
        <f t="shared" si="49"/>
        <v>49125</v>
      </c>
      <c r="R95" s="1542">
        <f t="shared" si="49"/>
        <v>49490</v>
      </c>
      <c r="S95" s="1542">
        <f t="shared" si="49"/>
        <v>49856</v>
      </c>
      <c r="T95" s="1542">
        <f t="shared" si="49"/>
        <v>50221</v>
      </c>
      <c r="U95" s="1542">
        <f t="shared" si="49"/>
        <v>50586</v>
      </c>
      <c r="V95" s="1475"/>
      <c r="W95" s="1475"/>
      <c r="X95" s="1475"/>
    </row>
    <row r="96" spans="1:24" ht="15.75" customHeight="1">
      <c r="A96" s="1475"/>
      <c r="B96" s="1538"/>
      <c r="C96" s="1539"/>
      <c r="D96" s="1539"/>
      <c r="E96" s="1539"/>
      <c r="F96" s="1539"/>
      <c r="G96" s="1538"/>
      <c r="H96" s="1549" t="str">
        <f t="shared" ref="H96:U96" si="50">H14</f>
        <v>FY25</v>
      </c>
      <c r="I96" s="1549" t="str">
        <f t="shared" si="50"/>
        <v>FY26</v>
      </c>
      <c r="J96" s="1549" t="str">
        <f t="shared" si="50"/>
        <v>FY27</v>
      </c>
      <c r="K96" s="1549" t="str">
        <f t="shared" si="50"/>
        <v>FY28</v>
      </c>
      <c r="L96" s="1549" t="str">
        <f t="shared" si="50"/>
        <v>FY29</v>
      </c>
      <c r="M96" s="1549" t="str">
        <f t="shared" si="50"/>
        <v>FY30</v>
      </c>
      <c r="N96" s="1549" t="str">
        <f t="shared" si="50"/>
        <v>FY31</v>
      </c>
      <c r="O96" s="1549" t="str">
        <f t="shared" si="50"/>
        <v>FY32</v>
      </c>
      <c r="P96" s="1549" t="str">
        <f t="shared" si="50"/>
        <v>FY33</v>
      </c>
      <c r="Q96" s="1549" t="str">
        <f t="shared" si="50"/>
        <v>FY34</v>
      </c>
      <c r="R96" s="1549" t="str">
        <f t="shared" si="50"/>
        <v>FY35</v>
      </c>
      <c r="S96" s="1549" t="str">
        <f t="shared" si="50"/>
        <v>FY36</v>
      </c>
      <c r="T96" s="1549" t="str">
        <f t="shared" si="50"/>
        <v>FY37</v>
      </c>
      <c r="U96" s="1549" t="str">
        <f t="shared" si="50"/>
        <v>FY38</v>
      </c>
      <c r="V96" s="1475"/>
      <c r="W96" s="1475"/>
      <c r="X96" s="1475"/>
    </row>
    <row r="97" spans="1:24" ht="15.75" customHeight="1">
      <c r="A97" s="1475"/>
      <c r="B97" s="1538"/>
      <c r="C97" s="1539"/>
      <c r="D97" s="1539"/>
      <c r="E97" s="1539"/>
      <c r="F97" s="1539"/>
      <c r="G97" s="1538"/>
      <c r="H97" s="1507"/>
      <c r="I97" s="1507"/>
      <c r="J97" s="1507"/>
      <c r="K97" s="1507"/>
      <c r="L97" s="1507"/>
      <c r="M97" s="1507"/>
      <c r="N97" s="1507"/>
      <c r="O97" s="1507"/>
      <c r="P97" s="1507"/>
      <c r="Q97" s="1507"/>
      <c r="R97" s="1507"/>
      <c r="S97" s="1507"/>
      <c r="T97" s="1507"/>
      <c r="U97" s="1507"/>
      <c r="V97" s="1475"/>
      <c r="W97" s="1475"/>
      <c r="X97" s="1475"/>
    </row>
    <row r="98" spans="1:24" ht="15.75" customHeight="1">
      <c r="A98" s="1475"/>
      <c r="B98" s="1508" t="s">
        <v>1811</v>
      </c>
      <c r="C98" s="1539"/>
      <c r="D98" s="1539"/>
      <c r="E98" s="1539"/>
      <c r="F98" s="1539"/>
      <c r="G98" s="1538"/>
      <c r="H98" s="1550">
        <f t="shared" ref="H98:U98" si="51">H$73</f>
        <v>0</v>
      </c>
      <c r="I98" s="1550">
        <f t="shared" si="51"/>
        <v>0</v>
      </c>
      <c r="J98" s="1550">
        <f t="shared" si="51"/>
        <v>0</v>
      </c>
      <c r="K98" s="1550">
        <f t="shared" si="51"/>
        <v>0</v>
      </c>
      <c r="L98" s="1550">
        <f t="shared" si="51"/>
        <v>0</v>
      </c>
      <c r="M98" s="1550">
        <f t="shared" si="51"/>
        <v>0</v>
      </c>
      <c r="N98" s="1550">
        <f t="shared" si="51"/>
        <v>0</v>
      </c>
      <c r="O98" s="1550">
        <f t="shared" si="51"/>
        <v>0</v>
      </c>
      <c r="P98" s="1550">
        <f t="shared" si="51"/>
        <v>0</v>
      </c>
      <c r="Q98" s="1550">
        <f t="shared" si="51"/>
        <v>0</v>
      </c>
      <c r="R98" s="1550">
        <f t="shared" si="51"/>
        <v>0</v>
      </c>
      <c r="S98" s="1550">
        <f t="shared" si="51"/>
        <v>0</v>
      </c>
      <c r="T98" s="1550">
        <f t="shared" si="51"/>
        <v>0</v>
      </c>
      <c r="U98" s="1550">
        <f t="shared" si="51"/>
        <v>0</v>
      </c>
      <c r="V98" s="1475"/>
      <c r="W98" s="1475"/>
      <c r="X98" s="1475"/>
    </row>
    <row r="99" spans="1:24" ht="15.75" customHeight="1">
      <c r="A99" s="1475"/>
      <c r="B99" s="1508" t="s">
        <v>1798</v>
      </c>
      <c r="C99" s="1539"/>
      <c r="D99" s="1539"/>
      <c r="E99" s="1539"/>
      <c r="F99" s="1539"/>
      <c r="G99" s="1538"/>
      <c r="H99" s="1550">
        <f t="shared" ref="H99:U99" si="52">IF(AND(COLUMN(H96)&gt;=COLUMN($H$96)+MATCH($D$8,$H$96:$S$96,0)-1, COLUMN(H96)&lt;COLUMN($H$96)+MATCH($D$8,$H$96:$S$96,0)-1+$D$6), 1, 0)</f>
        <v>0</v>
      </c>
      <c r="I99" s="1550">
        <f t="shared" si="52"/>
        <v>0</v>
      </c>
      <c r="J99" s="1550">
        <f t="shared" si="52"/>
        <v>1</v>
      </c>
      <c r="K99" s="1550">
        <f t="shared" si="52"/>
        <v>1</v>
      </c>
      <c r="L99" s="1550">
        <f t="shared" si="52"/>
        <v>1</v>
      </c>
      <c r="M99" s="1550">
        <f t="shared" si="52"/>
        <v>1</v>
      </c>
      <c r="N99" s="1550">
        <f t="shared" si="52"/>
        <v>1</v>
      </c>
      <c r="O99" s="1550">
        <f t="shared" si="52"/>
        <v>1</v>
      </c>
      <c r="P99" s="1550">
        <f t="shared" si="52"/>
        <v>1</v>
      </c>
      <c r="Q99" s="1550">
        <f t="shared" si="52"/>
        <v>1</v>
      </c>
      <c r="R99" s="1550">
        <f t="shared" si="52"/>
        <v>1</v>
      </c>
      <c r="S99" s="1550">
        <f t="shared" si="52"/>
        <v>1</v>
      </c>
      <c r="T99" s="1550">
        <f t="shared" si="52"/>
        <v>0</v>
      </c>
      <c r="U99" s="1550">
        <f t="shared" si="52"/>
        <v>0</v>
      </c>
      <c r="V99" s="1475"/>
      <c r="W99" s="1475"/>
      <c r="X99" s="1475"/>
    </row>
    <row r="100" spans="1:24" ht="15.75" customHeight="1">
      <c r="A100" s="1475"/>
      <c r="B100" s="1508" t="s">
        <v>1799</v>
      </c>
      <c r="C100" s="1539"/>
      <c r="D100" s="1539"/>
      <c r="E100" s="1539"/>
      <c r="F100" s="1539"/>
      <c r="G100" s="1538"/>
      <c r="H100" s="1550">
        <f t="shared" ref="H100:U100" si="53">IF(AND(H99=1, H109=0), 1, 0)</f>
        <v>0</v>
      </c>
      <c r="I100" s="1550">
        <f t="shared" si="53"/>
        <v>0</v>
      </c>
      <c r="J100" s="1550">
        <f t="shared" si="53"/>
        <v>1</v>
      </c>
      <c r="K100" s="1550">
        <f t="shared" si="53"/>
        <v>1</v>
      </c>
      <c r="L100" s="1550">
        <f t="shared" si="53"/>
        <v>1</v>
      </c>
      <c r="M100" s="1550">
        <f t="shared" si="53"/>
        <v>1</v>
      </c>
      <c r="N100" s="1550">
        <f t="shared" si="53"/>
        <v>1</v>
      </c>
      <c r="O100" s="1550">
        <f t="shared" si="53"/>
        <v>1</v>
      </c>
      <c r="P100" s="1550">
        <f t="shared" si="53"/>
        <v>1</v>
      </c>
      <c r="Q100" s="1550">
        <f t="shared" si="53"/>
        <v>1</v>
      </c>
      <c r="R100" s="1550">
        <f t="shared" si="53"/>
        <v>1</v>
      </c>
      <c r="S100" s="1550">
        <f t="shared" si="53"/>
        <v>1</v>
      </c>
      <c r="T100" s="1550">
        <f t="shared" si="53"/>
        <v>0</v>
      </c>
      <c r="U100" s="1550">
        <f t="shared" si="53"/>
        <v>0</v>
      </c>
      <c r="V100" s="1475"/>
      <c r="W100" s="1475"/>
      <c r="X100" s="1475"/>
    </row>
    <row r="101" spans="1:24" ht="15.75" customHeight="1">
      <c r="A101" s="1475"/>
      <c r="B101" s="1508"/>
      <c r="C101" s="1539"/>
      <c r="D101" s="1539"/>
      <c r="E101" s="1539"/>
      <c r="F101" s="1539"/>
      <c r="G101" s="1538"/>
      <c r="H101" s="1550"/>
      <c r="I101" s="1550"/>
      <c r="J101" s="1550"/>
      <c r="K101" s="1550"/>
      <c r="L101" s="1550"/>
      <c r="M101" s="1550"/>
      <c r="N101" s="1550"/>
      <c r="O101" s="1550"/>
      <c r="P101" s="1550"/>
      <c r="Q101" s="1550"/>
      <c r="R101" s="1550"/>
      <c r="S101" s="1550"/>
      <c r="T101" s="1550"/>
      <c r="U101" s="1550"/>
      <c r="V101" s="1475"/>
      <c r="W101" s="1475"/>
      <c r="X101" s="1475"/>
    </row>
    <row r="102" spans="1:24" ht="15.75" customHeight="1">
      <c r="A102" s="1475"/>
      <c r="B102" s="1508" t="s">
        <v>1812</v>
      </c>
      <c r="C102" s="1539"/>
      <c r="D102" s="1539"/>
      <c r="E102" s="1539"/>
      <c r="F102" s="1539"/>
      <c r="G102" s="1538"/>
      <c r="H102" s="1550">
        <f t="shared" ref="H102:U102" si="54">H106</f>
        <v>0</v>
      </c>
      <c r="I102" s="1550">
        <f t="shared" si="54"/>
        <v>0</v>
      </c>
      <c r="J102" s="1550">
        <f t="shared" si="54"/>
        <v>0</v>
      </c>
      <c r="K102" s="1550">
        <f t="shared" si="54"/>
        <v>0</v>
      </c>
      <c r="L102" s="1550">
        <f t="shared" si="54"/>
        <v>0</v>
      </c>
      <c r="M102" s="1550">
        <f t="shared" si="54"/>
        <v>0</v>
      </c>
      <c r="N102" s="1550">
        <f t="shared" si="54"/>
        <v>0</v>
      </c>
      <c r="O102" s="1550">
        <f t="shared" si="54"/>
        <v>0</v>
      </c>
      <c r="P102" s="1550">
        <f t="shared" si="54"/>
        <v>0</v>
      </c>
      <c r="Q102" s="1550">
        <f t="shared" si="54"/>
        <v>0</v>
      </c>
      <c r="R102" s="1550">
        <f t="shared" si="54"/>
        <v>0</v>
      </c>
      <c r="S102" s="1550">
        <f t="shared" si="54"/>
        <v>0</v>
      </c>
      <c r="T102" s="1550">
        <f t="shared" si="54"/>
        <v>0</v>
      </c>
      <c r="U102" s="1550">
        <f t="shared" si="54"/>
        <v>0</v>
      </c>
      <c r="V102" s="1475"/>
      <c r="W102" s="1475"/>
      <c r="X102" s="1475"/>
    </row>
    <row r="103" spans="1:24" ht="15.75" customHeight="1">
      <c r="A103" s="1475"/>
      <c r="B103" s="1508" t="s">
        <v>1813</v>
      </c>
      <c r="C103" s="1539"/>
      <c r="D103" s="1539"/>
      <c r="E103" s="1539"/>
      <c r="F103" s="1539"/>
      <c r="G103" s="1538"/>
      <c r="H103" s="1550"/>
      <c r="I103" s="1550"/>
      <c r="J103" s="1550"/>
      <c r="K103" s="1550"/>
      <c r="L103" s="1550"/>
      <c r="M103" s="1550"/>
      <c r="N103" s="1550"/>
      <c r="O103" s="1550"/>
      <c r="P103" s="1550"/>
      <c r="Q103" s="1550"/>
      <c r="R103" s="1550"/>
      <c r="S103" s="1550"/>
      <c r="T103" s="1550"/>
      <c r="U103" s="1550"/>
      <c r="V103" s="1475"/>
      <c r="W103" s="1475"/>
      <c r="X103" s="1475"/>
    </row>
    <row r="104" spans="1:24" ht="15.75" customHeight="1">
      <c r="A104" s="1475"/>
      <c r="B104" s="1508" t="s">
        <v>1814</v>
      </c>
      <c r="C104" s="1539"/>
      <c r="D104" s="1539"/>
      <c r="E104" s="1539"/>
      <c r="F104" s="1539"/>
      <c r="G104" s="1538"/>
      <c r="H104" s="1550">
        <f t="shared" ref="H104:I104" si="55">IF(H$66=0,0,IF(COLUMNS($H104:H104)=MATCH($D$8,$H$63:$S$63,0),0,INDEX($H$76:$S$76,COLUMNS($H104:H104)-1)))</f>
        <v>0</v>
      </c>
      <c r="I104" s="1550">
        <f t="shared" si="55"/>
        <v>0</v>
      </c>
      <c r="J104" s="1550">
        <f>IF(J99=0,0,0)</f>
        <v>0</v>
      </c>
      <c r="K104" s="1550">
        <f t="shared" ref="K104:O104" si="56">IF(K99=0,0,J109)</f>
        <v>0</v>
      </c>
      <c r="L104" s="1550">
        <f t="shared" si="56"/>
        <v>0</v>
      </c>
      <c r="M104" s="1550">
        <f t="shared" si="56"/>
        <v>0</v>
      </c>
      <c r="N104" s="1550">
        <f t="shared" si="56"/>
        <v>0</v>
      </c>
      <c r="O104" s="1550">
        <f t="shared" si="56"/>
        <v>0</v>
      </c>
      <c r="P104" s="1550">
        <f t="shared" ref="P104:U104" si="57">IF(P$66=0,0,IF(COLUMNS($H104:P104)=MATCH($D$8,$H$63:$S$63,0),0,INDEX($H$76:$S$76,COLUMNS($H104:P104)-1)))</f>
        <v>0</v>
      </c>
      <c r="Q104" s="1550">
        <f t="shared" si="57"/>
        <v>0</v>
      </c>
      <c r="R104" s="1550">
        <f t="shared" si="57"/>
        <v>0</v>
      </c>
      <c r="S104" s="1550">
        <f t="shared" si="57"/>
        <v>0</v>
      </c>
      <c r="T104" s="1550">
        <f t="shared" si="57"/>
        <v>0</v>
      </c>
      <c r="U104" s="1550">
        <f t="shared" si="57"/>
        <v>0</v>
      </c>
      <c r="V104" s="1475"/>
      <c r="W104" s="1475"/>
      <c r="X104" s="1475"/>
    </row>
    <row r="105" spans="1:24" ht="15.75" customHeight="1">
      <c r="A105" s="1475"/>
      <c r="B105" s="1508" t="s">
        <v>1801</v>
      </c>
      <c r="C105" s="1508" t="s">
        <v>850</v>
      </c>
      <c r="D105" s="1539"/>
      <c r="E105" s="1539"/>
      <c r="F105" s="1539"/>
      <c r="G105" s="1541"/>
      <c r="H105" s="1550"/>
      <c r="I105" s="1550"/>
      <c r="J105" s="1550"/>
      <c r="K105" s="1550"/>
      <c r="L105" s="1550"/>
      <c r="M105" s="1550"/>
      <c r="N105" s="1550"/>
      <c r="O105" s="1550"/>
      <c r="P105" s="1550"/>
      <c r="Q105" s="1550"/>
      <c r="R105" s="1550"/>
      <c r="S105" s="1550"/>
      <c r="T105" s="1550"/>
      <c r="U105" s="1550"/>
      <c r="V105" s="1475"/>
      <c r="W105" s="1475"/>
      <c r="X105" s="1475"/>
    </row>
    <row r="106" spans="1:24" ht="15.75" customHeight="1">
      <c r="A106" s="1475"/>
      <c r="B106" s="1508" t="s">
        <v>1802</v>
      </c>
      <c r="C106" s="1539"/>
      <c r="D106" s="1539"/>
      <c r="E106" s="1539"/>
      <c r="F106" s="1539"/>
      <c r="G106" s="1538"/>
      <c r="H106" s="1550">
        <f t="shared" ref="H106:U106" si="58">IF(H$66=0,0,IF(COLUMNS($H106:H106)=MATCH($D$8,$H$63:$S$63,0),$D$5,0))</f>
        <v>0</v>
      </c>
      <c r="I106" s="1550">
        <f t="shared" si="58"/>
        <v>0</v>
      </c>
      <c r="J106" s="1550">
        <f t="shared" si="58"/>
        <v>0</v>
      </c>
      <c r="K106" s="1550">
        <f t="shared" si="58"/>
        <v>0</v>
      </c>
      <c r="L106" s="1550">
        <f t="shared" si="58"/>
        <v>0</v>
      </c>
      <c r="M106" s="1550">
        <f t="shared" si="58"/>
        <v>0</v>
      </c>
      <c r="N106" s="1550">
        <f t="shared" si="58"/>
        <v>0</v>
      </c>
      <c r="O106" s="1550">
        <f t="shared" si="58"/>
        <v>0</v>
      </c>
      <c r="P106" s="1550">
        <f t="shared" si="58"/>
        <v>0</v>
      </c>
      <c r="Q106" s="1550">
        <f t="shared" si="58"/>
        <v>0</v>
      </c>
      <c r="R106" s="1550">
        <f t="shared" si="58"/>
        <v>0</v>
      </c>
      <c r="S106" s="1550">
        <f t="shared" si="58"/>
        <v>0</v>
      </c>
      <c r="T106" s="1550">
        <f t="shared" si="58"/>
        <v>0</v>
      </c>
      <c r="U106" s="1550">
        <f t="shared" si="58"/>
        <v>0</v>
      </c>
      <c r="V106" s="1475"/>
      <c r="W106" s="1475"/>
      <c r="X106" s="1475"/>
    </row>
    <row r="107" spans="1:24" ht="15.75" customHeight="1">
      <c r="A107" s="1475"/>
      <c r="B107" s="1508" t="s">
        <v>1803</v>
      </c>
      <c r="C107" s="1539"/>
      <c r="D107" s="1539"/>
      <c r="E107" s="1539"/>
      <c r="F107" s="1539"/>
      <c r="G107" s="1538"/>
      <c r="H107" s="1550">
        <f>IF(H$66=0,0,IF(OR($D$9="Bullet",$D$9="Interest-only"),IF($D$9="Bullet",IF(H$67=1,H$71+H$73,0),0),IF(OR($D$9="Amortising",$D$9="Amortizing"),IF(H$66=1,IF((COLUMNS($H107:H107)-MATCH($D$8,$H$63:$S$63,0)+1)&lt;=ROUNDUP(RM_IO_Months/12,0),0,IF(H$67=1,H$71+H$73,MIN(H$71+H$73,IF(($D$7-ROUNDUP(RM_IO_Months/12,0))&lt;=0,H$71+H$73,$D$5/($D$7-ROUNDUP(RM_IO_Months/12,0)))))),0),0)))</f>
        <v>0</v>
      </c>
      <c r="I107" s="1550">
        <f>IF(I$66=0,0,IF(OR($D$9="Bullet",$D$9="Interest-only"),IF($D$9="Bullet",IF(I$67=1,I$71+I$73,0),0),IF(OR($D$9="Amortising",$D$9="Amortizing"),IF(I$66=1,IF((COLUMNS($H107:I107)-MATCH($D$8,$H$63:$S$63,0)+1)&lt;=ROUNDUP(RM_IO_Months/12,0),0,IF(I$67=1,I$71+I$73,MIN(I$71+I$73,IF(($D$7-ROUNDUP(RM_IO_Months/12,0))&lt;=0,I$71+I$73,$D$5/($D$7-ROUNDUP(RM_IO_Months/12,0)))))),0),0)))</f>
        <v>0</v>
      </c>
      <c r="J107" s="1550">
        <f t="shared" ref="J107:O107" si="59">IF(J99=0,0,$D$5/$D$6)</f>
        <v>0</v>
      </c>
      <c r="K107" s="1550">
        <f t="shared" si="59"/>
        <v>0</v>
      </c>
      <c r="L107" s="1550">
        <f t="shared" si="59"/>
        <v>0</v>
      </c>
      <c r="M107" s="1550">
        <f t="shared" si="59"/>
        <v>0</v>
      </c>
      <c r="N107" s="1550">
        <f t="shared" si="59"/>
        <v>0</v>
      </c>
      <c r="O107" s="1550">
        <f t="shared" si="59"/>
        <v>0</v>
      </c>
      <c r="P107" s="1550">
        <f>IF(P$66=0,0,IF(OR($D$9="Bullet",$D$9="Interest-only"),IF($D$9="Bullet",IF(P$67=1,P$71+P$73,0),0),IF(OR($D$9="Amortising",$D$9="Amortizing"),IF(P$66=1,IF((COLUMNS($H107:P107)-MATCH($D$8,$H$63:$S$63,0)+1)&lt;=ROUNDUP(RM_IO_Months/12,0),0,IF(P$67=1,P$71+P$73,MIN(P$71+P$73,IF(($D$7-ROUNDUP(RM_IO_Months/12,0))&lt;=0,P$71+P$73,$D$5/($D$7-ROUNDUP(RM_IO_Months/12,0)))))),0),0)))</f>
        <v>0</v>
      </c>
      <c r="Q107" s="1550">
        <f>IF(Q$66=0,0,IF(OR($D$9="Bullet",$D$9="Interest-only"),IF($D$9="Bullet",IF(Q$67=1,Q$71+Q$73,0),0),IF(OR($D$9="Amortising",$D$9="Amortizing"),IF(Q$66=1,IF((COLUMNS($H107:Q107)-MATCH($D$8,$H$63:$S$63,0)+1)&lt;=ROUNDUP(RM_IO_Months/12,0),0,IF(Q$67=1,Q$71+Q$73,MIN(Q$71+Q$73,IF(($D$7-ROUNDUP(RM_IO_Months/12,0))&lt;=0,Q$71+Q$73,$D$5/($D$7-ROUNDUP(RM_IO_Months/12,0)))))),0),0)))</f>
        <v>0</v>
      </c>
      <c r="R107" s="1550">
        <f>IF(R$66=0,0,IF(OR($D$9="Bullet",$D$9="Interest-only"),IF($D$9="Bullet",IF(R$67=1,R$71+R$73,0),0),IF(OR($D$9="Amortising",$D$9="Amortizing"),IF(R$66=1,IF((COLUMNS($H107:R107)-MATCH($D$8,$H$63:$S$63,0)+1)&lt;=ROUNDUP(RM_IO_Months/12,0),0,IF(R$67=1,R$71+R$73,MIN(R$71+R$73,IF(($D$7-ROUNDUP(RM_IO_Months/12,0))&lt;=0,R$71+R$73,$D$5/($D$7-ROUNDUP(RM_IO_Months/12,0)))))),0),0)))</f>
        <v>0</v>
      </c>
      <c r="S107" s="1550">
        <f>IF(S$66=0,0,IF(OR($D$9="Bullet",$D$9="Interest-only"),IF($D$9="Bullet",IF(S$67=1,S$71+S$73,0),0),IF(OR($D$9="Amortising",$D$9="Amortizing"),IF(S$66=1,IF((COLUMNS($H107:S107)-MATCH($D$8,$H$63:$S$63,0)+1)&lt;=ROUNDUP(RM_IO_Months/12,0),0,IF(S$67=1,S$71+S$73,MIN(S$71+S$73,IF(($D$7-ROUNDUP(RM_IO_Months/12,0))&lt;=0,S$71+S$73,$D$5/($D$7-ROUNDUP(RM_IO_Months/12,0)))))),0),0)))</f>
        <v>0</v>
      </c>
      <c r="T107" s="1550">
        <f>IF(T$66=0,0,IF(OR($D$9="Bullet",$D$9="Interest-only"),IF($D$9="Bullet",IF(T$67=1,T$71+T$73,0),0),IF(OR($D$9="Amortising",$D$9="Amortizing"),IF(T$66=1,IF((COLUMNS($H107:T107)-MATCH($D$8,$H$63:$S$63,0)+1)&lt;=ROUNDUP(RM_IO_Months/12,0),0,IF(T$67=1,T$71+T$73,MIN(T$71+T$73,IF(($D$7-ROUNDUP(RM_IO_Months/12,0))&lt;=0,T$71+T$73,$D$5/($D$7-ROUNDUP(RM_IO_Months/12,0)))))),0),0)))</f>
        <v>0</v>
      </c>
      <c r="U107" s="1550">
        <f>IF(U$66=0,0,IF(OR($D$9="Bullet",$D$9="Interest-only"),IF($D$9="Bullet",IF(U$67=1,U$71+U$73,0),0),IF(OR($D$9="Amortising",$D$9="Amortizing"),IF(U$66=1,IF((COLUMNS($H107:U107)-MATCH($D$8,$H$63:$S$63,0)+1)&lt;=ROUNDUP(RM_IO_Months/12,0),0,IF(U$67=1,U$71+U$73,MIN(U$71+U$73,IF(($D$7-ROUNDUP(RM_IO_Months/12,0))&lt;=0,U$71+U$73,$D$5/($D$7-ROUNDUP(RM_IO_Months/12,0)))))),0),0)))</f>
        <v>0</v>
      </c>
      <c r="V107" s="1475"/>
      <c r="W107" s="1475"/>
      <c r="X107" s="1475"/>
    </row>
    <row r="108" spans="1:24" ht="15.75" customHeight="1">
      <c r="A108" s="1475"/>
      <c r="B108" s="1508" t="s">
        <v>1804</v>
      </c>
      <c r="C108" s="1539"/>
      <c r="D108" s="1538"/>
      <c r="E108" s="1538"/>
      <c r="F108" s="1538"/>
      <c r="G108" s="1538"/>
      <c r="H108" s="1550">
        <f t="shared" ref="H108:I108" si="60">IF(H$66=0,0,((H$71+H$76)/2)*$D$7)</f>
        <v>0</v>
      </c>
      <c r="I108" s="1550">
        <f t="shared" si="60"/>
        <v>0</v>
      </c>
      <c r="J108" s="1550">
        <f t="shared" ref="J108:N108" si="61">IF(J99=0,0,((J104+J109)/2)*$D$7)</f>
        <v>0</v>
      </c>
      <c r="K108" s="1550">
        <f t="shared" si="61"/>
        <v>0</v>
      </c>
      <c r="L108" s="1550">
        <f t="shared" si="61"/>
        <v>0</v>
      </c>
      <c r="M108" s="1550">
        <f t="shared" si="61"/>
        <v>0</v>
      </c>
      <c r="N108" s="1550">
        <f t="shared" si="61"/>
        <v>0</v>
      </c>
      <c r="O108" s="1550">
        <f t="shared" ref="O108:U108" si="62">IF(O$66=0,0,((O$71+O$76)/2)*$D$7)</f>
        <v>0</v>
      </c>
      <c r="P108" s="1550">
        <f t="shared" si="62"/>
        <v>0</v>
      </c>
      <c r="Q108" s="1550">
        <f t="shared" si="62"/>
        <v>0</v>
      </c>
      <c r="R108" s="1550">
        <f t="shared" si="62"/>
        <v>0</v>
      </c>
      <c r="S108" s="1550">
        <f t="shared" si="62"/>
        <v>0</v>
      </c>
      <c r="T108" s="1550">
        <f t="shared" si="62"/>
        <v>0</v>
      </c>
      <c r="U108" s="1550">
        <f t="shared" si="62"/>
        <v>0</v>
      </c>
      <c r="V108" s="1475"/>
      <c r="W108" s="1475"/>
      <c r="X108" s="1475"/>
    </row>
    <row r="109" spans="1:24" ht="15.75" customHeight="1">
      <c r="A109" s="1475"/>
      <c r="B109" s="1508" t="s">
        <v>1806</v>
      </c>
      <c r="C109" s="1539"/>
      <c r="D109" s="1538"/>
      <c r="E109" s="1538"/>
      <c r="F109" s="1538"/>
      <c r="G109" s="1538"/>
      <c r="H109" s="1550">
        <f t="shared" ref="H109:I109" si="63">IF(H$66=0,0,MAX(0,H$71+H$73-H$74))</f>
        <v>0</v>
      </c>
      <c r="I109" s="1550">
        <f t="shared" si="63"/>
        <v>0</v>
      </c>
      <c r="J109" s="1550">
        <f t="shared" ref="J109:N109" si="64">IF(J99=0,0,J104+J106-J107)</f>
        <v>0</v>
      </c>
      <c r="K109" s="1550">
        <f t="shared" si="64"/>
        <v>0</v>
      </c>
      <c r="L109" s="1550">
        <f t="shared" si="64"/>
        <v>0</v>
      </c>
      <c r="M109" s="1550">
        <f t="shared" si="64"/>
        <v>0</v>
      </c>
      <c r="N109" s="1550">
        <f t="shared" si="64"/>
        <v>0</v>
      </c>
      <c r="O109" s="1550">
        <f>IF(O99=0,0,MAX(0,ROUND(O104+O106-O107,2)))</f>
        <v>0</v>
      </c>
      <c r="P109" s="1550">
        <f t="shared" ref="P109:U109" si="65">IF(P$66=0,0,MAX(0,P$71+P$73-P$74))</f>
        <v>0</v>
      </c>
      <c r="Q109" s="1550">
        <f t="shared" si="65"/>
        <v>0</v>
      </c>
      <c r="R109" s="1550">
        <f t="shared" si="65"/>
        <v>0</v>
      </c>
      <c r="S109" s="1550">
        <f t="shared" si="65"/>
        <v>0</v>
      </c>
      <c r="T109" s="1550">
        <f t="shared" si="65"/>
        <v>0</v>
      </c>
      <c r="U109" s="1550">
        <f t="shared" si="65"/>
        <v>0</v>
      </c>
      <c r="V109" s="1475"/>
      <c r="W109" s="1475"/>
      <c r="X109" s="1475"/>
    </row>
    <row r="110" spans="1:24" ht="15.75" customHeight="1">
      <c r="A110" s="1475"/>
      <c r="B110" s="1508" t="s">
        <v>1815</v>
      </c>
      <c r="C110" s="1539"/>
      <c r="D110" s="1539"/>
      <c r="E110" s="1539"/>
      <c r="F110" s="1539"/>
      <c r="G110" s="1538"/>
      <c r="H110" s="1550">
        <f t="shared" ref="H110:U110" si="66">H84+H48</f>
        <v>0</v>
      </c>
      <c r="I110" s="1550">
        <f t="shared" si="66"/>
        <v>0</v>
      </c>
      <c r="J110" s="1550">
        <f t="shared" si="66"/>
        <v>13525915</v>
      </c>
      <c r="K110" s="1550">
        <f t="shared" si="66"/>
        <v>12675915</v>
      </c>
      <c r="L110" s="1550">
        <f t="shared" si="66"/>
        <v>11091425.625</v>
      </c>
      <c r="M110" s="1550">
        <f t="shared" si="66"/>
        <v>9506936.25</v>
      </c>
      <c r="N110" s="1550">
        <f t="shared" si="66"/>
        <v>7922446.875</v>
      </c>
      <c r="O110" s="1550">
        <f t="shared" si="66"/>
        <v>6337957.5</v>
      </c>
      <c r="P110" s="1550">
        <f t="shared" si="66"/>
        <v>4753468.125</v>
      </c>
      <c r="Q110" s="1550">
        <f t="shared" si="66"/>
        <v>3168978.75</v>
      </c>
      <c r="R110" s="1550">
        <f t="shared" si="66"/>
        <v>1584489.375</v>
      </c>
      <c r="S110" s="1550">
        <f t="shared" si="66"/>
        <v>0</v>
      </c>
      <c r="T110" s="1550">
        <f t="shared" si="66"/>
        <v>0</v>
      </c>
      <c r="U110" s="1550">
        <f t="shared" si="66"/>
        <v>0</v>
      </c>
      <c r="V110" s="1475"/>
      <c r="W110" s="1475"/>
      <c r="X110" s="1475"/>
    </row>
    <row r="111" spans="1:24" ht="15.75" customHeight="1">
      <c r="A111" s="1475"/>
      <c r="B111" s="1508" t="s">
        <v>388</v>
      </c>
      <c r="C111" s="1539"/>
      <c r="D111" s="1539"/>
      <c r="E111" s="1539"/>
      <c r="F111" s="1539"/>
      <c r="G111" s="1548">
        <f>H84+H49</f>
        <v>0</v>
      </c>
      <c r="H111" s="1550">
        <f t="shared" ref="H111:U111" si="67">H84+H49</f>
        <v>0</v>
      </c>
      <c r="I111" s="1550">
        <f t="shared" si="67"/>
        <v>0</v>
      </c>
      <c r="J111" s="1550">
        <f t="shared" si="67"/>
        <v>850000</v>
      </c>
      <c r="K111" s="1550">
        <f t="shared" si="67"/>
        <v>1584489.375</v>
      </c>
      <c r="L111" s="1550">
        <f t="shared" si="67"/>
        <v>1584489.375</v>
      </c>
      <c r="M111" s="1550">
        <f t="shared" si="67"/>
        <v>1584489.375</v>
      </c>
      <c r="N111" s="1550">
        <f t="shared" si="67"/>
        <v>1584489.375</v>
      </c>
      <c r="O111" s="1550">
        <f t="shared" si="67"/>
        <v>1584489.375</v>
      </c>
      <c r="P111" s="1550">
        <f t="shared" si="67"/>
        <v>1584489.375</v>
      </c>
      <c r="Q111" s="1550">
        <f t="shared" si="67"/>
        <v>1584489.375</v>
      </c>
      <c r="R111" s="1550">
        <f t="shared" si="67"/>
        <v>1584489.375</v>
      </c>
      <c r="S111" s="1550">
        <f t="shared" si="67"/>
        <v>0</v>
      </c>
      <c r="T111" s="1550">
        <f t="shared" si="67"/>
        <v>0</v>
      </c>
      <c r="U111" s="1550">
        <f t="shared" si="67"/>
        <v>0</v>
      </c>
      <c r="V111" s="1475"/>
      <c r="W111" s="1475"/>
      <c r="X111" s="1475"/>
    </row>
    <row r="112" spans="1:24" ht="15.75" customHeight="1">
      <c r="A112" s="1475"/>
      <c r="B112" s="1508" t="s">
        <v>389</v>
      </c>
      <c r="C112" s="1539"/>
      <c r="D112" s="1539"/>
      <c r="E112" s="1539"/>
      <c r="F112" s="1539"/>
      <c r="G112" s="1538"/>
      <c r="H112" s="1550">
        <f t="shared" ref="H112:U112" si="68">H85+H50</f>
        <v>0</v>
      </c>
      <c r="I112" s="1550">
        <f t="shared" si="68"/>
        <v>0</v>
      </c>
      <c r="J112" s="1550">
        <f t="shared" si="68"/>
        <v>12675915</v>
      </c>
      <c r="K112" s="1550">
        <f t="shared" si="68"/>
        <v>11091425.625</v>
      </c>
      <c r="L112" s="1550">
        <f t="shared" si="68"/>
        <v>9506936.25</v>
      </c>
      <c r="M112" s="1550">
        <f t="shared" si="68"/>
        <v>7922446.875</v>
      </c>
      <c r="N112" s="1550">
        <f t="shared" si="68"/>
        <v>6337957.5</v>
      </c>
      <c r="O112" s="1550">
        <f t="shared" si="68"/>
        <v>4753468.125</v>
      </c>
      <c r="P112" s="1550">
        <f t="shared" si="68"/>
        <v>3168978.75</v>
      </c>
      <c r="Q112" s="1550">
        <f t="shared" si="68"/>
        <v>1584489.375</v>
      </c>
      <c r="R112" s="1550">
        <f t="shared" si="68"/>
        <v>0</v>
      </c>
      <c r="S112" s="1550">
        <f t="shared" si="68"/>
        <v>0</v>
      </c>
      <c r="T112" s="1550">
        <f t="shared" si="68"/>
        <v>0</v>
      </c>
      <c r="U112" s="1550">
        <f t="shared" si="68"/>
        <v>0</v>
      </c>
      <c r="V112" s="1475"/>
      <c r="W112" s="1475"/>
      <c r="X112" s="1475"/>
    </row>
    <row r="113" spans="1:24" ht="15.75" customHeight="1">
      <c r="A113" s="1475"/>
      <c r="B113" s="1508"/>
      <c r="C113" s="1539"/>
      <c r="D113" s="1539"/>
      <c r="E113" s="1539"/>
      <c r="F113" s="1539"/>
      <c r="G113" s="1538"/>
      <c r="H113" s="1550">
        <f t="shared" ref="H113:U113" si="69">IF(H$66=0,0,IF(H$76=0,0,IF(H$67=1,0,MIN(H$76,IFERROR(INDEX($H$74:$S$74,COLUMNS($H113:H113)+1),0)))))</f>
        <v>0</v>
      </c>
      <c r="I113" s="1550">
        <f t="shared" si="69"/>
        <v>0</v>
      </c>
      <c r="J113" s="1550">
        <f t="shared" si="69"/>
        <v>0</v>
      </c>
      <c r="K113" s="1550">
        <f t="shared" si="69"/>
        <v>0</v>
      </c>
      <c r="L113" s="1550">
        <f t="shared" si="69"/>
        <v>0</v>
      </c>
      <c r="M113" s="1550">
        <f t="shared" si="69"/>
        <v>0</v>
      </c>
      <c r="N113" s="1550">
        <f t="shared" si="69"/>
        <v>0</v>
      </c>
      <c r="O113" s="1550">
        <f t="shared" si="69"/>
        <v>0</v>
      </c>
      <c r="P113" s="1550">
        <f t="shared" si="69"/>
        <v>0</v>
      </c>
      <c r="Q113" s="1550">
        <f t="shared" si="69"/>
        <v>0</v>
      </c>
      <c r="R113" s="1550">
        <f t="shared" si="69"/>
        <v>0</v>
      </c>
      <c r="S113" s="1550">
        <f t="shared" si="69"/>
        <v>0</v>
      </c>
      <c r="T113" s="1550">
        <f t="shared" si="69"/>
        <v>0</v>
      </c>
      <c r="U113" s="1550">
        <f t="shared" si="69"/>
        <v>0</v>
      </c>
      <c r="V113" s="1475"/>
      <c r="W113" s="1475"/>
      <c r="X113" s="1475"/>
    </row>
    <row r="114" spans="1:24" ht="15.75" customHeight="1">
      <c r="A114" s="1475"/>
      <c r="B114" s="1475"/>
      <c r="C114" s="1475"/>
      <c r="D114" s="1475"/>
      <c r="E114" s="1475"/>
      <c r="F114" s="1475"/>
      <c r="G114" s="1475"/>
      <c r="H114" s="1475"/>
      <c r="I114" s="1475"/>
      <c r="J114" s="1475"/>
      <c r="K114" s="1475"/>
      <c r="L114" s="1475"/>
      <c r="M114" s="1475"/>
      <c r="N114" s="1475"/>
      <c r="O114" s="1475"/>
      <c r="P114" s="1475"/>
      <c r="Q114" s="1475"/>
      <c r="R114" s="1475"/>
      <c r="S114" s="1475"/>
      <c r="T114" s="1475"/>
      <c r="U114" s="1475"/>
      <c r="V114" s="1475"/>
      <c r="W114" s="1475"/>
      <c r="X114" s="1475"/>
    </row>
    <row r="115" spans="1:24" ht="15.75" customHeight="1">
      <c r="A115" s="1475"/>
      <c r="B115" s="1475"/>
      <c r="C115" s="1475"/>
      <c r="D115" s="1475"/>
      <c r="E115" s="1475"/>
      <c r="F115" s="1475"/>
      <c r="G115" s="1475"/>
      <c r="H115" s="1475"/>
      <c r="I115" s="1475"/>
      <c r="J115" s="1475"/>
      <c r="K115" s="1475"/>
      <c r="L115" s="1475"/>
      <c r="M115" s="1475"/>
      <c r="N115" s="1475"/>
      <c r="O115" s="1475"/>
      <c r="P115" s="1475"/>
      <c r="Q115" s="1475"/>
      <c r="R115" s="1475"/>
      <c r="S115" s="1475"/>
      <c r="T115" s="1475"/>
      <c r="U115" s="1475"/>
      <c r="V115" s="1475"/>
      <c r="W115" s="1475"/>
      <c r="X115" s="1475"/>
    </row>
    <row r="116" spans="1:24" ht="22" customHeight="1">
      <c r="A116" s="1475"/>
      <c r="B116" s="1545" t="s">
        <v>191</v>
      </c>
      <c r="C116" s="1517"/>
      <c r="D116" s="1517"/>
      <c r="E116" s="1517"/>
      <c r="F116" s="1517"/>
      <c r="G116" s="1517"/>
      <c r="H116" s="1517"/>
      <c r="I116" s="1517"/>
      <c r="J116" s="1517"/>
      <c r="K116" s="1517"/>
      <c r="L116" s="1517"/>
      <c r="M116" s="1517"/>
      <c r="N116" s="1517"/>
      <c r="O116" s="1517"/>
      <c r="P116" s="1517"/>
      <c r="Q116" s="1517"/>
      <c r="R116" s="1517"/>
      <c r="S116" s="1517"/>
      <c r="T116" s="1517"/>
      <c r="U116" s="1517"/>
      <c r="V116" s="1475"/>
      <c r="W116" s="1475"/>
      <c r="X116" s="1475"/>
    </row>
    <row r="117" spans="1:24" ht="15.75" customHeight="1">
      <c r="A117" s="1475"/>
      <c r="B117" s="1476" t="s">
        <v>1817</v>
      </c>
      <c r="C117" s="1485"/>
      <c r="D117" s="1485"/>
      <c r="E117" s="1485"/>
      <c r="F117" s="1485"/>
      <c r="G117" s="1475"/>
      <c r="H117" s="1527">
        <f t="shared" ref="H117:U117" si="70">H53+H76</f>
        <v>0</v>
      </c>
      <c r="I117" s="1527">
        <f t="shared" si="70"/>
        <v>0</v>
      </c>
      <c r="J117" s="1527">
        <f t="shared" si="70"/>
        <v>850000</v>
      </c>
      <c r="K117" s="1527">
        <f t="shared" si="70"/>
        <v>0</v>
      </c>
      <c r="L117" s="1527">
        <f t="shared" si="70"/>
        <v>0</v>
      </c>
      <c r="M117" s="1527">
        <f t="shared" si="70"/>
        <v>0</v>
      </c>
      <c r="N117" s="1527">
        <f t="shared" si="70"/>
        <v>0</v>
      </c>
      <c r="O117" s="1527">
        <f t="shared" si="70"/>
        <v>0</v>
      </c>
      <c r="P117" s="1527">
        <f t="shared" si="70"/>
        <v>0</v>
      </c>
      <c r="Q117" s="1527">
        <f t="shared" si="70"/>
        <v>0</v>
      </c>
      <c r="R117" s="1527">
        <f t="shared" si="70"/>
        <v>0</v>
      </c>
      <c r="S117" s="1527">
        <f t="shared" si="70"/>
        <v>0</v>
      </c>
      <c r="T117" s="1527">
        <f t="shared" si="70"/>
        <v>0</v>
      </c>
      <c r="U117" s="1527">
        <f t="shared" si="70"/>
        <v>0</v>
      </c>
      <c r="V117" s="1475"/>
      <c r="W117" s="1475"/>
      <c r="X117" s="1475"/>
    </row>
    <row r="118" spans="1:24" ht="15.75" customHeight="1">
      <c r="A118" s="1475"/>
      <c r="B118" s="1476" t="s">
        <v>1818</v>
      </c>
      <c r="C118" s="1485"/>
      <c r="D118" s="1485"/>
      <c r="E118" s="1485"/>
      <c r="F118" s="1485"/>
      <c r="G118" s="1475"/>
      <c r="H118" s="1527">
        <f t="shared" ref="H118:I118" si="71">H54+H77</f>
        <v>0</v>
      </c>
      <c r="I118" s="1527">
        <f t="shared" si="71"/>
        <v>0</v>
      </c>
      <c r="J118" s="1527">
        <f t="shared" ref="J118:U118" si="72">J56+J77</f>
        <v>0</v>
      </c>
      <c r="K118" s="1527">
        <f t="shared" si="72"/>
        <v>850000</v>
      </c>
      <c r="L118" s="1527">
        <f t="shared" si="72"/>
        <v>1584489.375</v>
      </c>
      <c r="M118" s="1527">
        <f t="shared" si="72"/>
        <v>1584489.375</v>
      </c>
      <c r="N118" s="1527">
        <f t="shared" si="72"/>
        <v>1584489.375</v>
      </c>
      <c r="O118" s="1527">
        <f t="shared" si="72"/>
        <v>1584489.375</v>
      </c>
      <c r="P118" s="1527">
        <f t="shared" si="72"/>
        <v>1584489.375</v>
      </c>
      <c r="Q118" s="1527">
        <f t="shared" si="72"/>
        <v>1584489.375</v>
      </c>
      <c r="R118" s="1527">
        <f t="shared" si="72"/>
        <v>1584489.375</v>
      </c>
      <c r="S118" s="1527">
        <f t="shared" si="72"/>
        <v>1584489.375</v>
      </c>
      <c r="T118" s="1527">
        <f t="shared" si="72"/>
        <v>0</v>
      </c>
      <c r="U118" s="1527">
        <f t="shared" si="72"/>
        <v>0</v>
      </c>
      <c r="V118" s="1475"/>
      <c r="W118" s="1475"/>
      <c r="X118" s="1475"/>
    </row>
    <row r="119" spans="1:24" ht="15.75" customHeight="1">
      <c r="A119" s="1475"/>
      <c r="B119" s="1476" t="s">
        <v>1819</v>
      </c>
      <c r="C119" s="1485"/>
      <c r="D119" s="1485"/>
      <c r="E119" s="1485"/>
      <c r="F119" s="1485"/>
      <c r="G119" s="1475"/>
      <c r="H119" s="1527">
        <f t="shared" ref="H119:U119" si="73">H57+H80</f>
        <v>0</v>
      </c>
      <c r="I119" s="1527">
        <f t="shared" si="73"/>
        <v>0</v>
      </c>
      <c r="J119" s="1527">
        <f t="shared" si="73"/>
        <v>543161.60000000009</v>
      </c>
      <c r="K119" s="1527">
        <f t="shared" si="73"/>
        <v>1050198.2000000002</v>
      </c>
      <c r="L119" s="1527">
        <f t="shared" si="73"/>
        <v>950693.625</v>
      </c>
      <c r="M119" s="1527">
        <f t="shared" si="73"/>
        <v>823934.47499999998</v>
      </c>
      <c r="N119" s="1527">
        <f t="shared" si="73"/>
        <v>697175.32500000007</v>
      </c>
      <c r="O119" s="1527">
        <f t="shared" si="73"/>
        <v>570416.17500000005</v>
      </c>
      <c r="P119" s="1527">
        <f t="shared" si="73"/>
        <v>443657.02500000002</v>
      </c>
      <c r="Q119" s="1527">
        <f t="shared" si="73"/>
        <v>316897.875</v>
      </c>
      <c r="R119" s="1527">
        <f t="shared" si="73"/>
        <v>190138.72500000001</v>
      </c>
      <c r="S119" s="1527">
        <f t="shared" si="73"/>
        <v>63379.575000000004</v>
      </c>
      <c r="T119" s="1527">
        <f t="shared" si="73"/>
        <v>0</v>
      </c>
      <c r="U119" s="1527">
        <f t="shared" si="73"/>
        <v>0</v>
      </c>
      <c r="V119" s="1475"/>
      <c r="W119" s="1475"/>
      <c r="X119" s="1475"/>
    </row>
    <row r="120" spans="1:24" ht="15.75" customHeight="1">
      <c r="A120" s="1475"/>
      <c r="B120" s="1513" t="s">
        <v>1820</v>
      </c>
      <c r="C120" s="1514"/>
      <c r="D120" s="1514"/>
      <c r="E120" s="1514"/>
      <c r="F120" s="1514"/>
      <c r="G120" s="1530"/>
      <c r="H120" s="1531">
        <f t="shared" ref="H120:U120" si="74">H118+H119</f>
        <v>0</v>
      </c>
      <c r="I120" s="1531">
        <f t="shared" si="74"/>
        <v>0</v>
      </c>
      <c r="J120" s="1531">
        <f t="shared" si="74"/>
        <v>543161.60000000009</v>
      </c>
      <c r="K120" s="1531">
        <f t="shared" si="74"/>
        <v>1900198.2000000002</v>
      </c>
      <c r="L120" s="1531">
        <f t="shared" si="74"/>
        <v>2535183</v>
      </c>
      <c r="M120" s="1531">
        <f t="shared" si="74"/>
        <v>2408423.85</v>
      </c>
      <c r="N120" s="1531">
        <f t="shared" si="74"/>
        <v>2281664.7000000002</v>
      </c>
      <c r="O120" s="1531">
        <f t="shared" si="74"/>
        <v>2154905.5499999998</v>
      </c>
      <c r="P120" s="1531">
        <f t="shared" si="74"/>
        <v>2028146.4</v>
      </c>
      <c r="Q120" s="1531">
        <f t="shared" si="74"/>
        <v>1901387.25</v>
      </c>
      <c r="R120" s="1531">
        <f t="shared" si="74"/>
        <v>1774628.1</v>
      </c>
      <c r="S120" s="1531">
        <f t="shared" si="74"/>
        <v>1647868.95</v>
      </c>
      <c r="T120" s="1531">
        <f t="shared" si="74"/>
        <v>0</v>
      </c>
      <c r="U120" s="1531">
        <f t="shared" si="74"/>
        <v>0</v>
      </c>
      <c r="V120" s="1475"/>
      <c r="W120" s="1475"/>
      <c r="X120" s="1475"/>
    </row>
    <row r="121" spans="1:24" ht="15.75" customHeight="1">
      <c r="A121" s="1475"/>
      <c r="B121" s="1476"/>
      <c r="C121" s="1475"/>
      <c r="D121" s="1475"/>
      <c r="E121" s="1475"/>
      <c r="F121" s="1475"/>
      <c r="G121" s="1475"/>
      <c r="H121" s="1475"/>
      <c r="I121" s="1475"/>
      <c r="J121" s="1475"/>
      <c r="K121" s="1551">
        <f>K118+K119</f>
        <v>1900198.2000000002</v>
      </c>
      <c r="L121" s="1551">
        <f>K119</f>
        <v>1050198.2000000002</v>
      </c>
      <c r="M121" s="1475"/>
      <c r="N121" s="1475"/>
      <c r="O121" s="1475"/>
      <c r="P121" s="1475"/>
      <c r="Q121" s="1475"/>
      <c r="R121" s="1475"/>
      <c r="S121" s="1475"/>
      <c r="T121" s="1475"/>
      <c r="U121" s="1475"/>
      <c r="V121" s="1475"/>
      <c r="W121" s="1475"/>
      <c r="X121" s="1475"/>
    </row>
    <row r="122" spans="1:24" ht="15.75" customHeight="1">
      <c r="B122" s="233"/>
      <c r="C122" s="765"/>
      <c r="D122" s="765"/>
      <c r="E122" s="765"/>
      <c r="F122" s="765"/>
      <c r="G122" s="765"/>
      <c r="H122" s="765"/>
      <c r="I122" s="765"/>
      <c r="J122" s="765"/>
      <c r="K122" s="765"/>
      <c r="L122" s="765"/>
      <c r="M122" s="765"/>
      <c r="N122" s="765"/>
      <c r="O122" s="765"/>
      <c r="P122" s="765"/>
      <c r="Q122" s="765"/>
      <c r="R122" s="765"/>
      <c r="S122" s="765"/>
    </row>
    <row r="123" spans="1:24" ht="15.75" customHeight="1"/>
    <row r="124" spans="1:24" ht="15.75" customHeight="1"/>
    <row r="125" spans="1:24" ht="15.75" customHeight="1"/>
    <row r="126" spans="1:24" ht="15.75" customHeight="1"/>
    <row r="127" spans="1:24" ht="15.75" customHeight="1"/>
    <row r="128" spans="1:24"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U2"/>
  </mergeCells>
  <dataValidations count="1">
    <dataValidation type="list" allowBlank="1" showErrorMessage="1" sqref="C19 C43 C105" xr:uid="{00000000-0002-0000-1000-000000000000}">
      <formula1>"Amortising,Bullet"</formula1>
    </dataValidation>
  </dataValidations>
  <pageMargins left="0.25" right="0.25" top="0.35" bottom="0.35" header="0" footer="0"/>
  <pageSetup fitToHeight="0" orientation="landscape"/>
  <headerFooter>
    <oddHeader>&amp;C&amp;A</oddHeader>
    <oddFooter>&amp;CPage &amp;P of</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E2E2E2"/>
  </sheetPr>
  <dimension ref="A1:A1000"/>
  <sheetViews>
    <sheetView showGridLines="0" workbookViewId="0"/>
  </sheetViews>
  <sheetFormatPr defaultColWidth="12.6328125" defaultRowHeight="15" customHeight="1"/>
  <cols>
    <col min="1" max="1" width="34" customWidth="1"/>
    <col min="2" max="6" width="8.90625" customWidth="1"/>
  </cols>
  <sheetData>
    <row r="1" spans="1:1" ht="69.75" customHeight="1">
      <c r="A1" s="23" t="s">
        <v>1841</v>
      </c>
    </row>
    <row r="2" spans="1:1" ht="15" customHeight="1">
      <c r="A2" s="26"/>
    </row>
    <row r="3" spans="1:1" ht="15" customHeight="1">
      <c r="A3" s="24" t="s">
        <v>1842</v>
      </c>
    </row>
    <row r="4" spans="1:1" ht="15" customHeight="1">
      <c r="A4" s="24" t="s">
        <v>1843</v>
      </c>
    </row>
    <row r="5" spans="1:1" ht="43.5" customHeight="1">
      <c r="A5" s="24" t="s">
        <v>1844</v>
      </c>
    </row>
    <row r="6" spans="1:1" ht="15" customHeight="1">
      <c r="A6" s="24" t="s">
        <v>1845</v>
      </c>
    </row>
    <row r="7" spans="1:1" ht="14.25" customHeight="1"/>
    <row r="8" spans="1:1" ht="14.25" customHeight="1"/>
    <row r="9" spans="1:1" ht="14.25" customHeight="1"/>
    <row r="10" spans="1:1" ht="14.25" customHeight="1"/>
    <row r="11" spans="1:1" ht="14.25" customHeight="1"/>
    <row r="12" spans="1:1" ht="14.25" customHeight="1"/>
    <row r="13" spans="1:1" ht="14.25" customHeight="1"/>
    <row r="14" spans="1:1" ht="14.25" customHeight="1"/>
    <row r="15" spans="1:1" ht="14.25" customHeight="1"/>
    <row r="16" spans="1:1" ht="14.25" customHeight="1"/>
    <row r="17" ht="14.25" customHeight="1"/>
    <row r="18" ht="14.25" customHeight="1"/>
    <row r="19" ht="14.25" customHeight="1"/>
    <row r="20" ht="14.2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E699"/>
    <outlinePr summaryBelow="0" summaryRight="0"/>
  </sheetPr>
  <dimension ref="B3:L1000"/>
  <sheetViews>
    <sheetView showGridLines="0" workbookViewId="0">
      <selection activeCell="I36" sqref="A1:XFD1048576"/>
    </sheetView>
  </sheetViews>
  <sheetFormatPr defaultColWidth="12.6328125" defaultRowHeight="15" customHeight="1"/>
  <cols>
    <col min="1" max="1" width="12.6328125" customWidth="1"/>
    <col min="2" max="2" width="33.7265625" customWidth="1"/>
    <col min="3" max="6" width="12.6328125" customWidth="1"/>
  </cols>
  <sheetData>
    <row r="3" spans="2:12" ht="14.5">
      <c r="C3" s="243">
        <f>'P&amp;L'!G4</f>
        <v>45689</v>
      </c>
      <c r="D3" s="243">
        <f>'P&amp;L'!H4</f>
        <v>45839</v>
      </c>
      <c r="E3" s="243">
        <f>'P&amp;L'!I4</f>
        <v>46204</v>
      </c>
      <c r="F3" s="243">
        <f>'P&amp;L'!J4</f>
        <v>46569</v>
      </c>
      <c r="G3" s="243">
        <f>'P&amp;L'!K4</f>
        <v>46935</v>
      </c>
      <c r="H3" s="243">
        <f>'P&amp;L'!L4</f>
        <v>47300</v>
      </c>
      <c r="I3" s="243">
        <f>'P&amp;L'!M4</f>
        <v>47665</v>
      </c>
      <c r="J3" s="243">
        <f>'P&amp;L'!N4</f>
        <v>48030</v>
      </c>
      <c r="K3" s="243">
        <f>'P&amp;L'!O4</f>
        <v>48396</v>
      </c>
      <c r="L3" s="243">
        <f>'P&amp;L'!P4</f>
        <v>48761</v>
      </c>
    </row>
    <row r="4" spans="2:12" ht="14.5">
      <c r="C4" s="243">
        <f>'P&amp;L'!G5</f>
        <v>45838</v>
      </c>
      <c r="D4" s="243">
        <f>'P&amp;L'!H5</f>
        <v>46203</v>
      </c>
      <c r="E4" s="243">
        <f>'P&amp;L'!I5</f>
        <v>46568</v>
      </c>
      <c r="F4" s="243">
        <f>'P&amp;L'!J5</f>
        <v>46934</v>
      </c>
      <c r="G4" s="243">
        <f>'P&amp;L'!K5</f>
        <v>47299</v>
      </c>
      <c r="H4" s="243">
        <f>'P&amp;L'!L5</f>
        <v>47664</v>
      </c>
      <c r="I4" s="243">
        <f>'P&amp;L'!M5</f>
        <v>48029</v>
      </c>
      <c r="J4" s="243">
        <f>'P&amp;L'!N5</f>
        <v>48395</v>
      </c>
      <c r="K4" s="243">
        <f>'P&amp;L'!O5</f>
        <v>48760</v>
      </c>
      <c r="L4" s="243">
        <f>'P&amp;L'!P5</f>
        <v>49125</v>
      </c>
    </row>
    <row r="5" spans="2:12" ht="14.5">
      <c r="B5" s="1005"/>
      <c r="C5" s="1006" t="str">
        <f>'P&amp;L'!G6</f>
        <v>FY25</v>
      </c>
      <c r="D5" s="1006" t="str">
        <f>'P&amp;L'!H6</f>
        <v>FY26</v>
      </c>
      <c r="E5" s="1006" t="str">
        <f>'P&amp;L'!I6</f>
        <v>FY27</v>
      </c>
      <c r="F5" s="1006" t="str">
        <f>'P&amp;L'!J6</f>
        <v>FY28</v>
      </c>
      <c r="G5" s="1006" t="str">
        <f>'P&amp;L'!K6</f>
        <v>FY29</v>
      </c>
      <c r="H5" s="1006" t="str">
        <f>'P&amp;L'!L6</f>
        <v>FY30</v>
      </c>
      <c r="I5" s="1006" t="str">
        <f>'P&amp;L'!M6</f>
        <v>FY31</v>
      </c>
      <c r="J5" s="1006" t="str">
        <f>'P&amp;L'!N6</f>
        <v>FY32</v>
      </c>
      <c r="K5" s="1006" t="str">
        <f>'P&amp;L'!O6</f>
        <v>FY33</v>
      </c>
      <c r="L5" s="1006" t="str">
        <f>'P&amp;L'!P6</f>
        <v>FY34</v>
      </c>
    </row>
    <row r="6" spans="2:12" ht="14.5">
      <c r="B6" s="1007"/>
      <c r="C6" s="1007"/>
      <c r="D6" s="1007"/>
      <c r="E6" s="1007"/>
      <c r="F6" s="1007"/>
      <c r="G6" s="1007"/>
      <c r="H6" s="1007"/>
      <c r="I6" s="1007"/>
      <c r="J6" s="1007"/>
      <c r="K6" s="1007"/>
      <c r="L6" s="1007"/>
    </row>
    <row r="7" spans="2:12" ht="14.5">
      <c r="B7" s="1008" t="s">
        <v>193</v>
      </c>
      <c r="C7" s="1009">
        <f>'P&amp;L'!G21</f>
        <v>0</v>
      </c>
      <c r="D7" s="1009">
        <f>'P&amp;L'!H21</f>
        <v>0</v>
      </c>
      <c r="E7" s="1009">
        <f>'P&amp;L'!I21</f>
        <v>0</v>
      </c>
      <c r="F7" s="1009">
        <f>'P&amp;L'!J21</f>
        <v>16347333.414999999</v>
      </c>
      <c r="G7" s="1009">
        <f>'P&amp;L'!K21</f>
        <v>17190877.288939998</v>
      </c>
      <c r="H7" s="1009">
        <f>'P&amp;L'!L21</f>
        <v>18067756.257462904</v>
      </c>
      <c r="I7" s="1009">
        <f>'P&amp;L'!M21</f>
        <v>19197174.788839001</v>
      </c>
      <c r="J7" s="1009">
        <f>'P&amp;L'!N21</f>
        <v>19624010.432504173</v>
      </c>
      <c r="K7" s="1009">
        <f>'P&amp;L'!O21</f>
        <v>20063651.145479295</v>
      </c>
      <c r="L7" s="1009">
        <f>'P&amp;L'!P21</f>
        <v>20516481.079843674</v>
      </c>
    </row>
    <row r="8" spans="2:12" ht="14.5">
      <c r="B8" s="1007"/>
      <c r="C8" s="1007"/>
      <c r="D8" s="1007"/>
      <c r="E8" s="1007"/>
      <c r="F8" s="1007"/>
      <c r="G8" s="1007"/>
      <c r="H8" s="1007"/>
      <c r="I8" s="1007"/>
      <c r="J8" s="1007"/>
      <c r="K8" s="1007"/>
      <c r="L8" s="1007"/>
    </row>
    <row r="9" spans="2:12" ht="14.5">
      <c r="B9" s="1008" t="s">
        <v>1846</v>
      </c>
      <c r="C9" s="1009">
        <f>IF(C7&lt;0,0,C7*Inputs!$E$323)</f>
        <v>0</v>
      </c>
      <c r="D9" s="1009">
        <f>IF(D7&lt;0,0,D7*Inputs!$E$323)</f>
        <v>0</v>
      </c>
      <c r="E9" s="1009">
        <f>IF(E7&lt;0,0,E7*Inputs!$E$323)</f>
        <v>0</v>
      </c>
      <c r="F9" s="1009">
        <f>IF(F7&lt;0,0,(F7)*Inputs!$E$323)</f>
        <v>1634733.3415000001</v>
      </c>
      <c r="G9" s="1009">
        <f>IF(G7&lt;0,0,(G7)*Inputs!$E$323)</f>
        <v>1719087.7288939999</v>
      </c>
      <c r="H9" s="1009">
        <f>IF(H7&lt;0,0,(H7)*Inputs!$E$323)</f>
        <v>1806775.6257462904</v>
      </c>
      <c r="I9" s="1009">
        <f>IF(I7&lt;0,0,(I7)*Inputs!$E$323)</f>
        <v>1919717.4788839002</v>
      </c>
      <c r="J9" s="1009">
        <f>IF(J7&lt;0,0,(J7)*Inputs!$E$323)</f>
        <v>1962401.0432504173</v>
      </c>
      <c r="K9" s="1009">
        <f>IF(K7&lt;0,0,(K7)*Inputs!$E$323)</f>
        <v>2006365.1145479297</v>
      </c>
      <c r="L9" s="1009">
        <f>IF(L7&lt;0,0,(L7)*Inputs!$E$323)</f>
        <v>2051648.1079843675</v>
      </c>
    </row>
    <row r="10" spans="2:12" ht="14.5">
      <c r="B10" s="1007"/>
      <c r="C10" s="1007"/>
      <c r="D10" s="1007"/>
      <c r="E10" s="1007"/>
      <c r="F10" s="1007"/>
      <c r="G10" s="1007"/>
      <c r="H10" s="1007"/>
      <c r="I10" s="1007"/>
      <c r="J10" s="1007"/>
      <c r="K10" s="1007"/>
      <c r="L10" s="1007"/>
    </row>
    <row r="11" spans="2:12" ht="14.5">
      <c r="B11" s="1010" t="s">
        <v>1847</v>
      </c>
      <c r="C11" s="1007"/>
      <c r="D11" s="1007"/>
      <c r="E11" s="1007"/>
      <c r="F11" s="1007"/>
      <c r="G11" s="1007"/>
      <c r="H11" s="1007"/>
      <c r="I11" s="1007"/>
      <c r="J11" s="1007"/>
      <c r="K11" s="1007"/>
      <c r="L11" s="1007"/>
    </row>
    <row r="12" spans="2:12" ht="14.5">
      <c r="B12" s="1007"/>
      <c r="C12" s="1007"/>
      <c r="D12" s="1007"/>
      <c r="E12" s="1007"/>
      <c r="F12" s="1007"/>
      <c r="G12" s="1007"/>
      <c r="H12" s="1007"/>
      <c r="I12" s="1007"/>
      <c r="J12" s="1007"/>
      <c r="K12" s="1007"/>
      <c r="L12" s="1007"/>
    </row>
    <row r="13" spans="2:12" ht="14.5">
      <c r="B13" s="1008" t="s">
        <v>1848</v>
      </c>
      <c r="C13" s="1009">
        <f>-Cashflow!D27</f>
        <v>0</v>
      </c>
      <c r="D13" s="1007"/>
      <c r="E13" s="1009">
        <f>-Cashflow!F27</f>
        <v>20580525</v>
      </c>
      <c r="F13" s="1009">
        <f>-Cashflow!G27</f>
        <v>0</v>
      </c>
      <c r="G13" s="1009">
        <f>-Cashflow!H27</f>
        <v>0</v>
      </c>
      <c r="H13" s="1009">
        <f>-Cashflow!I27</f>
        <v>0</v>
      </c>
      <c r="I13" s="1009">
        <f>-Cashflow!J27</f>
        <v>0</v>
      </c>
      <c r="J13" s="1009">
        <f>-Cashflow!K27</f>
        <v>0</v>
      </c>
      <c r="K13" s="1009">
        <f>-Cashflow!L27</f>
        <v>0</v>
      </c>
      <c r="L13" s="1009">
        <f>-Cashflow!M27</f>
        <v>0</v>
      </c>
    </row>
    <row r="14" spans="2:12" ht="14.5">
      <c r="B14" s="1008" t="s">
        <v>369</v>
      </c>
      <c r="C14" s="1009">
        <f>'P&amp;L'!G35</f>
        <v>0</v>
      </c>
      <c r="D14" s="1009">
        <f>'P&amp;L'!H35</f>
        <v>0</v>
      </c>
      <c r="E14" s="1009">
        <f>'P&amp;L'!I35</f>
        <v>0</v>
      </c>
      <c r="F14" s="1009">
        <f>'P&amp;L'!J35</f>
        <v>2168980.59</v>
      </c>
      <c r="G14" s="1009">
        <f>'P&amp;L'!K35</f>
        <v>2325901.7123999991</v>
      </c>
      <c r="H14" s="1009">
        <f>'P&amp;L'!L35</f>
        <v>2489948.7060000002</v>
      </c>
      <c r="I14" s="1009">
        <f>'P&amp;L'!M35</f>
        <v>2536926.42</v>
      </c>
      <c r="J14" s="1009">
        <f>'P&amp;L'!N35</f>
        <v>2611117.7526000002</v>
      </c>
      <c r="K14" s="1009">
        <f>'P&amp;L'!O35</f>
        <v>2687534.8251780006</v>
      </c>
      <c r="L14" s="1009">
        <f>'P&amp;L'!P35</f>
        <v>2766244.4099333407</v>
      </c>
    </row>
    <row r="15" spans="2:12" ht="14.5">
      <c r="B15" s="1008" t="s">
        <v>1849</v>
      </c>
      <c r="C15" s="1009">
        <f>SUM('P&amp;L'!G45:G64)</f>
        <v>0</v>
      </c>
      <c r="D15" s="1009">
        <f>SUM('P&amp;L'!H45:H64)</f>
        <v>0</v>
      </c>
      <c r="E15" s="1009">
        <f>SUM('P&amp;L'!I45:I64)</f>
        <v>330000</v>
      </c>
      <c r="F15" s="1009">
        <f>SUM('P&amp;L'!J45:J64)</f>
        <v>3370389.6670749998</v>
      </c>
      <c r="G15" s="1009">
        <f>SUM('P&amp;L'!K45:K64)</f>
        <v>3902977.7614447</v>
      </c>
      <c r="H15" s="1009">
        <f>SUM('P&amp;L'!L45:L64)</f>
        <v>4061256.7531623146</v>
      </c>
      <c r="I15" s="1009">
        <f>SUM('P&amp;L'!M45:M64)</f>
        <v>4186394.3038035706</v>
      </c>
      <c r="J15" s="1009">
        <f>SUM('P&amp;L'!N45:N64)</f>
        <v>4311638.4959086925</v>
      </c>
      <c r="K15" s="1009">
        <f>SUM('P&amp;L'!O45:O64)</f>
        <v>4936040.7416167082</v>
      </c>
      <c r="L15" s="1009">
        <f>SUM('P&amp;L'!P45:P64)</f>
        <v>5131359.177672904</v>
      </c>
    </row>
    <row r="16" spans="2:12" ht="14.5">
      <c r="B16" s="1007"/>
      <c r="C16" s="1007"/>
      <c r="D16" s="1007"/>
      <c r="E16" s="1007"/>
      <c r="F16" s="1007"/>
      <c r="G16" s="1007"/>
      <c r="H16" s="1007"/>
      <c r="I16" s="1007"/>
      <c r="J16" s="1007"/>
      <c r="K16" s="1007"/>
      <c r="L16" s="1007"/>
    </row>
    <row r="17" spans="2:12" ht="14.5">
      <c r="B17" s="1010" t="s">
        <v>1850</v>
      </c>
      <c r="C17" s="1009">
        <f t="shared" ref="C17:L17" si="0">SUM(C13:C15)</f>
        <v>0</v>
      </c>
      <c r="D17" s="1007">
        <f t="shared" si="0"/>
        <v>0</v>
      </c>
      <c r="E17" s="1009">
        <f t="shared" si="0"/>
        <v>20910525</v>
      </c>
      <c r="F17" s="1009">
        <f t="shared" si="0"/>
        <v>5539370.2570749996</v>
      </c>
      <c r="G17" s="1009">
        <f t="shared" si="0"/>
        <v>6228879.4738446996</v>
      </c>
      <c r="H17" s="1009">
        <f t="shared" si="0"/>
        <v>6551205.4591623154</v>
      </c>
      <c r="I17" s="1009">
        <f t="shared" si="0"/>
        <v>6723320.7238035705</v>
      </c>
      <c r="J17" s="1009">
        <f t="shared" si="0"/>
        <v>6922756.2485086927</v>
      </c>
      <c r="K17" s="1009">
        <f t="shared" si="0"/>
        <v>7623575.5667947084</v>
      </c>
      <c r="L17" s="1009">
        <f t="shared" si="0"/>
        <v>7897603.5876062447</v>
      </c>
    </row>
    <row r="18" spans="2:12" ht="14.5">
      <c r="B18" s="1007"/>
      <c r="C18" s="1007"/>
      <c r="D18" s="1007"/>
      <c r="E18" s="1007"/>
      <c r="F18" s="1007"/>
      <c r="G18" s="1007"/>
      <c r="H18" s="1007"/>
      <c r="I18" s="1007"/>
      <c r="J18" s="1007"/>
      <c r="K18" s="1007"/>
      <c r="L18" s="1007"/>
    </row>
    <row r="19" spans="2:12" ht="14.5">
      <c r="B19" s="1008" t="s">
        <v>1846</v>
      </c>
      <c r="C19" s="1009">
        <f>IF(C17&lt;0,0,C17*Inputs!$E$323)</f>
        <v>0</v>
      </c>
      <c r="D19" s="1009">
        <f>IF(D17&lt;0,0,D17*Inputs!$E$323)</f>
        <v>0</v>
      </c>
      <c r="E19" s="1009">
        <f>IF(E17&lt;0,0,E17*Inputs!$E$323)</f>
        <v>2091052.5</v>
      </c>
      <c r="F19" s="1009">
        <f>IF(F17&lt;0,0,F17*Inputs!$E$323)</f>
        <v>553937.02570749994</v>
      </c>
      <c r="G19" s="1009">
        <f>IF(G17&lt;0,0,G17*Inputs!$E$323)</f>
        <v>622887.94738447003</v>
      </c>
      <c r="H19" s="1009">
        <f>IF(H17&lt;0,0,H17*Inputs!$E$323)</f>
        <v>655120.54591623158</v>
      </c>
      <c r="I19" s="1009">
        <f>IF(I17&lt;0,0,I17*Inputs!$E$323)</f>
        <v>672332.07238035707</v>
      </c>
      <c r="J19" s="1009">
        <f>IF(J17&lt;0,0,J17*Inputs!$E$323)</f>
        <v>692275.6248508693</v>
      </c>
      <c r="K19" s="1009">
        <f>IF(K17&lt;0,0,K17*Inputs!$E$323)</f>
        <v>762357.55667947093</v>
      </c>
      <c r="L19" s="1009">
        <f>IF(L17&lt;0,0,L17*Inputs!$E$323)</f>
        <v>789760.35876062454</v>
      </c>
    </row>
    <row r="20" spans="2:12" ht="14.5">
      <c r="B20" s="1007"/>
      <c r="C20" s="1007"/>
      <c r="D20" s="1007"/>
      <c r="E20" s="1007"/>
      <c r="F20" s="1007"/>
      <c r="G20" s="1007"/>
      <c r="H20" s="1007"/>
      <c r="I20" s="1007"/>
      <c r="J20" s="1007"/>
      <c r="K20" s="1007"/>
      <c r="L20" s="1007"/>
    </row>
    <row r="21" spans="2:12" ht="15.75" customHeight="1">
      <c r="B21" s="1010" t="s">
        <v>1851</v>
      </c>
      <c r="C21" s="1009">
        <f t="shared" ref="C21:L21" si="1">C9-C19</f>
        <v>0</v>
      </c>
      <c r="D21" s="1009">
        <f t="shared" si="1"/>
        <v>0</v>
      </c>
      <c r="E21" s="1009">
        <f t="shared" si="1"/>
        <v>-2091052.5</v>
      </c>
      <c r="F21" s="1009">
        <f t="shared" si="1"/>
        <v>1080796.3157925</v>
      </c>
      <c r="G21" s="1009">
        <f t="shared" si="1"/>
        <v>1096199.7815095298</v>
      </c>
      <c r="H21" s="1009">
        <f t="shared" si="1"/>
        <v>1151655.0798300589</v>
      </c>
      <c r="I21" s="1009">
        <f t="shared" si="1"/>
        <v>1247385.4065035433</v>
      </c>
      <c r="J21" s="1009">
        <f t="shared" si="1"/>
        <v>1270125.4183995482</v>
      </c>
      <c r="K21" s="1009">
        <f t="shared" si="1"/>
        <v>1244007.5578684588</v>
      </c>
      <c r="L21" s="1009">
        <f t="shared" si="1"/>
        <v>1261887.7492237431</v>
      </c>
    </row>
    <row r="22" spans="2:12" ht="15.75" customHeight="1">
      <c r="B22" s="1007"/>
      <c r="C22" s="1007"/>
      <c r="D22" s="1007"/>
      <c r="E22" s="1007"/>
      <c r="F22" s="1007"/>
      <c r="G22" s="1007"/>
      <c r="H22" s="1007"/>
      <c r="I22" s="1007"/>
      <c r="J22" s="1007"/>
      <c r="K22" s="1007"/>
      <c r="L22" s="1007"/>
    </row>
    <row r="23" spans="2:12" ht="15.75" customHeight="1">
      <c r="B23" s="1008" t="s">
        <v>1852</v>
      </c>
      <c r="C23" s="1009">
        <f t="shared" ref="C23:L23" si="2">C9</f>
        <v>0</v>
      </c>
      <c r="D23" s="1009">
        <f t="shared" si="2"/>
        <v>0</v>
      </c>
      <c r="E23" s="1009">
        <f t="shared" si="2"/>
        <v>0</v>
      </c>
      <c r="F23" s="1552">
        <f t="shared" si="2"/>
        <v>1634733.3415000001</v>
      </c>
      <c r="G23" s="1009">
        <f t="shared" si="2"/>
        <v>1719087.7288939999</v>
      </c>
      <c r="H23" s="1009">
        <f t="shared" si="2"/>
        <v>1806775.6257462904</v>
      </c>
      <c r="I23" s="1009">
        <f t="shared" si="2"/>
        <v>1919717.4788839002</v>
      </c>
      <c r="J23" s="1009">
        <f t="shared" si="2"/>
        <v>1962401.0432504173</v>
      </c>
      <c r="K23" s="1009">
        <f t="shared" si="2"/>
        <v>2006365.1145479297</v>
      </c>
      <c r="L23" s="1009">
        <f t="shared" si="2"/>
        <v>2051648.1079843675</v>
      </c>
    </row>
    <row r="24" spans="2:12" ht="15.75" customHeight="1">
      <c r="B24" s="1008"/>
      <c r="C24" s="1007"/>
      <c r="D24" s="1007"/>
      <c r="E24" s="1007"/>
      <c r="F24" s="1007"/>
      <c r="G24" s="1007"/>
      <c r="H24" s="1007"/>
      <c r="I24" s="1007"/>
      <c r="J24" s="1007"/>
      <c r="K24" s="1007"/>
      <c r="L24" s="1007"/>
    </row>
    <row r="25" spans="2:12" ht="15.75" customHeight="1">
      <c r="B25" s="1008" t="s">
        <v>1853</v>
      </c>
      <c r="C25" s="1007"/>
      <c r="D25" s="1009">
        <f>D19</f>
        <v>0</v>
      </c>
      <c r="E25" s="1009">
        <f t="shared" ref="E25:L25" si="3">D29+E19</f>
        <v>2091052.5</v>
      </c>
      <c r="F25" s="1009">
        <f t="shared" si="3"/>
        <v>2644989.5257075001</v>
      </c>
      <c r="G25" s="1009">
        <f t="shared" si="3"/>
        <v>1633144.1315919701</v>
      </c>
      <c r="H25" s="1009">
        <f t="shared" si="3"/>
        <v>655120.54591623158</v>
      </c>
      <c r="I25" s="1009">
        <f t="shared" si="3"/>
        <v>672332.07238035707</v>
      </c>
      <c r="J25" s="1009">
        <f t="shared" si="3"/>
        <v>692275.6248508693</v>
      </c>
      <c r="K25" s="1009">
        <f t="shared" si="3"/>
        <v>762357.55667947093</v>
      </c>
      <c r="L25" s="1009">
        <f t="shared" si="3"/>
        <v>789760.35876062454</v>
      </c>
    </row>
    <row r="26" spans="2:12" ht="15.75" customHeight="1">
      <c r="B26" s="1007"/>
      <c r="C26" s="1007"/>
      <c r="D26" s="1007"/>
      <c r="E26" s="1007"/>
      <c r="F26" s="1007"/>
      <c r="G26" s="1007"/>
      <c r="H26" s="1007"/>
      <c r="I26" s="1007"/>
      <c r="J26" s="1007"/>
      <c r="K26" s="1007"/>
      <c r="L26" s="1007"/>
    </row>
    <row r="27" spans="2:12" ht="15.75" customHeight="1">
      <c r="B27" s="1008" t="s">
        <v>1854</v>
      </c>
      <c r="C27" s="1008">
        <v>0</v>
      </c>
      <c r="D27" s="1008">
        <v>0</v>
      </c>
      <c r="E27" s="1008">
        <v>0</v>
      </c>
      <c r="F27" s="1552">
        <f t="shared" ref="F27:L27" si="4">IF(F23&gt;F25,F25,F23)</f>
        <v>1634733.3415000001</v>
      </c>
      <c r="G27" s="1009">
        <f t="shared" si="4"/>
        <v>1633144.1315919701</v>
      </c>
      <c r="H27" s="1009">
        <f t="shared" si="4"/>
        <v>655120.54591623158</v>
      </c>
      <c r="I27" s="1009">
        <f t="shared" si="4"/>
        <v>672332.07238035707</v>
      </c>
      <c r="J27" s="1009">
        <f t="shared" si="4"/>
        <v>692275.6248508693</v>
      </c>
      <c r="K27" s="1009">
        <f t="shared" si="4"/>
        <v>762357.55667947093</v>
      </c>
      <c r="L27" s="1009">
        <f t="shared" si="4"/>
        <v>789760.35876062454</v>
      </c>
    </row>
    <row r="28" spans="2:12" ht="15.75" customHeight="1">
      <c r="B28" s="1007"/>
      <c r="C28" s="1007"/>
      <c r="D28" s="1007"/>
      <c r="E28" s="1007"/>
      <c r="F28" s="1007"/>
      <c r="G28" s="1007"/>
      <c r="H28" s="1007"/>
      <c r="I28" s="1007"/>
      <c r="J28" s="1007"/>
      <c r="K28" s="1007"/>
      <c r="L28" s="1007"/>
    </row>
    <row r="29" spans="2:12" ht="15.75" customHeight="1">
      <c r="B29" s="1008" t="s">
        <v>1855</v>
      </c>
      <c r="C29" s="1007">
        <f t="shared" ref="C29:L29" si="5">C25-C27</f>
        <v>0</v>
      </c>
      <c r="D29" s="1009">
        <f t="shared" si="5"/>
        <v>0</v>
      </c>
      <c r="E29" s="1009">
        <f t="shared" si="5"/>
        <v>2091052.5</v>
      </c>
      <c r="F29" s="1009">
        <f t="shared" si="5"/>
        <v>1010256.1842075</v>
      </c>
      <c r="G29" s="1009">
        <f t="shared" si="5"/>
        <v>0</v>
      </c>
      <c r="H29" s="1009">
        <f t="shared" si="5"/>
        <v>0</v>
      </c>
      <c r="I29" s="1009">
        <f t="shared" si="5"/>
        <v>0</v>
      </c>
      <c r="J29" s="1009">
        <f t="shared" si="5"/>
        <v>0</v>
      </c>
      <c r="K29" s="1009">
        <f t="shared" si="5"/>
        <v>0</v>
      </c>
      <c r="L29" s="1009">
        <f t="shared" si="5"/>
        <v>0</v>
      </c>
    </row>
    <row r="30" spans="2:12" ht="15.75" customHeight="1">
      <c r="B30" s="1007"/>
      <c r="C30" s="1007"/>
      <c r="D30" s="1007"/>
      <c r="E30" s="1007"/>
      <c r="F30" s="1007"/>
      <c r="G30" s="1007"/>
      <c r="H30" s="1007"/>
      <c r="I30" s="1007"/>
      <c r="J30" s="1007"/>
      <c r="K30" s="1007"/>
      <c r="L30" s="1007"/>
    </row>
    <row r="31" spans="2:12" ht="15.75" customHeight="1">
      <c r="B31" s="1008" t="s">
        <v>1856</v>
      </c>
      <c r="C31" s="1009">
        <f t="shared" ref="C31:L31" si="6">C23-C27</f>
        <v>0</v>
      </c>
      <c r="D31" s="1009">
        <f t="shared" si="6"/>
        <v>0</v>
      </c>
      <c r="E31" s="1009">
        <f t="shared" si="6"/>
        <v>0</v>
      </c>
      <c r="F31" s="1552">
        <f t="shared" si="6"/>
        <v>0</v>
      </c>
      <c r="G31" s="1009">
        <f t="shared" si="6"/>
        <v>85943.597302029841</v>
      </c>
      <c r="H31" s="1009">
        <f t="shared" si="6"/>
        <v>1151655.0798300589</v>
      </c>
      <c r="I31" s="1009">
        <f t="shared" si="6"/>
        <v>1247385.4065035433</v>
      </c>
      <c r="J31" s="1009">
        <f t="shared" si="6"/>
        <v>1270125.4183995482</v>
      </c>
      <c r="K31" s="1009">
        <f t="shared" si="6"/>
        <v>1244007.5578684588</v>
      </c>
      <c r="L31" s="1009">
        <f t="shared" si="6"/>
        <v>1261887.7492237431</v>
      </c>
    </row>
    <row r="32" spans="2:12" ht="15.75" customHeight="1"/>
    <row r="33" spans="2:12" ht="15.75" customHeight="1"/>
    <row r="34" spans="2:12" ht="15.75" customHeight="1">
      <c r="B34" s="1011" t="s">
        <v>1857</v>
      </c>
      <c r="C34" s="1006" t="str">
        <f t="shared" ref="C34:L34" si="7">C5</f>
        <v>FY25</v>
      </c>
      <c r="D34" s="1006" t="str">
        <f t="shared" si="7"/>
        <v>FY26</v>
      </c>
      <c r="E34" s="1006" t="str">
        <f t="shared" si="7"/>
        <v>FY27</v>
      </c>
      <c r="F34" s="1006" t="str">
        <f t="shared" si="7"/>
        <v>FY28</v>
      </c>
      <c r="G34" s="1006" t="str">
        <f t="shared" si="7"/>
        <v>FY29</v>
      </c>
      <c r="H34" s="1006" t="str">
        <f t="shared" si="7"/>
        <v>FY30</v>
      </c>
      <c r="I34" s="1006" t="str">
        <f t="shared" si="7"/>
        <v>FY31</v>
      </c>
      <c r="J34" s="1006" t="str">
        <f t="shared" si="7"/>
        <v>FY32</v>
      </c>
      <c r="K34" s="1006" t="str">
        <f t="shared" si="7"/>
        <v>FY33</v>
      </c>
      <c r="L34" s="1006" t="str">
        <f t="shared" si="7"/>
        <v>FY34</v>
      </c>
    </row>
    <row r="35" spans="2:12" ht="15.75" customHeight="1">
      <c r="B35" s="1007"/>
      <c r="C35" s="1007"/>
      <c r="D35" s="1007"/>
      <c r="E35" s="1007"/>
      <c r="F35" s="1007"/>
      <c r="G35" s="1007"/>
      <c r="H35" s="1007"/>
      <c r="I35" s="1007"/>
      <c r="J35" s="1007"/>
      <c r="K35" s="1007"/>
      <c r="L35" s="1007"/>
    </row>
    <row r="36" spans="2:12" ht="15.75" customHeight="1">
      <c r="B36" s="1010" t="s">
        <v>1858</v>
      </c>
      <c r="C36" s="1009">
        <f t="shared" ref="C36:G36" si="8">C31</f>
        <v>0</v>
      </c>
      <c r="D36" s="1009">
        <f t="shared" si="8"/>
        <v>0</v>
      </c>
      <c r="E36" s="1009">
        <f t="shared" si="8"/>
        <v>0</v>
      </c>
      <c r="F36" s="1009">
        <f t="shared" si="8"/>
        <v>0</v>
      </c>
      <c r="G36" s="1552">
        <f t="shared" si="8"/>
        <v>85943.597302029841</v>
      </c>
      <c r="H36" s="1009">
        <f t="shared" ref="H36:L36" si="9">H31/4</f>
        <v>287913.76995751471</v>
      </c>
      <c r="I36" s="1009">
        <f t="shared" si="9"/>
        <v>311846.35162588581</v>
      </c>
      <c r="J36" s="1009">
        <f t="shared" si="9"/>
        <v>317531.35459988704</v>
      </c>
      <c r="K36" s="1009">
        <f t="shared" si="9"/>
        <v>311001.8894671147</v>
      </c>
      <c r="L36" s="1009">
        <f t="shared" si="9"/>
        <v>315471.93730593577</v>
      </c>
    </row>
    <row r="37" spans="2:12" ht="15.75" customHeight="1"/>
    <row r="38" spans="2:12" ht="15.75" customHeight="1"/>
    <row r="39" spans="2:12" ht="15.75" customHeight="1"/>
    <row r="40" spans="2:12" ht="15.75" customHeight="1"/>
    <row r="41" spans="2:12" ht="15.75" customHeight="1"/>
    <row r="42" spans="2:12" ht="15.75" customHeight="1"/>
    <row r="43" spans="2:12" ht="15.75" customHeight="1"/>
    <row r="44" spans="2:12" ht="15.75" customHeight="1"/>
    <row r="45" spans="2:12" ht="15.75" customHeight="1"/>
    <row r="46" spans="2:12" ht="15.75" customHeight="1"/>
    <row r="47" spans="2:12" ht="15.75" customHeight="1"/>
    <row r="48" spans="2:1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E699"/>
  </sheetPr>
  <dimension ref="A1:R1000"/>
  <sheetViews>
    <sheetView showGridLines="0" topLeftCell="A18" workbookViewId="0"/>
  </sheetViews>
  <sheetFormatPr defaultColWidth="12.6328125" defaultRowHeight="15" customHeight="1"/>
  <cols>
    <col min="1" max="1" width="12.453125" customWidth="1"/>
    <col min="2" max="2" width="11.36328125" customWidth="1"/>
    <col min="3" max="3" width="27.90625" customWidth="1"/>
    <col min="4" max="4" width="14" customWidth="1"/>
    <col min="5" max="6" width="13" customWidth="1"/>
    <col min="8" max="8" width="14.08984375" customWidth="1"/>
    <col min="9" max="16" width="13" customWidth="1"/>
    <col min="17" max="17" width="35.36328125" customWidth="1"/>
    <col min="18" max="18" width="13" customWidth="1"/>
  </cols>
  <sheetData>
    <row r="1" spans="1:18" ht="24" customHeight="1">
      <c r="A1" s="230" t="s">
        <v>1753</v>
      </c>
      <c r="B1" s="474"/>
      <c r="C1" s="474"/>
      <c r="D1" s="1004"/>
      <c r="E1" s="1004"/>
      <c r="F1" s="1004"/>
      <c r="G1" s="1004"/>
      <c r="H1" s="1004"/>
      <c r="I1" s="1004"/>
      <c r="J1" s="1004"/>
      <c r="K1" s="1004"/>
      <c r="L1" s="1004"/>
      <c r="M1" s="1004"/>
      <c r="N1" s="1004"/>
      <c r="O1" s="1004"/>
      <c r="P1" s="1004"/>
      <c r="Q1" s="474"/>
      <c r="R1" s="474"/>
    </row>
    <row r="2" spans="1:18" ht="15" customHeight="1">
      <c r="A2" s="26"/>
      <c r="B2" s="26"/>
      <c r="C2" s="26"/>
      <c r="D2" s="26"/>
      <c r="E2" s="1004"/>
      <c r="F2" s="250"/>
      <c r="G2" s="250"/>
      <c r="H2" s="250"/>
      <c r="I2" s="250"/>
      <c r="J2" s="250"/>
      <c r="K2" s="250"/>
      <c r="L2" s="250"/>
      <c r="M2" s="250"/>
      <c r="N2" s="250"/>
      <c r="O2" s="250"/>
      <c r="P2" s="250"/>
      <c r="Q2" s="26"/>
      <c r="R2" s="26"/>
    </row>
    <row r="3" spans="1:18" ht="15" customHeight="1">
      <c r="A3" s="26"/>
      <c r="B3" s="26"/>
      <c r="C3" s="26"/>
      <c r="D3" s="26"/>
      <c r="E3" s="1004"/>
      <c r="F3" s="250"/>
      <c r="G3" s="250"/>
      <c r="H3" s="250"/>
      <c r="I3" s="250"/>
      <c r="J3" s="250"/>
      <c r="K3" s="250"/>
      <c r="L3" s="250"/>
      <c r="M3" s="250"/>
      <c r="N3" s="250"/>
      <c r="O3" s="250"/>
      <c r="P3" s="250"/>
      <c r="Q3" s="26"/>
      <c r="R3" s="26"/>
    </row>
    <row r="4" spans="1:18" ht="15" customHeight="1">
      <c r="A4" s="26"/>
      <c r="B4" s="24" t="s">
        <v>1859</v>
      </c>
      <c r="C4" s="26"/>
      <c r="D4" s="24" t="s">
        <v>1545</v>
      </c>
      <c r="E4" s="223" t="s">
        <v>1860</v>
      </c>
      <c r="F4" s="180" t="s">
        <v>153</v>
      </c>
      <c r="G4" s="180" t="s">
        <v>154</v>
      </c>
      <c r="H4" s="180" t="s">
        <v>155</v>
      </c>
      <c r="I4" s="180" t="s">
        <v>201</v>
      </c>
      <c r="J4" s="180" t="s">
        <v>202</v>
      </c>
      <c r="K4" s="180" t="s">
        <v>203</v>
      </c>
      <c r="L4" s="180" t="s">
        <v>204</v>
      </c>
      <c r="M4" s="180" t="s">
        <v>205</v>
      </c>
      <c r="N4" s="180" t="s">
        <v>206</v>
      </c>
      <c r="O4" s="180" t="s">
        <v>207</v>
      </c>
      <c r="P4" s="180" t="s">
        <v>208</v>
      </c>
      <c r="Q4" s="641"/>
      <c r="R4" s="26"/>
    </row>
    <row r="5" spans="1:18" ht="15" customHeight="1">
      <c r="A5" s="26"/>
      <c r="B5" s="250">
        <v>1</v>
      </c>
      <c r="C5" s="24" t="s">
        <v>261</v>
      </c>
      <c r="D5" s="1012">
        <f>Inputs!$E$290</f>
        <v>5000</v>
      </c>
      <c r="E5" s="1013">
        <f t="shared" ref="E5:E15" si="0">SUM(G5:P5)/SUM($G$16:$P$16)</f>
        <v>0.10919540229885058</v>
      </c>
      <c r="F5" s="1014">
        <f>Inputs!$E614*Inputs!$E$766*Scenarios!$B$12</f>
        <v>17.004999999999999</v>
      </c>
      <c r="G5" s="1014">
        <f>Inputs!$E614*Inputs!$F$766*Scenarios!$B$12</f>
        <v>17.366</v>
      </c>
      <c r="H5" s="1014">
        <f>Inputs!$E614*Inputs!$G$766*Scenarios!$B$12</f>
        <v>17.727</v>
      </c>
      <c r="I5" s="1015">
        <f>Inputs!$E614*Inputs!$H$766*Scenarios!$B$12</f>
        <v>19</v>
      </c>
      <c r="J5" s="1015">
        <f>Inputs!$E614*Inputs!$I$766*Scenarios!$B$12</f>
        <v>19</v>
      </c>
      <c r="K5" s="1015">
        <f>Inputs!$E614*Inputs!$J$766*Scenarios!$B$12</f>
        <v>19</v>
      </c>
      <c r="L5" s="1015">
        <f>Inputs!$E614*Inputs!$K$766*Scenarios!$B$12</f>
        <v>19</v>
      </c>
      <c r="M5" s="1015">
        <f>Inputs!$E614*Inputs!$L$766*Scenarios!$B$12</f>
        <v>19</v>
      </c>
      <c r="N5" s="1015">
        <f>Inputs!$E614*Inputs!$M$766*Scenarios!$B$12</f>
        <v>19</v>
      </c>
      <c r="O5" s="1015">
        <f>Inputs!$E614*Scenarios!$B$12</f>
        <v>19</v>
      </c>
      <c r="P5" s="1015">
        <f>Inputs!$E614*Scenarios!$B$12</f>
        <v>19</v>
      </c>
      <c r="Q5" s="1433"/>
      <c r="R5" s="26"/>
    </row>
    <row r="6" spans="1:18" ht="15" customHeight="1">
      <c r="A6" s="26"/>
      <c r="B6" s="250">
        <v>2</v>
      </c>
      <c r="C6" s="24" t="s">
        <v>263</v>
      </c>
      <c r="D6" s="1012">
        <f>Inputs!$E$291</f>
        <v>3000</v>
      </c>
      <c r="E6" s="1013">
        <f t="shared" si="0"/>
        <v>0.10344827586206896</v>
      </c>
      <c r="F6" s="1014">
        <f>Inputs!$E615*Inputs!$E$766*Scenarios!$B$12</f>
        <v>16.11</v>
      </c>
      <c r="G6" s="1014">
        <f>Inputs!$E615*Inputs!$F$766*Scenarios!$B$12</f>
        <v>16.452000000000002</v>
      </c>
      <c r="H6" s="1014">
        <f>Inputs!$E615*Inputs!$G$766*Scenarios!$B$12</f>
        <v>16.794</v>
      </c>
      <c r="I6" s="1015">
        <f>Inputs!$E615*Inputs!$H$766*Scenarios!$B$12</f>
        <v>18</v>
      </c>
      <c r="J6" s="1015">
        <f>Inputs!$E615*Inputs!$I$766*Scenarios!$B$12</f>
        <v>18</v>
      </c>
      <c r="K6" s="1015">
        <f>Inputs!$E615*Inputs!$J$766*Scenarios!$B$12</f>
        <v>18</v>
      </c>
      <c r="L6" s="1015">
        <f>Inputs!$E615*Inputs!$K$766*Scenarios!$B$12</f>
        <v>18</v>
      </c>
      <c r="M6" s="1015">
        <f>Inputs!$E615*Inputs!$L$766*Scenarios!$B$12</f>
        <v>18</v>
      </c>
      <c r="N6" s="1015">
        <f>Inputs!$E615*Inputs!$M$766*Scenarios!$B$12</f>
        <v>18</v>
      </c>
      <c r="O6" s="1015">
        <f>Inputs!$E615*Scenarios!$B$12</f>
        <v>18</v>
      </c>
      <c r="P6" s="1015">
        <f>Inputs!$E615*Scenarios!$B$12</f>
        <v>18</v>
      </c>
      <c r="Q6" s="1305"/>
      <c r="R6" s="26"/>
    </row>
    <row r="7" spans="1:18" ht="15" customHeight="1">
      <c r="A7" s="26"/>
      <c r="B7" s="250">
        <v>3</v>
      </c>
      <c r="C7" s="24" t="s">
        <v>265</v>
      </c>
      <c r="D7" s="1012">
        <f>Inputs!$E$292</f>
        <v>1500</v>
      </c>
      <c r="E7" s="1013">
        <f t="shared" si="0"/>
        <v>8.6206896551724116E-2</v>
      </c>
      <c r="F7" s="1014">
        <f>Inputs!$E616*Inputs!$E$766*Scenarios!$B$12</f>
        <v>13.425000000000001</v>
      </c>
      <c r="G7" s="1014">
        <f>Inputs!$E616*Inputs!$F$766*Scenarios!$B$12</f>
        <v>13.71</v>
      </c>
      <c r="H7" s="1014">
        <f>Inputs!$E616*Inputs!$G$766*Scenarios!$B$12</f>
        <v>13.995000000000001</v>
      </c>
      <c r="I7" s="1015">
        <f>Inputs!$E616*Inputs!$H$766*Scenarios!$B$12</f>
        <v>15</v>
      </c>
      <c r="J7" s="1015">
        <f>Inputs!$E616*Inputs!$I$766*Scenarios!$B$12</f>
        <v>15</v>
      </c>
      <c r="K7" s="1015">
        <f>Inputs!$E616*Inputs!$J$766*Scenarios!$B$12</f>
        <v>15</v>
      </c>
      <c r="L7" s="1015">
        <f>Inputs!$E616*Inputs!$K$766*Scenarios!$B$12</f>
        <v>15</v>
      </c>
      <c r="M7" s="1015">
        <f>Inputs!$E616*Inputs!$L$766*Scenarios!$B$12</f>
        <v>15</v>
      </c>
      <c r="N7" s="1015">
        <f>Inputs!$E616*Inputs!$M$766*Scenarios!$B$12</f>
        <v>15</v>
      </c>
      <c r="O7" s="1015">
        <f>Inputs!$E616*Scenarios!$B$12</f>
        <v>15</v>
      </c>
      <c r="P7" s="1015">
        <f>Inputs!$E616*Scenarios!$B$12</f>
        <v>15</v>
      </c>
      <c r="Q7" s="1305"/>
      <c r="R7" s="26"/>
    </row>
    <row r="8" spans="1:18" ht="15" customHeight="1">
      <c r="A8" s="26"/>
      <c r="B8" s="250">
        <v>4</v>
      </c>
      <c r="C8" s="24" t="s">
        <v>1541</v>
      </c>
      <c r="D8" s="1012">
        <f>Inputs!$E$293</f>
        <v>3500</v>
      </c>
      <c r="E8" s="1013">
        <f t="shared" si="0"/>
        <v>0.10344827586206896</v>
      </c>
      <c r="F8" s="1014">
        <f>Inputs!$E617*Inputs!$E$766*Scenarios!$B$12</f>
        <v>16.11</v>
      </c>
      <c r="G8" s="1014">
        <f>Inputs!$E617*Inputs!$F$766*Scenarios!$B$12</f>
        <v>16.452000000000002</v>
      </c>
      <c r="H8" s="1014">
        <f>Inputs!$E617*Inputs!$G$766*Scenarios!$B$12</f>
        <v>16.794</v>
      </c>
      <c r="I8" s="1015">
        <f>Inputs!$E617*Inputs!$H$766*Scenarios!$B$12</f>
        <v>18</v>
      </c>
      <c r="J8" s="1015">
        <f>Inputs!$E617*Inputs!$I$766*Scenarios!$B$12</f>
        <v>18</v>
      </c>
      <c r="K8" s="1015">
        <f>Inputs!$E617*Inputs!$J$766*Scenarios!$B$12</f>
        <v>18</v>
      </c>
      <c r="L8" s="1015">
        <f>Inputs!$E617*Inputs!$K$766*Scenarios!$B$12</f>
        <v>18</v>
      </c>
      <c r="M8" s="1015">
        <f>Inputs!$E617*Inputs!$L$766*Scenarios!$B$12</f>
        <v>18</v>
      </c>
      <c r="N8" s="1015">
        <f>Inputs!$E617*Inputs!$M$766*Scenarios!$B$12</f>
        <v>18</v>
      </c>
      <c r="O8" s="1015">
        <f>Inputs!$E617*Scenarios!$B$12</f>
        <v>18</v>
      </c>
      <c r="P8" s="1015">
        <f>Inputs!$E617*Scenarios!$B$12</f>
        <v>18</v>
      </c>
      <c r="Q8" s="1305"/>
      <c r="R8" s="26"/>
    </row>
    <row r="9" spans="1:18" ht="15" customHeight="1">
      <c r="A9" s="26"/>
      <c r="B9" s="250">
        <v>5</v>
      </c>
      <c r="C9" s="24" t="s">
        <v>1076</v>
      </c>
      <c r="D9" s="1012">
        <f>Inputs!$E$294</f>
        <v>3500</v>
      </c>
      <c r="E9" s="1013">
        <f t="shared" si="0"/>
        <v>8.6206896551724116E-2</v>
      </c>
      <c r="F9" s="1014">
        <f>Inputs!$E618*Inputs!$E$766*Scenarios!$B$12</f>
        <v>13.425000000000001</v>
      </c>
      <c r="G9" s="1014">
        <f>Inputs!$E618*Inputs!$F$766*Scenarios!$B$12</f>
        <v>13.71</v>
      </c>
      <c r="H9" s="1014">
        <f>Inputs!$E618*Inputs!$G$766*Scenarios!$B$12</f>
        <v>13.995000000000001</v>
      </c>
      <c r="I9" s="1015">
        <f>Inputs!$E618*Inputs!$H$766*Scenarios!$B$12</f>
        <v>15</v>
      </c>
      <c r="J9" s="1015">
        <f>Inputs!$E618*Inputs!$I$766*Scenarios!$B$12</f>
        <v>15</v>
      </c>
      <c r="K9" s="1015">
        <f>Inputs!$E618*Inputs!$J$766*Scenarios!$B$12</f>
        <v>15</v>
      </c>
      <c r="L9" s="1015">
        <f>Inputs!$E618*Inputs!$K$766*Scenarios!$B$12</f>
        <v>15</v>
      </c>
      <c r="M9" s="1015">
        <f>Inputs!$E618*Inputs!$L$766*Scenarios!$B$12</f>
        <v>15</v>
      </c>
      <c r="N9" s="1015">
        <f>Inputs!$E618*Inputs!$M$766*Scenarios!$B$12</f>
        <v>15</v>
      </c>
      <c r="O9" s="1015">
        <f>Inputs!$E618*Scenarios!$B$12</f>
        <v>15</v>
      </c>
      <c r="P9" s="1015">
        <f>Inputs!$E618*Scenarios!$B$12</f>
        <v>15</v>
      </c>
      <c r="Q9" s="1305"/>
      <c r="R9" s="26"/>
    </row>
    <row r="10" spans="1:18" ht="15" customHeight="1">
      <c r="A10" s="26"/>
      <c r="B10" s="250">
        <v>6</v>
      </c>
      <c r="C10" s="24" t="s">
        <v>1078</v>
      </c>
      <c r="D10" s="1012">
        <f>Inputs!$E$295</f>
        <v>3500</v>
      </c>
      <c r="E10" s="1013">
        <f t="shared" si="0"/>
        <v>8.6206896551724116E-2</v>
      </c>
      <c r="F10" s="1014">
        <f>Inputs!$E619*Inputs!$E$766*Scenarios!$B$12</f>
        <v>13.425000000000001</v>
      </c>
      <c r="G10" s="1014">
        <f>Inputs!$E619*Inputs!$F$766*Scenarios!$B$12</f>
        <v>13.71</v>
      </c>
      <c r="H10" s="1014">
        <f>Inputs!$E619*Inputs!$G$766*Scenarios!$B$12</f>
        <v>13.995000000000001</v>
      </c>
      <c r="I10" s="1015">
        <f>Inputs!$E619*Inputs!$H$766*Scenarios!$B$12</f>
        <v>15</v>
      </c>
      <c r="J10" s="1015">
        <f>Inputs!$E619*Inputs!$I$766*Scenarios!$B$12</f>
        <v>15</v>
      </c>
      <c r="K10" s="1015">
        <f>Inputs!$E619*Inputs!$J$766*Scenarios!$B$12</f>
        <v>15</v>
      </c>
      <c r="L10" s="1015">
        <f>Inputs!$E619*Inputs!$K$766*Scenarios!$B$12</f>
        <v>15</v>
      </c>
      <c r="M10" s="1015">
        <f>Inputs!$E619*Inputs!$L$766*Scenarios!$B$12</f>
        <v>15</v>
      </c>
      <c r="N10" s="1015">
        <f>Inputs!$E619*Inputs!$M$766*Scenarios!$B$12</f>
        <v>15</v>
      </c>
      <c r="O10" s="1015">
        <f>Inputs!$E619*Scenarios!$B$12</f>
        <v>15</v>
      </c>
      <c r="P10" s="1015">
        <f>Inputs!$E619*Scenarios!$B$12</f>
        <v>15</v>
      </c>
      <c r="Q10" s="1305"/>
      <c r="R10" s="26"/>
    </row>
    <row r="11" spans="1:18" ht="15" customHeight="1">
      <c r="A11" s="26"/>
      <c r="B11" s="250">
        <v>7</v>
      </c>
      <c r="C11" s="24" t="s">
        <v>1080</v>
      </c>
      <c r="D11" s="1012">
        <f>Inputs!$E$296</f>
        <v>3500</v>
      </c>
      <c r="E11" s="1013">
        <f t="shared" si="0"/>
        <v>1.7241379310344827E-2</v>
      </c>
      <c r="F11" s="1014">
        <f>Inputs!$E620*Inputs!$E$766*Scenarios!$B$12</f>
        <v>2.6850000000000001</v>
      </c>
      <c r="G11" s="1014">
        <f>Inputs!$E620*Inputs!$F$766*Scenarios!$B$12</f>
        <v>2.742</v>
      </c>
      <c r="H11" s="1014">
        <f>Inputs!$E620*Inputs!$G$766*Scenarios!$B$12</f>
        <v>2.7990000000000004</v>
      </c>
      <c r="I11" s="1015">
        <f>Inputs!$E620*Inputs!$H$766*Scenarios!$B$12</f>
        <v>3</v>
      </c>
      <c r="J11" s="1015">
        <f>Inputs!$E620*Inputs!$I$766*Scenarios!$B$12</f>
        <v>3</v>
      </c>
      <c r="K11" s="1015">
        <f>Inputs!$E620*Inputs!$J$766*Scenarios!$B$12</f>
        <v>3</v>
      </c>
      <c r="L11" s="1015">
        <f>Inputs!$E620*Inputs!$K$766*Scenarios!$B$12</f>
        <v>3</v>
      </c>
      <c r="M11" s="1015">
        <f>Inputs!$E620*Inputs!$L$766*Scenarios!$B$12</f>
        <v>3</v>
      </c>
      <c r="N11" s="1015">
        <f>Inputs!$E620*Inputs!$M$766*Scenarios!$B$12</f>
        <v>3</v>
      </c>
      <c r="O11" s="1015">
        <f>Inputs!$E620*Scenarios!$B$12</f>
        <v>3</v>
      </c>
      <c r="P11" s="1015">
        <f>Inputs!$E620*Scenarios!$B$12</f>
        <v>3</v>
      </c>
      <c r="Q11" s="1305"/>
      <c r="R11" s="26"/>
    </row>
    <row r="12" spans="1:18" ht="15" customHeight="1">
      <c r="A12" s="26"/>
      <c r="B12" s="250">
        <v>8</v>
      </c>
      <c r="C12" s="24" t="s">
        <v>311</v>
      </c>
      <c r="D12" s="1012">
        <f>Inputs!$E$297</f>
        <v>3500</v>
      </c>
      <c r="E12" s="1013">
        <f t="shared" si="0"/>
        <v>0.16666666666666666</v>
      </c>
      <c r="F12" s="1014">
        <f>Inputs!$E621*Inputs!$E$766*Scenarios!$B$12</f>
        <v>25.955000000000002</v>
      </c>
      <c r="G12" s="1014">
        <f>Inputs!$E621*Inputs!$F$766*Scenarios!$B$12</f>
        <v>26.506</v>
      </c>
      <c r="H12" s="1014">
        <f>Inputs!$E621*Inputs!$G$766*Scenarios!$B$12</f>
        <v>27.057000000000002</v>
      </c>
      <c r="I12" s="1015">
        <f>Inputs!$E621*Inputs!$H$766*Scenarios!$B$12</f>
        <v>29</v>
      </c>
      <c r="J12" s="1015">
        <f>Inputs!$E621*Inputs!$I$766*Scenarios!$B$12</f>
        <v>29</v>
      </c>
      <c r="K12" s="1015">
        <f>Inputs!$E621*Inputs!$J$766*Scenarios!$B$12</f>
        <v>29</v>
      </c>
      <c r="L12" s="1015">
        <f>Inputs!$E621*Inputs!$K$766*Scenarios!$B$12</f>
        <v>29</v>
      </c>
      <c r="M12" s="1015">
        <f>Inputs!$E621*Inputs!$L$766*Scenarios!$B$12</f>
        <v>29</v>
      </c>
      <c r="N12" s="1015">
        <f>Inputs!$E621*Inputs!$M$766*Scenarios!$B$12</f>
        <v>29</v>
      </c>
      <c r="O12" s="1015">
        <f>Inputs!$E621*Scenarios!$B$12</f>
        <v>29</v>
      </c>
      <c r="P12" s="1015">
        <f>Inputs!$E621*Scenarios!$B$12</f>
        <v>29</v>
      </c>
      <c r="Q12" s="1305"/>
      <c r="R12" s="26"/>
    </row>
    <row r="13" spans="1:18" ht="15" customHeight="1">
      <c r="A13" s="26"/>
      <c r="B13" s="250">
        <v>9</v>
      </c>
      <c r="C13" s="24" t="s">
        <v>272</v>
      </c>
      <c r="D13" s="1012">
        <f>Inputs!$E$298</f>
        <v>2000</v>
      </c>
      <c r="E13" s="1013">
        <f t="shared" si="0"/>
        <v>6.8965517241379309E-2</v>
      </c>
      <c r="F13" s="1014">
        <f>Inputs!$E622*Inputs!$E$766*Scenarios!$B$12</f>
        <v>10.74</v>
      </c>
      <c r="G13" s="1014">
        <f>Inputs!$E622*Inputs!$F$766*Scenarios!$B$12</f>
        <v>10.968</v>
      </c>
      <c r="H13" s="1014">
        <f>Inputs!$E622*Inputs!$G$766*Scenarios!$B$12</f>
        <v>11.196000000000002</v>
      </c>
      <c r="I13" s="1015">
        <f>Inputs!$E622*Inputs!$H$766*Scenarios!$B$12</f>
        <v>12</v>
      </c>
      <c r="J13" s="1015">
        <f>Inputs!$E622*Inputs!$I$766*Scenarios!$B$12</f>
        <v>12</v>
      </c>
      <c r="K13" s="1015">
        <f>Inputs!$E622*Inputs!$J$766*Scenarios!$B$12</f>
        <v>12</v>
      </c>
      <c r="L13" s="1015">
        <f>Inputs!$E622*Inputs!$K$766*Scenarios!$B$12</f>
        <v>12</v>
      </c>
      <c r="M13" s="1015">
        <f>Inputs!$E622*Inputs!$L$766*Scenarios!$B$12</f>
        <v>12</v>
      </c>
      <c r="N13" s="1015">
        <f>Inputs!$E622*Inputs!$M$766*Scenarios!$B$12</f>
        <v>12</v>
      </c>
      <c r="O13" s="1015">
        <f>Inputs!$E622*Scenarios!$B$12</f>
        <v>12</v>
      </c>
      <c r="P13" s="1015">
        <f>Inputs!$E622*Scenarios!$B$12</f>
        <v>12</v>
      </c>
      <c r="Q13" s="1305"/>
      <c r="R13" s="26"/>
    </row>
    <row r="14" spans="1:18" ht="15" customHeight="1">
      <c r="A14" s="26"/>
      <c r="B14" s="250">
        <v>10</v>
      </c>
      <c r="C14" s="24" t="s">
        <v>1542</v>
      </c>
      <c r="D14" s="1012">
        <f>Inputs!$E$299</f>
        <v>2000</v>
      </c>
      <c r="E14" s="1013">
        <f t="shared" si="0"/>
        <v>2.2988505747126433E-2</v>
      </c>
      <c r="F14" s="1014">
        <f>Inputs!$E623*Inputs!$E$766*Scenarios!$B$12</f>
        <v>3.58</v>
      </c>
      <c r="G14" s="1014">
        <f>Inputs!$E623*Inputs!$F$766*Scenarios!$B$12</f>
        <v>3.6560000000000001</v>
      </c>
      <c r="H14" s="1014">
        <f>Inputs!$E623*Inputs!$G$766*Scenarios!$B$12</f>
        <v>3.7320000000000002</v>
      </c>
      <c r="I14" s="1015">
        <f>Inputs!$E623*Inputs!$H$766*Scenarios!$B$12</f>
        <v>4</v>
      </c>
      <c r="J14" s="1015">
        <f>Inputs!$E623*Inputs!$I$766*Scenarios!$B$12</f>
        <v>4</v>
      </c>
      <c r="K14" s="1015">
        <f>Inputs!$E623*Inputs!$J$766*Scenarios!$B$12</f>
        <v>4</v>
      </c>
      <c r="L14" s="1015">
        <f>Inputs!$E623*Inputs!$K$766*Scenarios!$B$12</f>
        <v>4</v>
      </c>
      <c r="M14" s="1015">
        <f>Inputs!$E623*Inputs!$L$766*Scenarios!$B$12</f>
        <v>4</v>
      </c>
      <c r="N14" s="1015">
        <f>Inputs!$E623*Inputs!$M$766*Scenarios!$B$12</f>
        <v>4</v>
      </c>
      <c r="O14" s="1015">
        <f>Inputs!$E623*Scenarios!$B$12</f>
        <v>4</v>
      </c>
      <c r="P14" s="1015">
        <f>Inputs!$E623*Scenarios!$B$12</f>
        <v>4</v>
      </c>
      <c r="Q14" s="1305"/>
      <c r="R14" s="26"/>
    </row>
    <row r="15" spans="1:18" ht="15" customHeight="1">
      <c r="A15" s="26"/>
      <c r="B15" s="250">
        <v>11</v>
      </c>
      <c r="C15" s="24" t="s">
        <v>1543</v>
      </c>
      <c r="D15" s="1012">
        <f>Inputs!$E$300</f>
        <v>4000</v>
      </c>
      <c r="E15" s="1013">
        <f t="shared" si="0"/>
        <v>0.14942528735632182</v>
      </c>
      <c r="F15" s="1014">
        <f>Inputs!$E624*Inputs!$E$766*Scenarios!$B$12</f>
        <v>23.27</v>
      </c>
      <c r="G15" s="1014">
        <f>Inputs!$E624*Inputs!$F$766*Scenarios!$B$12</f>
        <v>23.763999999999999</v>
      </c>
      <c r="H15" s="1014">
        <f>Inputs!$E624*Inputs!$G$766*Scenarios!$B$12</f>
        <v>24.258000000000003</v>
      </c>
      <c r="I15" s="1015">
        <f>Inputs!$E624*Inputs!$H$766*Scenarios!$B$12</f>
        <v>26</v>
      </c>
      <c r="J15" s="1015">
        <f>Inputs!$E624*Inputs!$I$766*Scenarios!$B$12</f>
        <v>26</v>
      </c>
      <c r="K15" s="1015">
        <f>Inputs!$E624*Inputs!$J$766*Scenarios!$B$12</f>
        <v>26</v>
      </c>
      <c r="L15" s="1015">
        <f>Inputs!$E624*Inputs!$K$766*Scenarios!$B$12</f>
        <v>26</v>
      </c>
      <c r="M15" s="1015">
        <f>Inputs!$E624*Inputs!$L$766*Scenarios!$B$12</f>
        <v>26</v>
      </c>
      <c r="N15" s="1015">
        <f>Inputs!$E624*Inputs!$M$766*Scenarios!$B$12</f>
        <v>26</v>
      </c>
      <c r="O15" s="1015">
        <f>Inputs!$E624*Scenarios!$B$12</f>
        <v>26</v>
      </c>
      <c r="P15" s="1015">
        <f>Inputs!$E624*Scenarios!$B$12</f>
        <v>26</v>
      </c>
      <c r="Q15" s="1305"/>
      <c r="R15" s="26"/>
    </row>
    <row r="16" spans="1:18" ht="15" customHeight="1">
      <c r="A16" s="26"/>
      <c r="B16" s="26"/>
      <c r="C16" s="1016" t="s">
        <v>319</v>
      </c>
      <c r="D16" s="603"/>
      <c r="E16" s="26"/>
      <c r="F16" s="1017">
        <f t="shared" ref="F16:P16" si="1">SUM(F5:F15)</f>
        <v>155.73000000000002</v>
      </c>
      <c r="G16" s="1017">
        <f t="shared" si="1"/>
        <v>159.03600000000003</v>
      </c>
      <c r="H16" s="1017">
        <f t="shared" si="1"/>
        <v>162.34200000000004</v>
      </c>
      <c r="I16" s="1017">
        <f t="shared" si="1"/>
        <v>174</v>
      </c>
      <c r="J16" s="1017">
        <f t="shared" si="1"/>
        <v>174</v>
      </c>
      <c r="K16" s="1017">
        <f t="shared" si="1"/>
        <v>174</v>
      </c>
      <c r="L16" s="1017">
        <f t="shared" si="1"/>
        <v>174</v>
      </c>
      <c r="M16" s="1017">
        <f t="shared" si="1"/>
        <v>174</v>
      </c>
      <c r="N16" s="1017">
        <f t="shared" si="1"/>
        <v>174</v>
      </c>
      <c r="O16" s="1017">
        <f t="shared" si="1"/>
        <v>174</v>
      </c>
      <c r="P16" s="1017">
        <f t="shared" si="1"/>
        <v>174</v>
      </c>
      <c r="Q16" s="26"/>
      <c r="R16" s="26"/>
    </row>
    <row r="17" spans="1:18" ht="15" customHeight="1">
      <c r="A17" s="26"/>
      <c r="B17" s="26"/>
      <c r="C17" s="26"/>
      <c r="D17" s="26"/>
      <c r="E17" s="26"/>
      <c r="F17" s="165"/>
      <c r="G17" s="165"/>
      <c r="H17" s="165"/>
      <c r="I17" s="165"/>
      <c r="J17" s="165"/>
      <c r="K17" s="165"/>
      <c r="L17" s="165"/>
      <c r="M17" s="165"/>
      <c r="N17" s="165"/>
      <c r="O17" s="165"/>
      <c r="P17" s="165"/>
      <c r="Q17" s="26"/>
      <c r="R17" s="26"/>
    </row>
    <row r="18" spans="1:18" ht="15" customHeight="1">
      <c r="A18" s="26"/>
      <c r="B18" s="26"/>
      <c r="C18" s="26"/>
      <c r="D18" s="26"/>
      <c r="E18" s="26"/>
      <c r="F18" s="165"/>
      <c r="G18" s="165"/>
      <c r="H18" s="165"/>
      <c r="I18" s="165"/>
      <c r="J18" s="165"/>
      <c r="K18" s="165"/>
      <c r="L18" s="165"/>
      <c r="M18" s="165"/>
      <c r="N18" s="165"/>
      <c r="O18" s="165"/>
      <c r="P18" s="165"/>
      <c r="Q18" s="26"/>
      <c r="R18" s="26"/>
    </row>
    <row r="19" spans="1:18" ht="15" customHeight="1">
      <c r="A19" s="26"/>
      <c r="B19" s="26"/>
      <c r="C19" s="26"/>
      <c r="D19" s="26" t="s">
        <v>1861</v>
      </c>
      <c r="E19" s="26"/>
      <c r="F19" s="1018" t="s">
        <v>153</v>
      </c>
      <c r="G19" s="1018" t="s">
        <v>154</v>
      </c>
      <c r="H19" s="1018" t="s">
        <v>155</v>
      </c>
      <c r="I19" s="1018" t="s">
        <v>201</v>
      </c>
      <c r="J19" s="1018" t="s">
        <v>202</v>
      </c>
      <c r="K19" s="1018" t="s">
        <v>203</v>
      </c>
      <c r="L19" s="1018" t="s">
        <v>204</v>
      </c>
      <c r="M19" s="1018" t="s">
        <v>205</v>
      </c>
      <c r="N19" s="1018" t="s">
        <v>206</v>
      </c>
      <c r="O19" s="1018" t="s">
        <v>207</v>
      </c>
      <c r="P19" s="1018" t="s">
        <v>208</v>
      </c>
      <c r="Q19" s="26"/>
      <c r="R19" s="26"/>
    </row>
    <row r="20" spans="1:18" ht="15" customHeight="1">
      <c r="A20" s="26"/>
      <c r="B20" s="24" t="s">
        <v>1862</v>
      </c>
      <c r="C20" s="26"/>
      <c r="D20" s="603" t="s">
        <v>1863</v>
      </c>
      <c r="E20" s="26"/>
      <c r="F20" s="1019" t="s">
        <v>1864</v>
      </c>
      <c r="G20" s="1019" t="s">
        <v>1865</v>
      </c>
      <c r="H20" s="1019" t="s">
        <v>1866</v>
      </c>
      <c r="I20" s="1019" t="s">
        <v>1867</v>
      </c>
      <c r="J20" s="1019" t="s">
        <v>1868</v>
      </c>
      <c r="K20" s="1019" t="s">
        <v>1869</v>
      </c>
      <c r="L20" s="1019" t="s">
        <v>1870</v>
      </c>
      <c r="M20" s="1019" t="s">
        <v>1871</v>
      </c>
      <c r="N20" s="1019" t="s">
        <v>1872</v>
      </c>
      <c r="O20" s="1019" t="s">
        <v>1873</v>
      </c>
      <c r="P20" s="1019" t="s">
        <v>1874</v>
      </c>
      <c r="Q20" s="26"/>
      <c r="R20" s="26"/>
    </row>
    <row r="21" spans="1:18" ht="28.5" customHeight="1">
      <c r="A21" s="26"/>
      <c r="B21" s="24"/>
      <c r="C21" s="26"/>
      <c r="D21" s="24" t="s">
        <v>1545</v>
      </c>
      <c r="E21" s="24" t="s">
        <v>1860</v>
      </c>
      <c r="F21" s="227"/>
      <c r="G21" s="165"/>
      <c r="H21" s="165"/>
      <c r="I21" s="165"/>
      <c r="J21" s="165"/>
      <c r="K21" s="165"/>
      <c r="L21" s="165"/>
      <c r="M21" s="165"/>
      <c r="N21" s="165"/>
      <c r="O21" s="165"/>
      <c r="P21" s="165"/>
      <c r="Q21" s="26"/>
      <c r="R21" s="26"/>
    </row>
    <row r="22" spans="1:18" ht="15.75" customHeight="1">
      <c r="A22" s="26"/>
      <c r="B22" s="250">
        <v>1</v>
      </c>
      <c r="C22" s="24" t="s">
        <v>261</v>
      </c>
      <c r="D22" s="1012">
        <f>Inputs!$E$290</f>
        <v>5000</v>
      </c>
      <c r="E22" s="1013">
        <f t="shared" ref="E22:E32" si="2">SUM(G22:P22)/SUM($G$16:$P$16)</f>
        <v>8.2293574447670034E-2</v>
      </c>
      <c r="F22" s="1015">
        <f>Inputs!$E$647*Scenarios!$B$12</f>
        <v>4</v>
      </c>
      <c r="G22" s="1015">
        <v>6</v>
      </c>
      <c r="H22" s="1015">
        <f>F22+2</f>
        <v>6</v>
      </c>
      <c r="I22" s="1015">
        <f t="shared" ref="I22:J22" si="3">H22+1</f>
        <v>7</v>
      </c>
      <c r="J22" s="1015">
        <f t="shared" si="3"/>
        <v>8</v>
      </c>
      <c r="K22" s="1015">
        <f>Inputs!$F$647*Scenarios!$B$12</f>
        <v>19</v>
      </c>
      <c r="L22" s="1015">
        <f>Inputs!$F$647*Scenarios!$B$12</f>
        <v>19</v>
      </c>
      <c r="M22" s="1015">
        <f>Inputs!$F$647*Scenarios!$B$12</f>
        <v>19</v>
      </c>
      <c r="N22" s="1015">
        <f>Inputs!$F$647*Scenarios!$B$12</f>
        <v>19</v>
      </c>
      <c r="O22" s="1015">
        <f>Inputs!$F$647*Scenarios!$B$12</f>
        <v>19</v>
      </c>
      <c r="P22" s="1015">
        <f>Inputs!$F$647*Scenarios!$B$12</f>
        <v>19</v>
      </c>
      <c r="Q22" s="1433"/>
      <c r="R22" s="26"/>
    </row>
    <row r="23" spans="1:18" ht="15.75" customHeight="1">
      <c r="A23" s="26"/>
      <c r="B23" s="250">
        <v>2</v>
      </c>
      <c r="C23" s="24" t="s">
        <v>263</v>
      </c>
      <c r="D23" s="1012">
        <f>Inputs!$E$291</f>
        <v>3000</v>
      </c>
      <c r="E23" s="1013">
        <f t="shared" si="2"/>
        <v>7.6457150727977125E-2</v>
      </c>
      <c r="F23" s="1015">
        <f>Inputs!$E$648*Scenarios!$B$12</f>
        <v>4</v>
      </c>
      <c r="G23" s="1015">
        <v>5</v>
      </c>
      <c r="H23" s="1015">
        <f>F23+1</f>
        <v>5</v>
      </c>
      <c r="I23" s="1015">
        <f t="shared" ref="I23:J23" si="4">H23+1</f>
        <v>6</v>
      </c>
      <c r="J23" s="1015">
        <f t="shared" si="4"/>
        <v>7</v>
      </c>
      <c r="K23" s="1015">
        <f>Inputs!$F$648*Scenarios!$B$12</f>
        <v>18</v>
      </c>
      <c r="L23" s="1015">
        <f>Inputs!$F$648*Scenarios!$B$12</f>
        <v>18</v>
      </c>
      <c r="M23" s="1015">
        <f>Inputs!$F$648*Scenarios!$B$12</f>
        <v>18</v>
      </c>
      <c r="N23" s="1015">
        <f>Inputs!$F$648*Scenarios!$B$12</f>
        <v>18</v>
      </c>
      <c r="O23" s="1015">
        <f>Inputs!$F$648*Scenarios!$B$12</f>
        <v>18</v>
      </c>
      <c r="P23" s="1015">
        <f>Inputs!$F$648*Scenarios!$B$12</f>
        <v>18</v>
      </c>
      <c r="Q23" s="1305"/>
      <c r="R23" s="26"/>
    </row>
    <row r="24" spans="1:18" ht="15.75" customHeight="1">
      <c r="A24" s="26"/>
      <c r="B24" s="250">
        <v>3</v>
      </c>
      <c r="C24" s="24" t="s">
        <v>265</v>
      </c>
      <c r="D24" s="1012">
        <f>Inputs!$E$292</f>
        <v>1500</v>
      </c>
      <c r="E24" s="1013">
        <f t="shared" si="2"/>
        <v>5.2527813477236195E-2</v>
      </c>
      <c r="F24" s="1015">
        <f>Inputs!$E$649*Scenarios!$B$12</f>
        <v>0</v>
      </c>
      <c r="G24" s="1015">
        <v>0</v>
      </c>
      <c r="H24" s="1015">
        <f>F24</f>
        <v>0</v>
      </c>
      <c r="I24" s="1015">
        <f t="shared" ref="I24:J24" si="5">H24</f>
        <v>0</v>
      </c>
      <c r="J24" s="1015">
        <f t="shared" si="5"/>
        <v>0</v>
      </c>
      <c r="K24" s="1015">
        <f>Inputs!$F$649*Scenarios!$B$12</f>
        <v>15</v>
      </c>
      <c r="L24" s="1015">
        <f>Inputs!$F$649*Scenarios!$B$12</f>
        <v>15</v>
      </c>
      <c r="M24" s="1015">
        <f>Inputs!$F$649*Scenarios!$B$12</f>
        <v>15</v>
      </c>
      <c r="N24" s="1015">
        <f>Inputs!$F$649*Scenarios!$B$12</f>
        <v>15</v>
      </c>
      <c r="O24" s="1015">
        <f>Inputs!$F$649*Scenarios!$B$12</f>
        <v>15</v>
      </c>
      <c r="P24" s="1015">
        <f>Inputs!$F$649*Scenarios!$B$12</f>
        <v>15</v>
      </c>
      <c r="Q24" s="1305"/>
      <c r="R24" s="26"/>
    </row>
    <row r="25" spans="1:18" ht="15.75" customHeight="1">
      <c r="A25" s="26"/>
      <c r="B25" s="250">
        <v>4</v>
      </c>
      <c r="C25" s="24" t="s">
        <v>1541</v>
      </c>
      <c r="D25" s="1012">
        <f>Inputs!$E$293</f>
        <v>3500</v>
      </c>
      <c r="E25" s="1013">
        <f t="shared" si="2"/>
        <v>9.9219203234779479E-2</v>
      </c>
      <c r="F25" s="1015">
        <f>Inputs!$E$650*Scenarios!$B$12</f>
        <v>12</v>
      </c>
      <c r="G25" s="1015">
        <v>14</v>
      </c>
      <c r="H25" s="1015">
        <f>F25+2</f>
        <v>14</v>
      </c>
      <c r="I25" s="1015">
        <f t="shared" ref="I25:J25" si="6">H25+2</f>
        <v>16</v>
      </c>
      <c r="J25" s="1015">
        <f t="shared" si="6"/>
        <v>18</v>
      </c>
      <c r="K25" s="1015">
        <f>Inputs!$F$650*Scenarios!$B$12</f>
        <v>18</v>
      </c>
      <c r="L25" s="1015">
        <f>Inputs!$F$650*Scenarios!$B$12</f>
        <v>18</v>
      </c>
      <c r="M25" s="1015">
        <f>Inputs!$F$650*Scenarios!$B$12</f>
        <v>18</v>
      </c>
      <c r="N25" s="1015">
        <f>Inputs!$F$650*Scenarios!$B$12</f>
        <v>18</v>
      </c>
      <c r="O25" s="1015">
        <f>Inputs!$F$650*Scenarios!$B$12</f>
        <v>18</v>
      </c>
      <c r="P25" s="1015">
        <f>Inputs!$F$650*Scenarios!$B$12</f>
        <v>18</v>
      </c>
      <c r="Q25" s="1305"/>
      <c r="R25" s="26"/>
    </row>
    <row r="26" spans="1:18" ht="15.75" customHeight="1">
      <c r="A26" s="26"/>
      <c r="B26" s="250">
        <v>5</v>
      </c>
      <c r="C26" s="24" t="s">
        <v>1076</v>
      </c>
      <c r="D26" s="1012">
        <f>Inputs!$E$294</f>
        <v>3500</v>
      </c>
      <c r="E26" s="1013">
        <f t="shared" si="2"/>
        <v>6.186609142874485E-2</v>
      </c>
      <c r="F26" s="1015">
        <f>Inputs!$E$651*Scenarios!$B$12</f>
        <v>4</v>
      </c>
      <c r="G26" s="1015">
        <v>4</v>
      </c>
      <c r="H26" s="1015">
        <f>F26</f>
        <v>4</v>
      </c>
      <c r="I26" s="1015">
        <f t="shared" ref="I26:J26" si="7">H26</f>
        <v>4</v>
      </c>
      <c r="J26" s="1015">
        <f t="shared" si="7"/>
        <v>4</v>
      </c>
      <c r="K26" s="1015">
        <f>Inputs!$F$651*Scenarios!$B$12</f>
        <v>15</v>
      </c>
      <c r="L26" s="1015">
        <f>Inputs!$F$651*Scenarios!$B$12</f>
        <v>15</v>
      </c>
      <c r="M26" s="1015">
        <f>Inputs!$F$651*Scenarios!$B$12</f>
        <v>15</v>
      </c>
      <c r="N26" s="1015">
        <f>Inputs!$F$651*Scenarios!$B$12</f>
        <v>15</v>
      </c>
      <c r="O26" s="1015">
        <f>Inputs!$F$651*Scenarios!$B$12</f>
        <v>15</v>
      </c>
      <c r="P26" s="1015">
        <f>Inputs!$F$651*Scenarios!$B$12</f>
        <v>15</v>
      </c>
      <c r="Q26" s="1305"/>
      <c r="R26" s="26"/>
    </row>
    <row r="27" spans="1:18" ht="15.75" customHeight="1">
      <c r="A27" s="26"/>
      <c r="B27" s="250">
        <v>6</v>
      </c>
      <c r="C27" s="24" t="s">
        <v>1078</v>
      </c>
      <c r="D27" s="1012">
        <f>Inputs!$E$295</f>
        <v>3500</v>
      </c>
      <c r="E27" s="1013">
        <f t="shared" si="2"/>
        <v>5.6613310081021231E-2</v>
      </c>
      <c r="F27" s="1015">
        <f>Inputs!$E$652*Scenarios!$B$12</f>
        <v>0</v>
      </c>
      <c r="G27" s="1015">
        <v>1</v>
      </c>
      <c r="H27" s="1015">
        <f>F27+1</f>
        <v>1</v>
      </c>
      <c r="I27" s="1015">
        <f t="shared" ref="I27:J27" si="8">H27+1</f>
        <v>2</v>
      </c>
      <c r="J27" s="1015">
        <f t="shared" si="8"/>
        <v>3</v>
      </c>
      <c r="K27" s="1015">
        <f>Inputs!$F$652*Scenarios!$B$12</f>
        <v>15</v>
      </c>
      <c r="L27" s="1015">
        <f>Inputs!$F$652*Scenarios!$B$12</f>
        <v>15</v>
      </c>
      <c r="M27" s="1015">
        <f>Inputs!$F$652*Scenarios!$B$12</f>
        <v>15</v>
      </c>
      <c r="N27" s="1015">
        <f>Inputs!$F$652*Scenarios!$B$12</f>
        <v>15</v>
      </c>
      <c r="O27" s="1015">
        <f>Inputs!$F$652*Scenarios!$B$12</f>
        <v>15</v>
      </c>
      <c r="P27" s="1015">
        <f>Inputs!$F$652*Scenarios!$B$12</f>
        <v>15</v>
      </c>
      <c r="Q27" s="1305"/>
      <c r="R27" s="26"/>
    </row>
    <row r="28" spans="1:18" ht="15.75" customHeight="1">
      <c r="A28" s="26"/>
      <c r="B28" s="250">
        <v>7</v>
      </c>
      <c r="C28" s="24" t="s">
        <v>1080</v>
      </c>
      <c r="D28" s="1012">
        <f>Inputs!$E$296</f>
        <v>3500</v>
      </c>
      <c r="E28" s="1013">
        <f t="shared" si="2"/>
        <v>1.7509271159078729E-2</v>
      </c>
      <c r="F28" s="1015">
        <f>Inputs!$E$653*Scenarios!$B$12</f>
        <v>3</v>
      </c>
      <c r="G28" s="1015">
        <v>3</v>
      </c>
      <c r="H28" s="1015">
        <f>F28</f>
        <v>3</v>
      </c>
      <c r="I28" s="1015">
        <f t="shared" ref="I28:J28" si="9">H28</f>
        <v>3</v>
      </c>
      <c r="J28" s="1015">
        <f t="shared" si="9"/>
        <v>3</v>
      </c>
      <c r="K28" s="1015">
        <f>Inputs!$F$653*Scenarios!$B$12</f>
        <v>3</v>
      </c>
      <c r="L28" s="1015">
        <f>Inputs!$F$653*Scenarios!$B$12</f>
        <v>3</v>
      </c>
      <c r="M28" s="1015">
        <f>Inputs!$F$653*Scenarios!$B$12</f>
        <v>3</v>
      </c>
      <c r="N28" s="1015">
        <f>Inputs!$F$653*Scenarios!$B$12</f>
        <v>3</v>
      </c>
      <c r="O28" s="1015">
        <f>Inputs!$F$653*Scenarios!$B$12</f>
        <v>3</v>
      </c>
      <c r="P28" s="1015">
        <f>Inputs!$F$653*Scenarios!$B$12</f>
        <v>3</v>
      </c>
      <c r="Q28" s="1305"/>
      <c r="R28" s="26"/>
    </row>
    <row r="29" spans="1:18" ht="15.75" customHeight="1">
      <c r="A29" s="26"/>
      <c r="B29" s="250">
        <v>8</v>
      </c>
      <c r="C29" s="24" t="s">
        <v>311</v>
      </c>
      <c r="D29" s="1012">
        <f>Inputs!$E$297</f>
        <v>3500</v>
      </c>
      <c r="E29" s="1013">
        <f t="shared" si="2"/>
        <v>0.16633807601124795</v>
      </c>
      <c r="F29" s="1015">
        <f>Inputs!$E$654*Scenarios!$B$12</f>
        <v>26</v>
      </c>
      <c r="G29" s="1015">
        <v>27</v>
      </c>
      <c r="H29" s="1015">
        <f>F29+1</f>
        <v>27</v>
      </c>
      <c r="I29" s="1015">
        <f t="shared" ref="I29:J29" si="10">H29+1</f>
        <v>28</v>
      </c>
      <c r="J29" s="1015">
        <f t="shared" si="10"/>
        <v>29</v>
      </c>
      <c r="K29" s="1015">
        <f>Inputs!$F$654*Scenarios!$B$12</f>
        <v>29</v>
      </c>
      <c r="L29" s="1015">
        <f>Inputs!$F$654*Scenarios!$B$12</f>
        <v>29</v>
      </c>
      <c r="M29" s="1015">
        <f>Inputs!$F$654*Scenarios!$B$12</f>
        <v>29</v>
      </c>
      <c r="N29" s="1015">
        <f>Inputs!$F$654*Scenarios!$B$12</f>
        <v>29</v>
      </c>
      <c r="O29" s="1015">
        <f>Inputs!$F$654*Scenarios!$B$12</f>
        <v>29</v>
      </c>
      <c r="P29" s="1015">
        <f>Inputs!$F$654*Scenarios!$B$12</f>
        <v>29</v>
      </c>
      <c r="Q29" s="1305"/>
      <c r="R29" s="26"/>
    </row>
    <row r="30" spans="1:18" ht="15.75" customHeight="1">
      <c r="A30" s="26"/>
      <c r="B30" s="250">
        <v>9</v>
      </c>
      <c r="C30" s="24" t="s">
        <v>272</v>
      </c>
      <c r="D30" s="1012">
        <f>Inputs!$E$298</f>
        <v>2000</v>
      </c>
      <c r="E30" s="1013">
        <f t="shared" si="2"/>
        <v>4.202225078178895E-2</v>
      </c>
      <c r="F30" s="1015">
        <f>Inputs!$E$655*Scenarios!$B$12</f>
        <v>0</v>
      </c>
      <c r="G30" s="1015">
        <v>0</v>
      </c>
      <c r="H30" s="1015">
        <f t="shared" ref="H30:H32" si="11">F30</f>
        <v>0</v>
      </c>
      <c r="I30" s="1015">
        <f t="shared" ref="I30:J30" si="12">H30</f>
        <v>0</v>
      </c>
      <c r="J30" s="1015">
        <f t="shared" si="12"/>
        <v>0</v>
      </c>
      <c r="K30" s="1015">
        <f>Inputs!$F$655*Scenarios!$B$12</f>
        <v>12</v>
      </c>
      <c r="L30" s="1015">
        <f>Inputs!$F$655*Scenarios!$B$12</f>
        <v>12</v>
      </c>
      <c r="M30" s="1015">
        <f>Inputs!$F$655*Scenarios!$B$12</f>
        <v>12</v>
      </c>
      <c r="N30" s="1015">
        <f>Inputs!$F$655*Scenarios!$B$12</f>
        <v>12</v>
      </c>
      <c r="O30" s="1015">
        <f>Inputs!$F$655*Scenarios!$B$12</f>
        <v>12</v>
      </c>
      <c r="P30" s="1015">
        <f>Inputs!$F$655*Scenarios!$B$12</f>
        <v>12</v>
      </c>
      <c r="Q30" s="1305"/>
      <c r="R30" s="26"/>
    </row>
    <row r="31" spans="1:18" ht="15.75" customHeight="1">
      <c r="A31" s="26"/>
      <c r="B31" s="250">
        <v>10</v>
      </c>
      <c r="C31" s="24" t="s">
        <v>1542</v>
      </c>
      <c r="D31" s="1012">
        <f>Inputs!$E$299</f>
        <v>2000</v>
      </c>
      <c r="E31" s="1013">
        <f t="shared" si="2"/>
        <v>4.6691389757543285E-2</v>
      </c>
      <c r="F31" s="1015">
        <f>Inputs!$E$656*Scenarios!$B$12</f>
        <v>5</v>
      </c>
      <c r="G31" s="1015">
        <v>5</v>
      </c>
      <c r="H31" s="1015">
        <f t="shared" si="11"/>
        <v>5</v>
      </c>
      <c r="I31" s="1015">
        <f t="shared" ref="I31:J31" si="13">H31</f>
        <v>5</v>
      </c>
      <c r="J31" s="1015">
        <f t="shared" si="13"/>
        <v>5</v>
      </c>
      <c r="K31" s="1015">
        <f>Inputs!$F$656*Scenarios!$B$12</f>
        <v>10</v>
      </c>
      <c r="L31" s="1015">
        <f>Inputs!$F$656*Scenarios!$B$12</f>
        <v>10</v>
      </c>
      <c r="M31" s="1015">
        <f>Inputs!$F$656*Scenarios!$B$12</f>
        <v>10</v>
      </c>
      <c r="N31" s="1015">
        <f>Inputs!$F$656*Scenarios!$B$12</f>
        <v>10</v>
      </c>
      <c r="O31" s="1015">
        <f>Inputs!$F$656*Scenarios!$B$12</f>
        <v>10</v>
      </c>
      <c r="P31" s="1015">
        <f>Inputs!$F$656*Scenarios!$B$12</f>
        <v>10</v>
      </c>
      <c r="Q31" s="1305"/>
      <c r="R31" s="26"/>
    </row>
    <row r="32" spans="1:18" ht="15.75" customHeight="1">
      <c r="A32" s="26"/>
      <c r="B32" s="250">
        <v>11</v>
      </c>
      <c r="C32" s="24" t="s">
        <v>1543</v>
      </c>
      <c r="D32" s="1012">
        <f>Inputs!$E$300</f>
        <v>4000</v>
      </c>
      <c r="E32" s="1013">
        <f t="shared" si="2"/>
        <v>9.1048210027209406E-2</v>
      </c>
      <c r="F32" s="1015">
        <f>Inputs!$E$657*Scenarios!$B$12</f>
        <v>0</v>
      </c>
      <c r="G32" s="1015">
        <f>F32*(Inputs!$F$34/12)</f>
        <v>0</v>
      </c>
      <c r="H32" s="1015">
        <f t="shared" si="11"/>
        <v>0</v>
      </c>
      <c r="I32" s="1015">
        <f t="shared" ref="I32:J32" si="14">H32</f>
        <v>0</v>
      </c>
      <c r="J32" s="1015">
        <f t="shared" si="14"/>
        <v>0</v>
      </c>
      <c r="K32" s="1015">
        <f>Inputs!$F$657*Scenarios!$B$12</f>
        <v>26</v>
      </c>
      <c r="L32" s="1015">
        <f>Inputs!$F$657*Scenarios!$B$12</f>
        <v>26</v>
      </c>
      <c r="M32" s="1015">
        <f>Inputs!$F$657*Scenarios!$B$12</f>
        <v>26</v>
      </c>
      <c r="N32" s="1015">
        <f>Inputs!$F$657*Scenarios!$B$12</f>
        <v>26</v>
      </c>
      <c r="O32" s="1015">
        <f>Inputs!$F$657*Scenarios!$B$12</f>
        <v>26</v>
      </c>
      <c r="P32" s="1015">
        <f>Inputs!$F$657*Scenarios!$B$12</f>
        <v>26</v>
      </c>
      <c r="Q32" s="1305"/>
      <c r="R32" s="26"/>
    </row>
    <row r="33" spans="1:18" ht="15.75" customHeight="1">
      <c r="A33" s="26"/>
      <c r="B33" s="26"/>
      <c r="C33" s="230" t="s">
        <v>1875</v>
      </c>
      <c r="D33" s="26"/>
      <c r="E33" s="1020"/>
      <c r="F33" s="1021">
        <f t="shared" ref="F33:P33" si="15">SUM(F22:F32)</f>
        <v>58</v>
      </c>
      <c r="G33" s="1021">
        <f t="shared" si="15"/>
        <v>65</v>
      </c>
      <c r="H33" s="1021">
        <f t="shared" si="15"/>
        <v>65</v>
      </c>
      <c r="I33" s="1021">
        <f t="shared" si="15"/>
        <v>71</v>
      </c>
      <c r="J33" s="1021">
        <f t="shared" si="15"/>
        <v>77</v>
      </c>
      <c r="K33" s="1021">
        <f t="shared" si="15"/>
        <v>180</v>
      </c>
      <c r="L33" s="1021">
        <f t="shared" si="15"/>
        <v>180</v>
      </c>
      <c r="M33" s="1021">
        <f t="shared" si="15"/>
        <v>180</v>
      </c>
      <c r="N33" s="1021">
        <f t="shared" si="15"/>
        <v>180</v>
      </c>
      <c r="O33" s="1021">
        <f t="shared" si="15"/>
        <v>180</v>
      </c>
      <c r="P33" s="1021">
        <f t="shared" si="15"/>
        <v>180</v>
      </c>
      <c r="Q33" s="26"/>
      <c r="R33" s="26"/>
    </row>
    <row r="34" spans="1:18" ht="15.75" customHeight="1">
      <c r="A34" s="26"/>
      <c r="B34" s="26"/>
      <c r="C34" s="24"/>
      <c r="D34" s="26"/>
      <c r="E34" s="1020"/>
      <c r="F34" s="1022"/>
      <c r="G34" s="1022"/>
      <c r="H34" s="1022"/>
      <c r="I34" s="1022"/>
      <c r="J34" s="1022"/>
      <c r="K34" s="1022"/>
      <c r="L34" s="1022"/>
      <c r="M34" s="1022"/>
      <c r="N34" s="1022"/>
      <c r="O34" s="1022"/>
      <c r="P34" s="1022"/>
      <c r="Q34" s="26"/>
      <c r="R34" s="26"/>
    </row>
    <row r="35" spans="1:18" ht="15.75" customHeight="1">
      <c r="A35" s="26"/>
      <c r="B35" s="26"/>
      <c r="C35" s="24"/>
      <c r="D35" s="26"/>
      <c r="E35" s="1020"/>
      <c r="F35" s="1022"/>
      <c r="G35" s="1022"/>
      <c r="H35" s="1022"/>
      <c r="I35" s="1022"/>
      <c r="J35" s="1022"/>
      <c r="K35" s="1022"/>
      <c r="L35" s="1022"/>
      <c r="M35" s="1022"/>
      <c r="N35" s="1022"/>
      <c r="O35" s="1022"/>
      <c r="P35" s="1022"/>
      <c r="Q35" s="26"/>
      <c r="R35" s="26"/>
    </row>
    <row r="36" spans="1:18" ht="15.75" customHeight="1">
      <c r="A36" s="26"/>
      <c r="B36" s="26"/>
      <c r="C36" s="24" t="s">
        <v>1876</v>
      </c>
      <c r="D36" s="26"/>
      <c r="E36" s="26"/>
      <c r="F36" s="165"/>
      <c r="G36" s="227" t="str">
        <f t="shared" ref="G36:P36" si="16">IF(SUM(G16*G33)&lt;365, "Check", "OK")</f>
        <v>OK</v>
      </c>
      <c r="H36" s="227" t="str">
        <f t="shared" si="16"/>
        <v>OK</v>
      </c>
      <c r="I36" s="227" t="str">
        <f t="shared" si="16"/>
        <v>OK</v>
      </c>
      <c r="J36" s="227" t="str">
        <f t="shared" si="16"/>
        <v>OK</v>
      </c>
      <c r="K36" s="227" t="str">
        <f t="shared" si="16"/>
        <v>OK</v>
      </c>
      <c r="L36" s="227" t="str">
        <f t="shared" si="16"/>
        <v>OK</v>
      </c>
      <c r="M36" s="227" t="str">
        <f t="shared" si="16"/>
        <v>OK</v>
      </c>
      <c r="N36" s="227" t="str">
        <f t="shared" si="16"/>
        <v>OK</v>
      </c>
      <c r="O36" s="227" t="str">
        <f t="shared" si="16"/>
        <v>OK</v>
      </c>
      <c r="P36" s="227" t="str">
        <f t="shared" si="16"/>
        <v>OK</v>
      </c>
      <c r="Q36" s="26"/>
      <c r="R36" s="26"/>
    </row>
    <row r="37" spans="1:18" ht="15.75" customHeight="1">
      <c r="A37" s="26"/>
      <c r="B37" s="26"/>
      <c r="C37" s="26"/>
      <c r="D37" s="26"/>
      <c r="E37" s="26"/>
      <c r="F37" s="165"/>
      <c r="G37" s="165"/>
      <c r="H37" s="165"/>
      <c r="I37" s="165"/>
      <c r="J37" s="165"/>
      <c r="K37" s="165"/>
      <c r="L37" s="165"/>
      <c r="M37" s="165"/>
      <c r="N37" s="165"/>
      <c r="O37" s="165"/>
      <c r="P37" s="165"/>
      <c r="Q37" s="26"/>
      <c r="R37" s="26"/>
    </row>
    <row r="38" spans="1:18" ht="15.75" customHeight="1">
      <c r="A38" s="26"/>
      <c r="B38" s="26"/>
      <c r="C38" s="26"/>
      <c r="D38" s="1004" t="str">
        <f t="shared" ref="D38:D39" si="17">D19</f>
        <v>Financial Year</v>
      </c>
      <c r="E38" s="26"/>
      <c r="F38" s="227" t="str">
        <f t="shared" ref="F38:P38" si="18">F19</f>
        <v>FY28</v>
      </c>
      <c r="G38" s="227" t="str">
        <f t="shared" si="18"/>
        <v>FY29</v>
      </c>
      <c r="H38" s="227" t="str">
        <f t="shared" si="18"/>
        <v>FY30</v>
      </c>
      <c r="I38" s="227" t="str">
        <f t="shared" si="18"/>
        <v>FY31</v>
      </c>
      <c r="J38" s="227" t="str">
        <f t="shared" si="18"/>
        <v>FY32</v>
      </c>
      <c r="K38" s="227" t="str">
        <f t="shared" si="18"/>
        <v>FY33</v>
      </c>
      <c r="L38" s="227" t="str">
        <f t="shared" si="18"/>
        <v>FY34</v>
      </c>
      <c r="M38" s="227" t="str">
        <f t="shared" si="18"/>
        <v>FY35</v>
      </c>
      <c r="N38" s="227" t="str">
        <f t="shared" si="18"/>
        <v>FY36</v>
      </c>
      <c r="O38" s="227" t="str">
        <f t="shared" si="18"/>
        <v>FY37</v>
      </c>
      <c r="P38" s="227" t="str">
        <f t="shared" si="18"/>
        <v>FY38</v>
      </c>
      <c r="Q38" s="26"/>
      <c r="R38" s="26"/>
    </row>
    <row r="39" spans="1:18" ht="15.75" customHeight="1">
      <c r="A39" s="26"/>
      <c r="B39" s="26"/>
      <c r="C39" s="26"/>
      <c r="D39" s="224" t="str">
        <f t="shared" si="17"/>
        <v>Calendar Year</v>
      </c>
      <c r="E39" s="24"/>
      <c r="F39" s="250" t="str">
        <f t="shared" ref="F39:P39" si="19">F20</f>
        <v>28/29</v>
      </c>
      <c r="G39" s="250" t="str">
        <f t="shared" si="19"/>
        <v>29/30</v>
      </c>
      <c r="H39" s="250" t="str">
        <f t="shared" si="19"/>
        <v>30/31</v>
      </c>
      <c r="I39" s="250" t="str">
        <f t="shared" si="19"/>
        <v>31/32</v>
      </c>
      <c r="J39" s="250" t="str">
        <f t="shared" si="19"/>
        <v>32/33</v>
      </c>
      <c r="K39" s="250" t="str">
        <f t="shared" si="19"/>
        <v>33/34</v>
      </c>
      <c r="L39" s="250" t="str">
        <f t="shared" si="19"/>
        <v>34/35</v>
      </c>
      <c r="M39" s="250" t="str">
        <f t="shared" si="19"/>
        <v>35/36</v>
      </c>
      <c r="N39" s="250" t="str">
        <f t="shared" si="19"/>
        <v>36/37</v>
      </c>
      <c r="O39" s="250" t="str">
        <f t="shared" si="19"/>
        <v>37/38</v>
      </c>
      <c r="P39" s="250" t="str">
        <f t="shared" si="19"/>
        <v>38/39</v>
      </c>
      <c r="Q39" s="26"/>
      <c r="R39" s="26"/>
    </row>
    <row r="40" spans="1:18" ht="28.5" customHeight="1">
      <c r="A40" s="26"/>
      <c r="B40" s="24" t="s">
        <v>1877</v>
      </c>
      <c r="C40" s="26"/>
      <c r="D40" s="24" t="s">
        <v>1545</v>
      </c>
      <c r="E40" s="24" t="s">
        <v>1878</v>
      </c>
      <c r="F40" s="180"/>
      <c r="G40" s="148"/>
      <c r="H40" s="148"/>
      <c r="I40" s="180"/>
      <c r="J40" s="180"/>
      <c r="K40" s="180"/>
      <c r="L40" s="180"/>
      <c r="M40" s="180"/>
      <c r="N40" s="180"/>
      <c r="O40" s="180"/>
      <c r="P40" s="180"/>
      <c r="Q40" s="26"/>
      <c r="R40" s="26"/>
    </row>
    <row r="41" spans="1:18" ht="15.75" customHeight="1">
      <c r="A41" s="26"/>
      <c r="B41" s="250">
        <v>1</v>
      </c>
      <c r="C41" s="24" t="s">
        <v>261</v>
      </c>
      <c r="D41" s="1012">
        <f>Inputs!$E$632</f>
        <v>5000</v>
      </c>
      <c r="E41" s="1013">
        <f>Inputs!$E$662</f>
        <v>0.8</v>
      </c>
      <c r="F41" s="770">
        <f t="shared" ref="F41:P41" si="20">$D$41*$E$41*F5</f>
        <v>68020</v>
      </c>
      <c r="G41" s="770">
        <f t="shared" si="20"/>
        <v>69464</v>
      </c>
      <c r="H41" s="770">
        <f t="shared" si="20"/>
        <v>70908</v>
      </c>
      <c r="I41" s="770">
        <f t="shared" si="20"/>
        <v>76000</v>
      </c>
      <c r="J41" s="770">
        <f t="shared" si="20"/>
        <v>76000</v>
      </c>
      <c r="K41" s="770">
        <f t="shared" si="20"/>
        <v>76000</v>
      </c>
      <c r="L41" s="770">
        <f t="shared" si="20"/>
        <v>76000</v>
      </c>
      <c r="M41" s="770">
        <f t="shared" si="20"/>
        <v>76000</v>
      </c>
      <c r="N41" s="770">
        <f t="shared" si="20"/>
        <v>76000</v>
      </c>
      <c r="O41" s="770">
        <f t="shared" si="20"/>
        <v>76000</v>
      </c>
      <c r="P41" s="770">
        <f t="shared" si="20"/>
        <v>76000</v>
      </c>
      <c r="Q41" s="1433"/>
      <c r="R41" s="26"/>
    </row>
    <row r="42" spans="1:18" ht="15.75" customHeight="1">
      <c r="A42" s="26"/>
      <c r="B42" s="250">
        <v>2</v>
      </c>
      <c r="C42" s="24" t="s">
        <v>263</v>
      </c>
      <c r="D42" s="1012">
        <f>Inputs!$E$633</f>
        <v>3000</v>
      </c>
      <c r="E42" s="1013">
        <f>Inputs!$E$663</f>
        <v>0.8</v>
      </c>
      <c r="F42" s="770">
        <f t="shared" ref="F42:P42" si="21">$D$42*$E$42*F6</f>
        <v>38664</v>
      </c>
      <c r="G42" s="770">
        <f t="shared" si="21"/>
        <v>39484.800000000003</v>
      </c>
      <c r="H42" s="770">
        <f t="shared" si="21"/>
        <v>40305.599999999999</v>
      </c>
      <c r="I42" s="770">
        <f t="shared" si="21"/>
        <v>43200</v>
      </c>
      <c r="J42" s="770">
        <f t="shared" si="21"/>
        <v>43200</v>
      </c>
      <c r="K42" s="770">
        <f t="shared" si="21"/>
        <v>43200</v>
      </c>
      <c r="L42" s="770">
        <f t="shared" si="21"/>
        <v>43200</v>
      </c>
      <c r="M42" s="770">
        <f t="shared" si="21"/>
        <v>43200</v>
      </c>
      <c r="N42" s="770">
        <f t="shared" si="21"/>
        <v>43200</v>
      </c>
      <c r="O42" s="770">
        <f t="shared" si="21"/>
        <v>43200</v>
      </c>
      <c r="P42" s="770">
        <f t="shared" si="21"/>
        <v>43200</v>
      </c>
      <c r="Q42" s="1305"/>
      <c r="R42" s="26"/>
    </row>
    <row r="43" spans="1:18" ht="15.75" customHeight="1">
      <c r="A43" s="26"/>
      <c r="B43" s="250">
        <v>3</v>
      </c>
      <c r="C43" s="24" t="s">
        <v>265</v>
      </c>
      <c r="D43" s="1012">
        <f>Inputs!$E$634</f>
        <v>1500</v>
      </c>
      <c r="E43" s="1013">
        <f>Inputs!$E$664</f>
        <v>0.9</v>
      </c>
      <c r="F43" s="770">
        <f t="shared" ref="F43:P43" si="22">$D$42*$E$42*F7</f>
        <v>32220</v>
      </c>
      <c r="G43" s="770">
        <f t="shared" si="22"/>
        <v>32904</v>
      </c>
      <c r="H43" s="770">
        <f t="shared" si="22"/>
        <v>33588</v>
      </c>
      <c r="I43" s="770">
        <f t="shared" si="22"/>
        <v>36000</v>
      </c>
      <c r="J43" s="770">
        <f t="shared" si="22"/>
        <v>36000</v>
      </c>
      <c r="K43" s="770">
        <f t="shared" si="22"/>
        <v>36000</v>
      </c>
      <c r="L43" s="770">
        <f t="shared" si="22"/>
        <v>36000</v>
      </c>
      <c r="M43" s="770">
        <f t="shared" si="22"/>
        <v>36000</v>
      </c>
      <c r="N43" s="770">
        <f t="shared" si="22"/>
        <v>36000</v>
      </c>
      <c r="O43" s="770">
        <f t="shared" si="22"/>
        <v>36000</v>
      </c>
      <c r="P43" s="770">
        <f t="shared" si="22"/>
        <v>36000</v>
      </c>
      <c r="Q43" s="1305"/>
      <c r="R43" s="26"/>
    </row>
    <row r="44" spans="1:18" ht="15.75" customHeight="1">
      <c r="A44" s="26"/>
      <c r="B44" s="250">
        <v>4</v>
      </c>
      <c r="C44" s="24" t="s">
        <v>1541</v>
      </c>
      <c r="D44" s="1012">
        <f>Inputs!$E$635</f>
        <v>3500</v>
      </c>
      <c r="E44" s="1013">
        <f>Inputs!$E$665</f>
        <v>0.9</v>
      </c>
      <c r="F44" s="770">
        <f t="shared" ref="F44:P44" si="23">$D$42*$E$42*F8</f>
        <v>38664</v>
      </c>
      <c r="G44" s="770">
        <f t="shared" si="23"/>
        <v>39484.800000000003</v>
      </c>
      <c r="H44" s="770">
        <f t="shared" si="23"/>
        <v>40305.599999999999</v>
      </c>
      <c r="I44" s="770">
        <f t="shared" si="23"/>
        <v>43200</v>
      </c>
      <c r="J44" s="770">
        <f t="shared" si="23"/>
        <v>43200</v>
      </c>
      <c r="K44" s="770">
        <f t="shared" si="23"/>
        <v>43200</v>
      </c>
      <c r="L44" s="770">
        <f t="shared" si="23"/>
        <v>43200</v>
      </c>
      <c r="M44" s="770">
        <f t="shared" si="23"/>
        <v>43200</v>
      </c>
      <c r="N44" s="770">
        <f t="shared" si="23"/>
        <v>43200</v>
      </c>
      <c r="O44" s="770">
        <f t="shared" si="23"/>
        <v>43200</v>
      </c>
      <c r="P44" s="770">
        <f t="shared" si="23"/>
        <v>43200</v>
      </c>
      <c r="Q44" s="1305"/>
      <c r="R44" s="26"/>
    </row>
    <row r="45" spans="1:18" ht="15.75" customHeight="1">
      <c r="A45" s="26"/>
      <c r="B45" s="250">
        <v>5</v>
      </c>
      <c r="C45" s="24" t="s">
        <v>1076</v>
      </c>
      <c r="D45" s="1012">
        <f>Inputs!$E$636</f>
        <v>3500</v>
      </c>
      <c r="E45" s="1013">
        <f>Inputs!$E$666</f>
        <v>0.9</v>
      </c>
      <c r="F45" s="770">
        <f t="shared" ref="F45:P45" si="24">$D$42*$E$42*F9</f>
        <v>32220</v>
      </c>
      <c r="G45" s="770">
        <f t="shared" si="24"/>
        <v>32904</v>
      </c>
      <c r="H45" s="770">
        <f t="shared" si="24"/>
        <v>33588</v>
      </c>
      <c r="I45" s="770">
        <f t="shared" si="24"/>
        <v>36000</v>
      </c>
      <c r="J45" s="770">
        <f t="shared" si="24"/>
        <v>36000</v>
      </c>
      <c r="K45" s="770">
        <f t="shared" si="24"/>
        <v>36000</v>
      </c>
      <c r="L45" s="770">
        <f t="shared" si="24"/>
        <v>36000</v>
      </c>
      <c r="M45" s="770">
        <f t="shared" si="24"/>
        <v>36000</v>
      </c>
      <c r="N45" s="770">
        <f t="shared" si="24"/>
        <v>36000</v>
      </c>
      <c r="O45" s="770">
        <f t="shared" si="24"/>
        <v>36000</v>
      </c>
      <c r="P45" s="770">
        <f t="shared" si="24"/>
        <v>36000</v>
      </c>
      <c r="Q45" s="1305"/>
      <c r="R45" s="26"/>
    </row>
    <row r="46" spans="1:18" ht="15.75" customHeight="1">
      <c r="A46" s="26"/>
      <c r="B46" s="250">
        <v>6</v>
      </c>
      <c r="C46" s="24" t="s">
        <v>1078</v>
      </c>
      <c r="D46" s="1012">
        <f>Inputs!$E$637</f>
        <v>3500</v>
      </c>
      <c r="E46" s="1013">
        <f>Inputs!$E$667</f>
        <v>0.9</v>
      </c>
      <c r="F46" s="770">
        <f t="shared" ref="F46:P46" si="25">$D$42*$E$42*F10</f>
        <v>32220</v>
      </c>
      <c r="G46" s="770">
        <f t="shared" si="25"/>
        <v>32904</v>
      </c>
      <c r="H46" s="770">
        <f t="shared" si="25"/>
        <v>33588</v>
      </c>
      <c r="I46" s="770">
        <f t="shared" si="25"/>
        <v>36000</v>
      </c>
      <c r="J46" s="770">
        <f t="shared" si="25"/>
        <v>36000</v>
      </c>
      <c r="K46" s="770">
        <f t="shared" si="25"/>
        <v>36000</v>
      </c>
      <c r="L46" s="770">
        <f t="shared" si="25"/>
        <v>36000</v>
      </c>
      <c r="M46" s="770">
        <f t="shared" si="25"/>
        <v>36000</v>
      </c>
      <c r="N46" s="770">
        <f t="shared" si="25"/>
        <v>36000</v>
      </c>
      <c r="O46" s="770">
        <f t="shared" si="25"/>
        <v>36000</v>
      </c>
      <c r="P46" s="770">
        <f t="shared" si="25"/>
        <v>36000</v>
      </c>
      <c r="Q46" s="1305"/>
      <c r="R46" s="26"/>
    </row>
    <row r="47" spans="1:18" ht="15.75" customHeight="1">
      <c r="A47" s="26"/>
      <c r="B47" s="250">
        <v>7</v>
      </c>
      <c r="C47" s="24" t="s">
        <v>1080</v>
      </c>
      <c r="D47" s="1012">
        <f>Inputs!$E$638</f>
        <v>3500</v>
      </c>
      <c r="E47" s="1013">
        <f>Inputs!$E$668</f>
        <v>0.8</v>
      </c>
      <c r="F47" s="770">
        <f t="shared" ref="F47:P47" si="26">$D$42*$E$42*F11</f>
        <v>6444</v>
      </c>
      <c r="G47" s="770">
        <f t="shared" si="26"/>
        <v>6580.8</v>
      </c>
      <c r="H47" s="770">
        <f t="shared" si="26"/>
        <v>6717.6000000000013</v>
      </c>
      <c r="I47" s="770">
        <f t="shared" si="26"/>
        <v>7200</v>
      </c>
      <c r="J47" s="770">
        <f t="shared" si="26"/>
        <v>7200</v>
      </c>
      <c r="K47" s="770">
        <f t="shared" si="26"/>
        <v>7200</v>
      </c>
      <c r="L47" s="770">
        <f t="shared" si="26"/>
        <v>7200</v>
      </c>
      <c r="M47" s="770">
        <f t="shared" si="26"/>
        <v>7200</v>
      </c>
      <c r="N47" s="770">
        <f t="shared" si="26"/>
        <v>7200</v>
      </c>
      <c r="O47" s="770">
        <f t="shared" si="26"/>
        <v>7200</v>
      </c>
      <c r="P47" s="770">
        <f t="shared" si="26"/>
        <v>7200</v>
      </c>
      <c r="Q47" s="1305"/>
      <c r="R47" s="26"/>
    </row>
    <row r="48" spans="1:18" ht="15.75" customHeight="1">
      <c r="A48" s="26"/>
      <c r="B48" s="250">
        <v>8</v>
      </c>
      <c r="C48" s="24" t="s">
        <v>311</v>
      </c>
      <c r="D48" s="1012">
        <f>Inputs!$E$639</f>
        <v>3500</v>
      </c>
      <c r="E48" s="1013">
        <f>Inputs!$E$669</f>
        <v>0.7</v>
      </c>
      <c r="F48" s="770">
        <f t="shared" ref="F48:P48" si="27">$D$42*$E$42*F12</f>
        <v>62292.000000000007</v>
      </c>
      <c r="G48" s="770">
        <f t="shared" si="27"/>
        <v>63614.400000000001</v>
      </c>
      <c r="H48" s="770">
        <f t="shared" si="27"/>
        <v>64936.800000000003</v>
      </c>
      <c r="I48" s="770">
        <f t="shared" si="27"/>
        <v>69600</v>
      </c>
      <c r="J48" s="770">
        <f t="shared" si="27"/>
        <v>69600</v>
      </c>
      <c r="K48" s="770">
        <f t="shared" si="27"/>
        <v>69600</v>
      </c>
      <c r="L48" s="770">
        <f t="shared" si="27"/>
        <v>69600</v>
      </c>
      <c r="M48" s="770">
        <f t="shared" si="27"/>
        <v>69600</v>
      </c>
      <c r="N48" s="770">
        <f t="shared" si="27"/>
        <v>69600</v>
      </c>
      <c r="O48" s="770">
        <f t="shared" si="27"/>
        <v>69600</v>
      </c>
      <c r="P48" s="770">
        <f t="shared" si="27"/>
        <v>69600</v>
      </c>
      <c r="Q48" s="1305"/>
      <c r="R48" s="26"/>
    </row>
    <row r="49" spans="1:18" ht="15.75" customHeight="1">
      <c r="A49" s="26"/>
      <c r="B49" s="250">
        <v>9</v>
      </c>
      <c r="C49" s="24" t="s">
        <v>272</v>
      </c>
      <c r="D49" s="1012">
        <f>Inputs!$E$640</f>
        <v>2000</v>
      </c>
      <c r="E49" s="1013">
        <f>Inputs!$E$670</f>
        <v>1</v>
      </c>
      <c r="F49" s="770">
        <f t="shared" ref="F49:P49" si="28">$D$42*$E$42*F13</f>
        <v>25776</v>
      </c>
      <c r="G49" s="770">
        <f t="shared" si="28"/>
        <v>26323.200000000001</v>
      </c>
      <c r="H49" s="770">
        <f t="shared" si="28"/>
        <v>26870.400000000005</v>
      </c>
      <c r="I49" s="770">
        <f t="shared" si="28"/>
        <v>28800</v>
      </c>
      <c r="J49" s="770">
        <f t="shared" si="28"/>
        <v>28800</v>
      </c>
      <c r="K49" s="770">
        <f t="shared" si="28"/>
        <v>28800</v>
      </c>
      <c r="L49" s="770">
        <f t="shared" si="28"/>
        <v>28800</v>
      </c>
      <c r="M49" s="770">
        <f t="shared" si="28"/>
        <v>28800</v>
      </c>
      <c r="N49" s="770">
        <f t="shared" si="28"/>
        <v>28800</v>
      </c>
      <c r="O49" s="770">
        <f t="shared" si="28"/>
        <v>28800</v>
      </c>
      <c r="P49" s="770">
        <f t="shared" si="28"/>
        <v>28800</v>
      </c>
      <c r="Q49" s="1305"/>
      <c r="R49" s="26"/>
    </row>
    <row r="50" spans="1:18" ht="15.75" customHeight="1">
      <c r="A50" s="26"/>
      <c r="B50" s="250">
        <v>10</v>
      </c>
      <c r="C50" s="24" t="s">
        <v>1542</v>
      </c>
      <c r="D50" s="1012">
        <f>Inputs!$E$641</f>
        <v>2000</v>
      </c>
      <c r="E50" s="1013">
        <f>Inputs!$E$671</f>
        <v>1</v>
      </c>
      <c r="F50" s="770">
        <f t="shared" ref="F50:P50" si="29">$D$42*$E$42*F14</f>
        <v>8592</v>
      </c>
      <c r="G50" s="770">
        <f t="shared" si="29"/>
        <v>8774.4</v>
      </c>
      <c r="H50" s="770">
        <f t="shared" si="29"/>
        <v>8956.8000000000011</v>
      </c>
      <c r="I50" s="770">
        <f t="shared" si="29"/>
        <v>9600</v>
      </c>
      <c r="J50" s="770">
        <f t="shared" si="29"/>
        <v>9600</v>
      </c>
      <c r="K50" s="770">
        <f t="shared" si="29"/>
        <v>9600</v>
      </c>
      <c r="L50" s="770">
        <f t="shared" si="29"/>
        <v>9600</v>
      </c>
      <c r="M50" s="770">
        <f t="shared" si="29"/>
        <v>9600</v>
      </c>
      <c r="N50" s="770">
        <f t="shared" si="29"/>
        <v>9600</v>
      </c>
      <c r="O50" s="770">
        <f t="shared" si="29"/>
        <v>9600</v>
      </c>
      <c r="P50" s="770">
        <f t="shared" si="29"/>
        <v>9600</v>
      </c>
      <c r="Q50" s="1305"/>
      <c r="R50" s="26"/>
    </row>
    <row r="51" spans="1:18" ht="15.75" customHeight="1">
      <c r="A51" s="26"/>
      <c r="B51" s="250">
        <v>11</v>
      </c>
      <c r="C51" s="24" t="s">
        <v>1543</v>
      </c>
      <c r="D51" s="1012">
        <f>Inputs!$E$642</f>
        <v>4000</v>
      </c>
      <c r="E51" s="1013">
        <f>Inputs!$E$672</f>
        <v>1</v>
      </c>
      <c r="F51" s="770">
        <f t="shared" ref="F51:P51" si="30">$D$42*$E$42*F15</f>
        <v>55848</v>
      </c>
      <c r="G51" s="770">
        <f t="shared" si="30"/>
        <v>57033.599999999999</v>
      </c>
      <c r="H51" s="770">
        <f t="shared" si="30"/>
        <v>58219.200000000004</v>
      </c>
      <c r="I51" s="770">
        <f t="shared" si="30"/>
        <v>62400</v>
      </c>
      <c r="J51" s="770">
        <f t="shared" si="30"/>
        <v>62400</v>
      </c>
      <c r="K51" s="770">
        <f t="shared" si="30"/>
        <v>62400</v>
      </c>
      <c r="L51" s="770">
        <f t="shared" si="30"/>
        <v>62400</v>
      </c>
      <c r="M51" s="770">
        <f t="shared" si="30"/>
        <v>62400</v>
      </c>
      <c r="N51" s="770">
        <f t="shared" si="30"/>
        <v>62400</v>
      </c>
      <c r="O51" s="770">
        <f t="shared" si="30"/>
        <v>62400</v>
      </c>
      <c r="P51" s="770">
        <f t="shared" si="30"/>
        <v>62400</v>
      </c>
      <c r="Q51" s="1305"/>
      <c r="R51" s="26"/>
    </row>
    <row r="52" spans="1:18" ht="15.75" customHeight="1">
      <c r="A52" s="26"/>
      <c r="B52" s="26"/>
      <c r="C52" s="230" t="s">
        <v>1879</v>
      </c>
      <c r="D52" s="1012"/>
      <c r="E52" s="1013"/>
      <c r="F52" s="770">
        <f t="shared" ref="F52:P52" si="31">SUM(F41:F51)</f>
        <v>400960</v>
      </c>
      <c r="G52" s="770">
        <f t="shared" si="31"/>
        <v>409472</v>
      </c>
      <c r="H52" s="770">
        <f t="shared" si="31"/>
        <v>417984.00000000006</v>
      </c>
      <c r="I52" s="770">
        <f t="shared" si="31"/>
        <v>448000</v>
      </c>
      <c r="J52" s="770">
        <f t="shared" si="31"/>
        <v>448000</v>
      </c>
      <c r="K52" s="770">
        <f t="shared" si="31"/>
        <v>448000</v>
      </c>
      <c r="L52" s="770">
        <f t="shared" si="31"/>
        <v>448000</v>
      </c>
      <c r="M52" s="770">
        <f t="shared" si="31"/>
        <v>448000</v>
      </c>
      <c r="N52" s="770">
        <f t="shared" si="31"/>
        <v>448000</v>
      </c>
      <c r="O52" s="770">
        <f t="shared" si="31"/>
        <v>448000</v>
      </c>
      <c r="P52" s="770">
        <f t="shared" si="31"/>
        <v>448000</v>
      </c>
      <c r="Q52" s="1305"/>
      <c r="R52" s="26"/>
    </row>
    <row r="53" spans="1:18" ht="15.75" customHeight="1">
      <c r="A53" s="26"/>
      <c r="B53" s="26"/>
      <c r="C53" s="230" t="s">
        <v>1880</v>
      </c>
      <c r="D53" s="1012"/>
      <c r="E53" s="1013"/>
      <c r="F53" s="770">
        <f t="shared" ref="F53:P53" si="32">SUM(F41:F51)+F69</f>
        <v>406491.1</v>
      </c>
      <c r="G53" s="770">
        <f t="shared" si="32"/>
        <v>415120.52</v>
      </c>
      <c r="H53" s="770">
        <f t="shared" si="32"/>
        <v>423749.94000000006</v>
      </c>
      <c r="I53" s="770">
        <f t="shared" si="32"/>
        <v>454180</v>
      </c>
      <c r="J53" s="770">
        <f t="shared" si="32"/>
        <v>454180</v>
      </c>
      <c r="K53" s="770">
        <f t="shared" si="32"/>
        <v>454180</v>
      </c>
      <c r="L53" s="770">
        <f t="shared" si="32"/>
        <v>454180</v>
      </c>
      <c r="M53" s="770">
        <f t="shared" si="32"/>
        <v>454180</v>
      </c>
      <c r="N53" s="770">
        <f t="shared" si="32"/>
        <v>454180</v>
      </c>
      <c r="O53" s="770">
        <f t="shared" si="32"/>
        <v>454180</v>
      </c>
      <c r="P53" s="770">
        <f t="shared" si="32"/>
        <v>454180</v>
      </c>
      <c r="Q53" s="1305"/>
      <c r="R53" s="26"/>
    </row>
    <row r="54" spans="1:18" ht="15.75" customHeight="1">
      <c r="A54" s="26"/>
      <c r="B54" s="26"/>
      <c r="C54" s="766" t="s">
        <v>1881</v>
      </c>
      <c r="D54" s="1023"/>
      <c r="E54" s="1024"/>
      <c r="F54" s="770">
        <f t="shared" ref="F54:P54" si="33">SUM(F41:F47)</f>
        <v>248452</v>
      </c>
      <c r="G54" s="770">
        <f t="shared" si="33"/>
        <v>253726.39999999997</v>
      </c>
      <c r="H54" s="770">
        <f t="shared" si="33"/>
        <v>259000.80000000002</v>
      </c>
      <c r="I54" s="770">
        <f t="shared" si="33"/>
        <v>277600</v>
      </c>
      <c r="J54" s="770">
        <f t="shared" si="33"/>
        <v>277600</v>
      </c>
      <c r="K54" s="770">
        <f t="shared" si="33"/>
        <v>277600</v>
      </c>
      <c r="L54" s="770">
        <f t="shared" si="33"/>
        <v>277600</v>
      </c>
      <c r="M54" s="770">
        <f t="shared" si="33"/>
        <v>277600</v>
      </c>
      <c r="N54" s="770">
        <f t="shared" si="33"/>
        <v>277600</v>
      </c>
      <c r="O54" s="770">
        <f t="shared" si="33"/>
        <v>277600</v>
      </c>
      <c r="P54" s="770">
        <f t="shared" si="33"/>
        <v>277600</v>
      </c>
      <c r="R54" s="26"/>
    </row>
    <row r="55" spans="1:18" ht="15.75" customHeight="1">
      <c r="A55" s="26"/>
      <c r="B55" s="26"/>
      <c r="C55" s="26"/>
      <c r="D55" s="26"/>
      <c r="E55" s="26"/>
      <c r="F55" s="165"/>
      <c r="G55" s="165"/>
      <c r="H55" s="165"/>
      <c r="I55" s="165"/>
      <c r="J55" s="165"/>
      <c r="K55" s="165"/>
      <c r="L55" s="165"/>
      <c r="M55" s="165"/>
      <c r="N55" s="165"/>
      <c r="O55" s="165"/>
      <c r="P55" s="165"/>
      <c r="Q55" s="26"/>
      <c r="R55" s="26"/>
    </row>
    <row r="56" spans="1:18" ht="15.75" customHeight="1">
      <c r="A56" s="26"/>
      <c r="B56" s="26"/>
      <c r="C56" s="26"/>
      <c r="D56" s="603"/>
      <c r="E56" s="26"/>
      <c r="F56" s="227" t="str">
        <f t="shared" ref="F56:P56" si="34">F38</f>
        <v>FY28</v>
      </c>
      <c r="G56" s="227" t="str">
        <f t="shared" si="34"/>
        <v>FY29</v>
      </c>
      <c r="H56" s="227" t="str">
        <f t="shared" si="34"/>
        <v>FY30</v>
      </c>
      <c r="I56" s="227" t="str">
        <f t="shared" si="34"/>
        <v>FY31</v>
      </c>
      <c r="J56" s="227" t="str">
        <f t="shared" si="34"/>
        <v>FY32</v>
      </c>
      <c r="K56" s="227" t="str">
        <f t="shared" si="34"/>
        <v>FY33</v>
      </c>
      <c r="L56" s="227" t="str">
        <f t="shared" si="34"/>
        <v>FY34</v>
      </c>
      <c r="M56" s="227" t="str">
        <f t="shared" si="34"/>
        <v>FY35</v>
      </c>
      <c r="N56" s="227" t="str">
        <f t="shared" si="34"/>
        <v>FY36</v>
      </c>
      <c r="O56" s="227" t="str">
        <f t="shared" si="34"/>
        <v>FY37</v>
      </c>
      <c r="P56" s="227" t="str">
        <f t="shared" si="34"/>
        <v>FY38</v>
      </c>
      <c r="Q56" s="26"/>
      <c r="R56" s="26"/>
    </row>
    <row r="57" spans="1:18" ht="15.75" customHeight="1">
      <c r="A57" s="26"/>
      <c r="B57" s="24" t="s">
        <v>1882</v>
      </c>
      <c r="C57" s="26"/>
      <c r="D57" s="24" t="s">
        <v>1883</v>
      </c>
      <c r="E57" s="24" t="s">
        <v>1878</v>
      </c>
      <c r="F57" s="250" t="str">
        <f t="shared" ref="F57:P57" si="35">F39</f>
        <v>28/29</v>
      </c>
      <c r="G57" s="250" t="str">
        <f t="shared" si="35"/>
        <v>29/30</v>
      </c>
      <c r="H57" s="250" t="str">
        <f t="shared" si="35"/>
        <v>30/31</v>
      </c>
      <c r="I57" s="250" t="str">
        <f t="shared" si="35"/>
        <v>31/32</v>
      </c>
      <c r="J57" s="250" t="str">
        <f t="shared" si="35"/>
        <v>32/33</v>
      </c>
      <c r="K57" s="250" t="str">
        <f t="shared" si="35"/>
        <v>33/34</v>
      </c>
      <c r="L57" s="250" t="str">
        <f t="shared" si="35"/>
        <v>34/35</v>
      </c>
      <c r="M57" s="250" t="str">
        <f t="shared" si="35"/>
        <v>35/36</v>
      </c>
      <c r="N57" s="250" t="str">
        <f t="shared" si="35"/>
        <v>36/37</v>
      </c>
      <c r="O57" s="250" t="str">
        <f t="shared" si="35"/>
        <v>37/38</v>
      </c>
      <c r="P57" s="250" t="str">
        <f t="shared" si="35"/>
        <v>38/39</v>
      </c>
      <c r="Q57" s="26"/>
      <c r="R57" s="140" t="s">
        <v>1884</v>
      </c>
    </row>
    <row r="58" spans="1:18" ht="15.75" customHeight="1">
      <c r="A58" s="26"/>
      <c r="B58" s="250">
        <v>1</v>
      </c>
      <c r="C58" s="24" t="s">
        <v>261</v>
      </c>
      <c r="D58" s="1025">
        <f>Inputs!$D$677</f>
        <v>80</v>
      </c>
      <c r="E58" s="1013">
        <f>Inputs!$E$677</f>
        <v>0.75</v>
      </c>
      <c r="F58" s="770">
        <f t="shared" ref="F58:P58" si="36">$D58*$E58*F5</f>
        <v>1020.3</v>
      </c>
      <c r="G58" s="770">
        <f t="shared" si="36"/>
        <v>1041.96</v>
      </c>
      <c r="H58" s="770">
        <f t="shared" si="36"/>
        <v>1063.6200000000001</v>
      </c>
      <c r="I58" s="770">
        <f t="shared" si="36"/>
        <v>1140</v>
      </c>
      <c r="J58" s="770">
        <f t="shared" si="36"/>
        <v>1140</v>
      </c>
      <c r="K58" s="770">
        <f t="shared" si="36"/>
        <v>1140</v>
      </c>
      <c r="L58" s="770">
        <f t="shared" si="36"/>
        <v>1140</v>
      </c>
      <c r="M58" s="770">
        <f t="shared" si="36"/>
        <v>1140</v>
      </c>
      <c r="N58" s="770">
        <f t="shared" si="36"/>
        <v>1140</v>
      </c>
      <c r="O58" s="770">
        <f t="shared" si="36"/>
        <v>1140</v>
      </c>
      <c r="P58" s="770">
        <f t="shared" si="36"/>
        <v>1140</v>
      </c>
      <c r="Q58" s="1433"/>
      <c r="R58" s="140" t="s">
        <v>1885</v>
      </c>
    </row>
    <row r="59" spans="1:18" ht="15.75" customHeight="1">
      <c r="A59" s="26"/>
      <c r="B59" s="250">
        <v>2</v>
      </c>
      <c r="C59" s="24" t="s">
        <v>263</v>
      </c>
      <c r="D59" s="1025">
        <f>Inputs!$D$678</f>
        <v>80</v>
      </c>
      <c r="E59" s="1013">
        <f>Inputs!$E$678</f>
        <v>0.75</v>
      </c>
      <c r="F59" s="770">
        <f t="shared" ref="F59:P59" si="37">$D59*$E59*F6</f>
        <v>966.59999999999991</v>
      </c>
      <c r="G59" s="770">
        <f t="shared" si="37"/>
        <v>987.12000000000012</v>
      </c>
      <c r="H59" s="770">
        <f t="shared" si="37"/>
        <v>1007.64</v>
      </c>
      <c r="I59" s="770">
        <f t="shared" si="37"/>
        <v>1080</v>
      </c>
      <c r="J59" s="770">
        <f t="shared" si="37"/>
        <v>1080</v>
      </c>
      <c r="K59" s="770">
        <f t="shared" si="37"/>
        <v>1080</v>
      </c>
      <c r="L59" s="770">
        <f t="shared" si="37"/>
        <v>1080</v>
      </c>
      <c r="M59" s="770">
        <f t="shared" si="37"/>
        <v>1080</v>
      </c>
      <c r="N59" s="770">
        <f t="shared" si="37"/>
        <v>1080</v>
      </c>
      <c r="O59" s="770">
        <f t="shared" si="37"/>
        <v>1080</v>
      </c>
      <c r="P59" s="770">
        <f t="shared" si="37"/>
        <v>1080</v>
      </c>
      <c r="Q59" s="1305"/>
      <c r="R59" s="140" t="s">
        <v>1886</v>
      </c>
    </row>
    <row r="60" spans="1:18" ht="15.75" customHeight="1">
      <c r="A60" s="26"/>
      <c r="B60" s="250">
        <v>3</v>
      </c>
      <c r="C60" s="24" t="s">
        <v>265</v>
      </c>
      <c r="D60" s="1025">
        <f>Inputs!$D$679</f>
        <v>80</v>
      </c>
      <c r="E60" s="1013">
        <f>Inputs!$E$679</f>
        <v>0.75</v>
      </c>
      <c r="F60" s="770">
        <f t="shared" ref="F60:P60" si="38">$D60*$E60*F7</f>
        <v>805.5</v>
      </c>
      <c r="G60" s="770">
        <f t="shared" si="38"/>
        <v>822.6</v>
      </c>
      <c r="H60" s="770">
        <f t="shared" si="38"/>
        <v>839.7</v>
      </c>
      <c r="I60" s="770">
        <f t="shared" si="38"/>
        <v>900</v>
      </c>
      <c r="J60" s="770">
        <f t="shared" si="38"/>
        <v>900</v>
      </c>
      <c r="K60" s="770">
        <f t="shared" si="38"/>
        <v>900</v>
      </c>
      <c r="L60" s="770">
        <f t="shared" si="38"/>
        <v>900</v>
      </c>
      <c r="M60" s="770">
        <f t="shared" si="38"/>
        <v>900</v>
      </c>
      <c r="N60" s="770">
        <f t="shared" si="38"/>
        <v>900</v>
      </c>
      <c r="O60" s="770">
        <f t="shared" si="38"/>
        <v>900</v>
      </c>
      <c r="P60" s="770">
        <f t="shared" si="38"/>
        <v>900</v>
      </c>
      <c r="Q60" s="1305"/>
      <c r="R60" s="140" t="s">
        <v>1887</v>
      </c>
    </row>
    <row r="61" spans="1:18" ht="15.75" customHeight="1">
      <c r="A61" s="26"/>
      <c r="B61" s="250">
        <v>4</v>
      </c>
      <c r="C61" s="24" t="s">
        <v>1541</v>
      </c>
      <c r="D61" s="1025">
        <f>Inputs!$D$680</f>
        <v>80</v>
      </c>
      <c r="E61" s="1013">
        <f>Inputs!$E$680</f>
        <v>0.75</v>
      </c>
      <c r="F61" s="770">
        <f t="shared" ref="F61:P61" si="39">$D61*$E61*F8</f>
        <v>966.59999999999991</v>
      </c>
      <c r="G61" s="770">
        <f t="shared" si="39"/>
        <v>987.12000000000012</v>
      </c>
      <c r="H61" s="770">
        <f t="shared" si="39"/>
        <v>1007.64</v>
      </c>
      <c r="I61" s="770">
        <f t="shared" si="39"/>
        <v>1080</v>
      </c>
      <c r="J61" s="770">
        <f t="shared" si="39"/>
        <v>1080</v>
      </c>
      <c r="K61" s="770">
        <f t="shared" si="39"/>
        <v>1080</v>
      </c>
      <c r="L61" s="770">
        <f t="shared" si="39"/>
        <v>1080</v>
      </c>
      <c r="M61" s="770">
        <f t="shared" si="39"/>
        <v>1080</v>
      </c>
      <c r="N61" s="770">
        <f t="shared" si="39"/>
        <v>1080</v>
      </c>
      <c r="O61" s="770">
        <f t="shared" si="39"/>
        <v>1080</v>
      </c>
      <c r="P61" s="770">
        <f t="shared" si="39"/>
        <v>1080</v>
      </c>
      <c r="Q61" s="1305"/>
      <c r="R61" s="26"/>
    </row>
    <row r="62" spans="1:18" ht="15.75" customHeight="1">
      <c r="A62" s="26"/>
      <c r="B62" s="250">
        <v>5</v>
      </c>
      <c r="C62" s="24" t="s">
        <v>1076</v>
      </c>
      <c r="D62" s="1025">
        <f>Inputs!$D$681</f>
        <v>80</v>
      </c>
      <c r="E62" s="1013">
        <f>Inputs!$E$681</f>
        <v>0.75</v>
      </c>
      <c r="F62" s="770">
        <f t="shared" ref="F62:P62" si="40">$D62*$E62*F9</f>
        <v>805.5</v>
      </c>
      <c r="G62" s="770">
        <f t="shared" si="40"/>
        <v>822.6</v>
      </c>
      <c r="H62" s="770">
        <f t="shared" si="40"/>
        <v>839.7</v>
      </c>
      <c r="I62" s="770">
        <f t="shared" si="40"/>
        <v>900</v>
      </c>
      <c r="J62" s="770">
        <f t="shared" si="40"/>
        <v>900</v>
      </c>
      <c r="K62" s="770">
        <f t="shared" si="40"/>
        <v>900</v>
      </c>
      <c r="L62" s="770">
        <f t="shared" si="40"/>
        <v>900</v>
      </c>
      <c r="M62" s="770">
        <f t="shared" si="40"/>
        <v>900</v>
      </c>
      <c r="N62" s="770">
        <f t="shared" si="40"/>
        <v>900</v>
      </c>
      <c r="O62" s="770">
        <f t="shared" si="40"/>
        <v>900</v>
      </c>
      <c r="P62" s="770">
        <f t="shared" si="40"/>
        <v>900</v>
      </c>
      <c r="Q62" s="1305"/>
      <c r="R62" s="26"/>
    </row>
    <row r="63" spans="1:18" ht="15.75" customHeight="1">
      <c r="A63" s="26"/>
      <c r="B63" s="250">
        <v>6</v>
      </c>
      <c r="C63" s="24" t="s">
        <v>1078</v>
      </c>
      <c r="D63" s="1025">
        <f>Inputs!$D$682</f>
        <v>80</v>
      </c>
      <c r="E63" s="1013">
        <f>Inputs!$E$682</f>
        <v>0.75</v>
      </c>
      <c r="F63" s="770">
        <f t="shared" ref="F63:P63" si="41">$D63*$E63*F10</f>
        <v>805.5</v>
      </c>
      <c r="G63" s="770">
        <f t="shared" si="41"/>
        <v>822.6</v>
      </c>
      <c r="H63" s="770">
        <f t="shared" si="41"/>
        <v>839.7</v>
      </c>
      <c r="I63" s="770">
        <f t="shared" si="41"/>
        <v>900</v>
      </c>
      <c r="J63" s="770">
        <f t="shared" si="41"/>
        <v>900</v>
      </c>
      <c r="K63" s="770">
        <f t="shared" si="41"/>
        <v>900</v>
      </c>
      <c r="L63" s="770">
        <f t="shared" si="41"/>
        <v>900</v>
      </c>
      <c r="M63" s="770">
        <f t="shared" si="41"/>
        <v>900</v>
      </c>
      <c r="N63" s="770">
        <f t="shared" si="41"/>
        <v>900</v>
      </c>
      <c r="O63" s="770">
        <f t="shared" si="41"/>
        <v>900</v>
      </c>
      <c r="P63" s="770">
        <f t="shared" si="41"/>
        <v>900</v>
      </c>
      <c r="Q63" s="1305"/>
      <c r="R63" s="26"/>
    </row>
    <row r="64" spans="1:18" ht="15.75" customHeight="1">
      <c r="A64" s="26"/>
      <c r="B64" s="250">
        <v>7</v>
      </c>
      <c r="C64" s="24" t="s">
        <v>1080</v>
      </c>
      <c r="D64" s="1025">
        <f>Inputs!$D$683</f>
        <v>80</v>
      </c>
      <c r="E64" s="1013">
        <f>Inputs!$E$683</f>
        <v>0.75</v>
      </c>
      <c r="F64" s="770">
        <f t="shared" ref="F64:P64" si="42">$D64*$E64*F11</f>
        <v>161.1</v>
      </c>
      <c r="G64" s="770">
        <f t="shared" si="42"/>
        <v>164.52</v>
      </c>
      <c r="H64" s="770">
        <f t="shared" si="42"/>
        <v>167.94000000000003</v>
      </c>
      <c r="I64" s="770">
        <f t="shared" si="42"/>
        <v>180</v>
      </c>
      <c r="J64" s="770">
        <f t="shared" si="42"/>
        <v>180</v>
      </c>
      <c r="K64" s="770">
        <f t="shared" si="42"/>
        <v>180</v>
      </c>
      <c r="L64" s="770">
        <f t="shared" si="42"/>
        <v>180</v>
      </c>
      <c r="M64" s="770">
        <f t="shared" si="42"/>
        <v>180</v>
      </c>
      <c r="N64" s="770">
        <f t="shared" si="42"/>
        <v>180</v>
      </c>
      <c r="O64" s="770">
        <f t="shared" si="42"/>
        <v>180</v>
      </c>
      <c r="P64" s="770">
        <f t="shared" si="42"/>
        <v>180</v>
      </c>
      <c r="Q64" s="1305"/>
      <c r="R64" s="26"/>
    </row>
    <row r="65" spans="1:18" ht="15.75" customHeight="1">
      <c r="A65" s="26"/>
      <c r="B65" s="250">
        <v>8</v>
      </c>
      <c r="C65" s="24" t="s">
        <v>311</v>
      </c>
      <c r="D65" s="1025">
        <f>Inputs!$D$684</f>
        <v>0</v>
      </c>
      <c r="E65" s="1013">
        <f>Inputs!$E$684</f>
        <v>0.7</v>
      </c>
      <c r="F65" s="770">
        <f t="shared" ref="F65:F68" si="43">D65*E65</f>
        <v>0</v>
      </c>
      <c r="G65" s="770">
        <f t="shared" ref="G65:P65" si="44">G12*$F$65</f>
        <v>0</v>
      </c>
      <c r="H65" s="770">
        <f t="shared" si="44"/>
        <v>0</v>
      </c>
      <c r="I65" s="770">
        <f t="shared" si="44"/>
        <v>0</v>
      </c>
      <c r="J65" s="770">
        <f t="shared" si="44"/>
        <v>0</v>
      </c>
      <c r="K65" s="770">
        <f t="shared" si="44"/>
        <v>0</v>
      </c>
      <c r="L65" s="770">
        <f t="shared" si="44"/>
        <v>0</v>
      </c>
      <c r="M65" s="770">
        <f t="shared" si="44"/>
        <v>0</v>
      </c>
      <c r="N65" s="770">
        <f t="shared" si="44"/>
        <v>0</v>
      </c>
      <c r="O65" s="770">
        <f t="shared" si="44"/>
        <v>0</v>
      </c>
      <c r="P65" s="770">
        <f t="shared" si="44"/>
        <v>0</v>
      </c>
      <c r="Q65" s="1305"/>
      <c r="R65" s="26"/>
    </row>
    <row r="66" spans="1:18" ht="15.75" customHeight="1">
      <c r="A66" s="26"/>
      <c r="B66" s="250">
        <v>9</v>
      </c>
      <c r="C66" s="24" t="s">
        <v>272</v>
      </c>
      <c r="D66" s="1025">
        <f>Inputs!$D$685</f>
        <v>0</v>
      </c>
      <c r="E66" s="1013">
        <f>Inputs!$E$685</f>
        <v>1</v>
      </c>
      <c r="F66" s="770">
        <f t="shared" si="43"/>
        <v>0</v>
      </c>
      <c r="G66" s="770">
        <f t="shared" ref="G66:P66" si="45">G13*$F$66</f>
        <v>0</v>
      </c>
      <c r="H66" s="770">
        <f t="shared" si="45"/>
        <v>0</v>
      </c>
      <c r="I66" s="770">
        <f t="shared" si="45"/>
        <v>0</v>
      </c>
      <c r="J66" s="770">
        <f t="shared" si="45"/>
        <v>0</v>
      </c>
      <c r="K66" s="770">
        <f t="shared" si="45"/>
        <v>0</v>
      </c>
      <c r="L66" s="770">
        <f t="shared" si="45"/>
        <v>0</v>
      </c>
      <c r="M66" s="770">
        <f t="shared" si="45"/>
        <v>0</v>
      </c>
      <c r="N66" s="770">
        <f t="shared" si="45"/>
        <v>0</v>
      </c>
      <c r="O66" s="770">
        <f t="shared" si="45"/>
        <v>0</v>
      </c>
      <c r="P66" s="770">
        <f t="shared" si="45"/>
        <v>0</v>
      </c>
      <c r="Q66" s="1305"/>
      <c r="R66" s="26"/>
    </row>
    <row r="67" spans="1:18" ht="15.75" customHeight="1">
      <c r="A67" s="26"/>
      <c r="B67" s="250">
        <v>10</v>
      </c>
      <c r="C67" s="24" t="s">
        <v>1542</v>
      </c>
      <c r="D67" s="1025">
        <f>Inputs!$D$686</f>
        <v>0</v>
      </c>
      <c r="E67" s="1013">
        <f>Inputs!$E$686</f>
        <v>1</v>
      </c>
      <c r="F67" s="770">
        <f t="shared" si="43"/>
        <v>0</v>
      </c>
      <c r="G67" s="770">
        <f t="shared" ref="G67:P67" si="46">G14*$F$67</f>
        <v>0</v>
      </c>
      <c r="H67" s="770">
        <f t="shared" si="46"/>
        <v>0</v>
      </c>
      <c r="I67" s="770">
        <f t="shared" si="46"/>
        <v>0</v>
      </c>
      <c r="J67" s="770">
        <f t="shared" si="46"/>
        <v>0</v>
      </c>
      <c r="K67" s="770">
        <f t="shared" si="46"/>
        <v>0</v>
      </c>
      <c r="L67" s="770">
        <f t="shared" si="46"/>
        <v>0</v>
      </c>
      <c r="M67" s="770">
        <f t="shared" si="46"/>
        <v>0</v>
      </c>
      <c r="N67" s="770">
        <f t="shared" si="46"/>
        <v>0</v>
      </c>
      <c r="O67" s="770">
        <f t="shared" si="46"/>
        <v>0</v>
      </c>
      <c r="P67" s="770">
        <f t="shared" si="46"/>
        <v>0</v>
      </c>
      <c r="Q67" s="1305"/>
      <c r="R67" s="26"/>
    </row>
    <row r="68" spans="1:18" ht="15.75" customHeight="1">
      <c r="A68" s="26"/>
      <c r="B68" s="250">
        <v>11</v>
      </c>
      <c r="C68" s="24" t="s">
        <v>1543</v>
      </c>
      <c r="D68" s="1025">
        <f>Inputs!$D$687</f>
        <v>0</v>
      </c>
      <c r="E68" s="1013">
        <f>Inputs!$E$687</f>
        <v>1</v>
      </c>
      <c r="F68" s="770">
        <f t="shared" si="43"/>
        <v>0</v>
      </c>
      <c r="G68" s="770">
        <f t="shared" ref="G68:P68" si="47">G15*$F$68</f>
        <v>0</v>
      </c>
      <c r="H68" s="770">
        <f t="shared" si="47"/>
        <v>0</v>
      </c>
      <c r="I68" s="770">
        <f t="shared" si="47"/>
        <v>0</v>
      </c>
      <c r="J68" s="770">
        <f t="shared" si="47"/>
        <v>0</v>
      </c>
      <c r="K68" s="770">
        <f t="shared" si="47"/>
        <v>0</v>
      </c>
      <c r="L68" s="770">
        <f t="shared" si="47"/>
        <v>0</v>
      </c>
      <c r="M68" s="770">
        <f t="shared" si="47"/>
        <v>0</v>
      </c>
      <c r="N68" s="770">
        <f t="shared" si="47"/>
        <v>0</v>
      </c>
      <c r="O68" s="770">
        <f t="shared" si="47"/>
        <v>0</v>
      </c>
      <c r="P68" s="770">
        <f t="shared" si="47"/>
        <v>0</v>
      </c>
      <c r="Q68" s="1305"/>
      <c r="R68" s="26"/>
    </row>
    <row r="69" spans="1:18" ht="15.75" customHeight="1">
      <c r="A69" s="26"/>
      <c r="B69" s="603"/>
      <c r="C69" s="26"/>
      <c r="D69" s="26"/>
      <c r="E69" s="1026"/>
      <c r="F69" s="673">
        <f t="shared" ref="F69:P69" si="48">SUM(F58:F68)</f>
        <v>5531.1</v>
      </c>
      <c r="G69" s="673">
        <f t="shared" si="48"/>
        <v>5648.5200000000013</v>
      </c>
      <c r="H69" s="673">
        <f t="shared" si="48"/>
        <v>5765.94</v>
      </c>
      <c r="I69" s="673">
        <f t="shared" si="48"/>
        <v>6180</v>
      </c>
      <c r="J69" s="673">
        <f t="shared" si="48"/>
        <v>6180</v>
      </c>
      <c r="K69" s="673">
        <f t="shared" si="48"/>
        <v>6180</v>
      </c>
      <c r="L69" s="673">
        <f t="shared" si="48"/>
        <v>6180</v>
      </c>
      <c r="M69" s="673">
        <f t="shared" si="48"/>
        <v>6180</v>
      </c>
      <c r="N69" s="673">
        <f t="shared" si="48"/>
        <v>6180</v>
      </c>
      <c r="O69" s="673">
        <f t="shared" si="48"/>
        <v>6180</v>
      </c>
      <c r="P69" s="673">
        <f t="shared" si="48"/>
        <v>6180</v>
      </c>
      <c r="Q69" s="26"/>
      <c r="R69" s="26"/>
    </row>
    <row r="70" spans="1:18" ht="15.75" customHeight="1">
      <c r="A70" s="26"/>
      <c r="B70" s="603"/>
      <c r="C70" s="26"/>
      <c r="D70" s="26"/>
      <c r="E70" s="1026"/>
      <c r="F70" s="165"/>
      <c r="G70" s="165"/>
      <c r="H70" s="165"/>
      <c r="I70" s="165"/>
      <c r="J70" s="165"/>
      <c r="K70" s="165"/>
      <c r="L70" s="165"/>
      <c r="M70" s="165"/>
      <c r="N70" s="165"/>
      <c r="O70" s="165"/>
      <c r="P70" s="165"/>
      <c r="Q70" s="26"/>
      <c r="R70" s="26"/>
    </row>
    <row r="71" spans="1:18" ht="15.75" customHeight="1"/>
    <row r="72" spans="1:18" ht="15.75" customHeight="1">
      <c r="E72" s="233"/>
    </row>
    <row r="73" spans="1:18" ht="15.75" customHeight="1"/>
    <row r="74" spans="1:18" ht="15.75" customHeight="1"/>
    <row r="75" spans="1:18" ht="15.75" customHeight="1"/>
    <row r="76" spans="1:18" ht="15.75" customHeight="1"/>
    <row r="77" spans="1:18" ht="15.75" customHeight="1"/>
    <row r="78" spans="1:18" ht="15.75" customHeight="1"/>
    <row r="79" spans="1:18" ht="15.75" customHeight="1"/>
    <row r="80" spans="1:18"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Q5:Q15"/>
    <mergeCell ref="Q22:Q32"/>
    <mergeCell ref="Q41:Q53"/>
    <mergeCell ref="Q58:Q68"/>
  </mergeCells>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E699"/>
  </sheetPr>
  <dimension ref="A1:T1000"/>
  <sheetViews>
    <sheetView showGridLines="0" topLeftCell="A5" workbookViewId="0"/>
  </sheetViews>
  <sheetFormatPr defaultColWidth="12.6328125" defaultRowHeight="15" customHeight="1"/>
  <cols>
    <col min="1" max="1" width="34" customWidth="1"/>
    <col min="2" max="2" width="25.453125" customWidth="1"/>
    <col min="3" max="3" width="27.453125" customWidth="1"/>
    <col min="4" max="4" width="39.453125" customWidth="1"/>
    <col min="5" max="5" width="14" customWidth="1"/>
    <col min="6" max="6" width="12.453125" customWidth="1"/>
    <col min="7" max="7" width="13.08984375" customWidth="1"/>
    <col min="8" max="8" width="13" customWidth="1"/>
    <col min="9" max="9" width="20.453125" customWidth="1"/>
    <col min="10" max="10" width="24.08984375" customWidth="1"/>
    <col min="11" max="11" width="25.08984375" customWidth="1"/>
    <col min="12" max="12" width="26" customWidth="1"/>
    <col min="13" max="20" width="13" customWidth="1"/>
  </cols>
  <sheetData>
    <row r="1" spans="1:20" ht="24" customHeight="1">
      <c r="A1" s="1027"/>
      <c r="B1" s="1028"/>
      <c r="C1" s="1028"/>
      <c r="D1" s="1028"/>
      <c r="E1" s="1028"/>
      <c r="F1" s="1028"/>
      <c r="G1" s="1028"/>
      <c r="H1" s="1028"/>
      <c r="I1" s="1028"/>
      <c r="J1" s="1028"/>
      <c r="K1" s="1028"/>
      <c r="L1" s="1028"/>
      <c r="M1" s="1028"/>
      <c r="N1" s="1028"/>
      <c r="O1" s="1028"/>
      <c r="P1" s="1028"/>
      <c r="Q1" s="1028"/>
      <c r="R1" s="1028"/>
      <c r="S1" s="1028"/>
      <c r="T1" s="1028"/>
    </row>
    <row r="4" spans="1:20" ht="28.5" customHeight="1">
      <c r="A4" s="26"/>
      <c r="B4" s="26"/>
      <c r="C4" s="24" t="s">
        <v>1888</v>
      </c>
      <c r="D4" s="24" t="s">
        <v>1889</v>
      </c>
      <c r="E4" s="24" t="s">
        <v>1890</v>
      </c>
      <c r="F4" s="24"/>
      <c r="G4" s="26"/>
      <c r="H4" s="26"/>
      <c r="I4" s="24" t="s">
        <v>298</v>
      </c>
      <c r="J4" s="24" t="s">
        <v>494</v>
      </c>
      <c r="K4" s="24" t="s">
        <v>1891</v>
      </c>
      <c r="L4" s="24" t="s">
        <v>1892</v>
      </c>
      <c r="M4" s="26"/>
      <c r="N4" s="26"/>
      <c r="O4" s="26"/>
      <c r="P4" s="26"/>
      <c r="Q4" s="26"/>
      <c r="R4" s="26"/>
      <c r="S4" s="26"/>
      <c r="T4" s="26"/>
    </row>
    <row r="5" spans="1:20" ht="15" customHeight="1">
      <c r="A5" s="24" t="s">
        <v>1893</v>
      </c>
      <c r="B5" s="26"/>
      <c r="C5" s="24" t="s">
        <v>1894</v>
      </c>
      <c r="D5" s="24" t="s">
        <v>1895</v>
      </c>
      <c r="E5" s="1029">
        <v>500000</v>
      </c>
      <c r="F5" s="1029">
        <v>1500000</v>
      </c>
      <c r="G5" s="26"/>
      <c r="H5" s="26"/>
      <c r="I5" s="24" t="s">
        <v>1556</v>
      </c>
      <c r="J5" s="24" t="s">
        <v>1896</v>
      </c>
      <c r="K5" s="24" t="s">
        <v>1897</v>
      </c>
      <c r="L5" s="24" t="s">
        <v>1898</v>
      </c>
      <c r="M5" s="26"/>
      <c r="N5" s="26"/>
      <c r="O5" s="26"/>
      <c r="P5" s="26"/>
      <c r="Q5" s="26"/>
      <c r="R5" s="26"/>
      <c r="S5" s="26"/>
      <c r="T5" s="26"/>
    </row>
    <row r="6" spans="1:20" ht="15" customHeight="1">
      <c r="A6" s="26"/>
      <c r="B6" s="26"/>
      <c r="C6" s="24" t="s">
        <v>1899</v>
      </c>
      <c r="D6" s="24" t="s">
        <v>1900</v>
      </c>
      <c r="E6" s="26"/>
      <c r="F6" s="26"/>
      <c r="G6" s="26"/>
      <c r="H6" s="26"/>
      <c r="I6" s="24" t="s">
        <v>1901</v>
      </c>
      <c r="J6" s="24" t="s">
        <v>1902</v>
      </c>
      <c r="K6" s="24" t="s">
        <v>1903</v>
      </c>
      <c r="L6" s="24" t="s">
        <v>1902</v>
      </c>
      <c r="M6" s="26"/>
      <c r="N6" s="26"/>
      <c r="O6" s="26"/>
      <c r="P6" s="26"/>
      <c r="Q6" s="26"/>
      <c r="R6" s="26"/>
      <c r="S6" s="26"/>
      <c r="T6" s="26"/>
    </row>
    <row r="7" spans="1:20" ht="15" customHeight="1">
      <c r="A7" s="26"/>
      <c r="B7" s="26"/>
      <c r="C7" s="24" t="s">
        <v>1904</v>
      </c>
      <c r="D7" s="24" t="s">
        <v>1905</v>
      </c>
      <c r="E7" s="26"/>
      <c r="F7" s="26"/>
      <c r="G7" s="26"/>
      <c r="H7" s="26"/>
      <c r="I7" s="24" t="s">
        <v>1906</v>
      </c>
      <c r="J7" s="24" t="s">
        <v>1907</v>
      </c>
      <c r="K7" s="24" t="s">
        <v>1908</v>
      </c>
      <c r="L7" s="24" t="s">
        <v>1909</v>
      </c>
      <c r="M7" s="26"/>
      <c r="N7" s="26"/>
      <c r="O7" s="26"/>
      <c r="P7" s="26"/>
      <c r="Q7" s="26"/>
      <c r="R7" s="26"/>
      <c r="S7" s="26"/>
      <c r="T7" s="26"/>
    </row>
    <row r="8" spans="1:20" ht="15" customHeight="1">
      <c r="A8" s="26"/>
      <c r="B8" s="26"/>
      <c r="C8" s="24" t="s">
        <v>1910</v>
      </c>
      <c r="D8" s="24" t="s">
        <v>1911</v>
      </c>
      <c r="E8" s="26"/>
      <c r="F8" s="26"/>
      <c r="G8" s="26"/>
      <c r="H8" s="26"/>
      <c r="I8" s="24" t="s">
        <v>1912</v>
      </c>
      <c r="J8" s="24" t="s">
        <v>1913</v>
      </c>
      <c r="K8" s="24" t="s">
        <v>1914</v>
      </c>
      <c r="L8" s="24" t="s">
        <v>1915</v>
      </c>
      <c r="M8" s="26"/>
      <c r="N8" s="26"/>
      <c r="O8" s="26"/>
      <c r="P8" s="26"/>
      <c r="Q8" s="26"/>
      <c r="R8" s="26"/>
      <c r="S8" s="26"/>
      <c r="T8" s="26"/>
    </row>
    <row r="9" spans="1:20" ht="15" customHeight="1">
      <c r="A9" s="26"/>
      <c r="B9" s="26"/>
      <c r="C9" s="24" t="s">
        <v>1916</v>
      </c>
      <c r="D9" s="24" t="s">
        <v>1917</v>
      </c>
      <c r="E9" s="26"/>
      <c r="F9" s="26"/>
      <c r="G9" s="26"/>
      <c r="H9" s="26"/>
      <c r="I9" s="24" t="s">
        <v>1918</v>
      </c>
      <c r="J9" s="24" t="s">
        <v>1913</v>
      </c>
      <c r="K9" s="24" t="s">
        <v>1903</v>
      </c>
      <c r="L9" s="24" t="s">
        <v>1913</v>
      </c>
      <c r="M9" s="26"/>
      <c r="N9" s="26"/>
      <c r="O9" s="26"/>
      <c r="P9" s="26"/>
      <c r="Q9" s="26"/>
      <c r="R9" s="26"/>
      <c r="S9" s="26"/>
      <c r="T9" s="26"/>
    </row>
    <row r="10" spans="1:20" ht="15" customHeight="1">
      <c r="A10" s="26"/>
      <c r="B10" s="26"/>
      <c r="C10" s="24" t="s">
        <v>1919</v>
      </c>
      <c r="D10" s="24" t="s">
        <v>1920</v>
      </c>
      <c r="E10" s="26"/>
      <c r="F10" s="26"/>
      <c r="G10" s="26"/>
      <c r="H10" s="26"/>
      <c r="I10" s="24" t="s">
        <v>1557</v>
      </c>
      <c r="J10" s="24" t="s">
        <v>1921</v>
      </c>
      <c r="K10" s="24" t="s">
        <v>1903</v>
      </c>
      <c r="L10" s="24" t="s">
        <v>1921</v>
      </c>
      <c r="M10" s="26"/>
      <c r="N10" s="26"/>
      <c r="O10" s="26"/>
      <c r="P10" s="26"/>
      <c r="Q10" s="26"/>
      <c r="R10" s="26"/>
      <c r="S10" s="26"/>
      <c r="T10" s="26"/>
    </row>
    <row r="11" spans="1:20" ht="15" customHeight="1">
      <c r="A11" s="26"/>
      <c r="B11" s="26"/>
      <c r="C11" s="24" t="s">
        <v>1922</v>
      </c>
      <c r="D11" s="237"/>
      <c r="E11" s="26"/>
      <c r="F11" s="26"/>
      <c r="G11" s="26"/>
      <c r="H11" s="26"/>
      <c r="I11" s="24" t="s">
        <v>1923</v>
      </c>
      <c r="J11" s="24" t="s">
        <v>1914</v>
      </c>
      <c r="K11" s="24" t="s">
        <v>1897</v>
      </c>
      <c r="L11" s="24" t="s">
        <v>1914</v>
      </c>
      <c r="M11" s="26"/>
      <c r="N11" s="26"/>
      <c r="O11" s="26"/>
      <c r="P11" s="26"/>
      <c r="Q11" s="26"/>
      <c r="R11" s="26"/>
      <c r="S11" s="26"/>
      <c r="T11" s="26"/>
    </row>
    <row r="12" spans="1:20" ht="15" customHeight="1">
      <c r="A12" s="26"/>
      <c r="B12" s="26"/>
      <c r="C12" s="26"/>
      <c r="D12" s="26"/>
      <c r="E12" s="26"/>
      <c r="F12" s="26"/>
      <c r="G12" s="26"/>
      <c r="H12" s="26"/>
      <c r="I12" s="24" t="s">
        <v>1924</v>
      </c>
      <c r="J12" s="24" t="s">
        <v>1925</v>
      </c>
      <c r="K12" s="24" t="s">
        <v>1897</v>
      </c>
      <c r="L12" s="24" t="s">
        <v>1925</v>
      </c>
      <c r="M12" s="26"/>
      <c r="N12" s="26"/>
      <c r="O12" s="26"/>
      <c r="P12" s="26"/>
      <c r="Q12" s="26"/>
      <c r="R12" s="26"/>
      <c r="S12" s="26"/>
      <c r="T12" s="26"/>
    </row>
    <row r="13" spans="1:20" ht="15" customHeight="1">
      <c r="A13" s="26"/>
      <c r="B13" s="26"/>
      <c r="C13" s="26"/>
      <c r="D13" s="26"/>
      <c r="E13" s="26"/>
      <c r="F13" s="26"/>
      <c r="G13" s="26"/>
      <c r="H13" s="26"/>
      <c r="I13" s="24" t="s">
        <v>1926</v>
      </c>
      <c r="J13" s="24" t="s">
        <v>1927</v>
      </c>
      <c r="K13" s="24" t="s">
        <v>1903</v>
      </c>
      <c r="L13" s="24" t="s">
        <v>1927</v>
      </c>
      <c r="M13" s="26"/>
      <c r="N13" s="26"/>
      <c r="O13" s="26"/>
      <c r="P13" s="26"/>
      <c r="Q13" s="26"/>
      <c r="R13" s="26"/>
      <c r="S13" s="26"/>
      <c r="T13" s="26"/>
    </row>
    <row r="14" spans="1:20" ht="15" customHeight="1">
      <c r="A14" s="24" t="s">
        <v>1928</v>
      </c>
      <c r="B14" s="26"/>
      <c r="C14" s="24" t="s">
        <v>1929</v>
      </c>
      <c r="D14" s="24" t="s">
        <v>1930</v>
      </c>
      <c r="E14" s="1029">
        <v>150000</v>
      </c>
      <c r="F14" s="1029">
        <v>350000</v>
      </c>
      <c r="G14" s="26"/>
      <c r="H14" s="26"/>
      <c r="I14" s="26"/>
      <c r="J14" s="26"/>
      <c r="K14" s="26"/>
      <c r="L14" s="26"/>
      <c r="M14" s="26"/>
      <c r="N14" s="26"/>
      <c r="O14" s="26"/>
      <c r="P14" s="26"/>
      <c r="Q14" s="26"/>
      <c r="R14" s="26"/>
      <c r="S14" s="26"/>
      <c r="T14" s="26"/>
    </row>
    <row r="15" spans="1:20" ht="15" customHeight="1">
      <c r="A15" s="26"/>
      <c r="B15" s="26"/>
      <c r="C15" s="24" t="s">
        <v>1931</v>
      </c>
      <c r="D15" s="24" t="s">
        <v>1932</v>
      </c>
      <c r="E15" s="237"/>
      <c r="F15" s="26"/>
      <c r="G15" s="26"/>
      <c r="H15" s="26"/>
      <c r="I15" s="26"/>
      <c r="J15" s="26"/>
      <c r="K15" s="26"/>
      <c r="L15" s="26"/>
      <c r="M15" s="26"/>
      <c r="N15" s="26"/>
      <c r="O15" s="26"/>
      <c r="P15" s="26"/>
      <c r="Q15" s="26"/>
      <c r="R15" s="26"/>
      <c r="S15" s="26"/>
      <c r="T15" s="26"/>
    </row>
    <row r="16" spans="1:20" ht="15" customHeight="1">
      <c r="A16" s="26"/>
      <c r="B16" s="26"/>
      <c r="C16" s="24" t="s">
        <v>1910</v>
      </c>
      <c r="D16" s="24" t="s">
        <v>1933</v>
      </c>
      <c r="E16" s="237"/>
      <c r="F16" s="26"/>
      <c r="G16" s="26"/>
      <c r="H16" s="26"/>
      <c r="I16" s="26"/>
      <c r="J16" s="26"/>
      <c r="K16" s="26"/>
      <c r="L16" s="26"/>
      <c r="M16" s="26"/>
      <c r="N16" s="738"/>
      <c r="O16" s="738"/>
      <c r="P16" s="738"/>
      <c r="Q16" s="26"/>
      <c r="R16" s="26"/>
      <c r="S16" s="26"/>
      <c r="T16" s="26"/>
    </row>
    <row r="17" spans="1:20" ht="15" customHeight="1">
      <c r="A17" s="26"/>
      <c r="B17" s="26"/>
      <c r="C17" s="24" t="s">
        <v>1934</v>
      </c>
      <c r="D17" s="24" t="s">
        <v>1935</v>
      </c>
      <c r="E17" s="237"/>
      <c r="F17" s="26"/>
      <c r="G17" s="26"/>
      <c r="H17" s="26"/>
      <c r="I17" s="24" t="s">
        <v>1936</v>
      </c>
      <c r="J17" s="24"/>
      <c r="K17" s="24"/>
      <c r="L17" s="24"/>
      <c r="M17" s="24"/>
      <c r="N17" s="26"/>
      <c r="O17" s="253"/>
      <c r="P17" s="603"/>
      <c r="Q17" s="26"/>
      <c r="R17" s="26"/>
      <c r="S17" s="26"/>
      <c r="T17" s="26"/>
    </row>
    <row r="18" spans="1:20" ht="16.5" customHeight="1">
      <c r="A18" s="26"/>
      <c r="B18" s="26"/>
      <c r="C18" s="24" t="s">
        <v>1937</v>
      </c>
      <c r="D18" s="24" t="s">
        <v>1938</v>
      </c>
      <c r="E18" s="237"/>
      <c r="F18" s="26"/>
      <c r="G18" s="26"/>
      <c r="H18" s="26"/>
      <c r="I18" s="26"/>
      <c r="J18" s="24" t="s">
        <v>1939</v>
      </c>
      <c r="K18" s="24" t="s">
        <v>1940</v>
      </c>
      <c r="L18" s="24" t="s">
        <v>1941</v>
      </c>
      <c r="M18" s="24" t="s">
        <v>1942</v>
      </c>
      <c r="N18" s="26"/>
      <c r="O18" s="26"/>
      <c r="P18" s="26"/>
      <c r="Q18" s="26"/>
      <c r="R18" s="26"/>
      <c r="S18" s="26"/>
      <c r="T18" s="26"/>
    </row>
    <row r="19" spans="1:20" ht="15" customHeight="1">
      <c r="A19" s="26"/>
      <c r="B19" s="26"/>
      <c r="C19" s="26"/>
      <c r="D19" s="26"/>
      <c r="E19" s="26"/>
      <c r="F19" s="26"/>
      <c r="G19" s="26"/>
      <c r="H19" s="26"/>
      <c r="I19" s="24" t="s">
        <v>1943</v>
      </c>
      <c r="J19" s="250">
        <v>12.12</v>
      </c>
      <c r="K19" s="250">
        <v>2.44</v>
      </c>
      <c r="L19" s="250">
        <v>2.9</v>
      </c>
      <c r="M19" s="24">
        <f t="shared" ref="M19:M23" si="0">J19*K19</f>
        <v>29.572799999999997</v>
      </c>
      <c r="N19" s="26"/>
      <c r="O19" s="26"/>
      <c r="P19" s="26"/>
      <c r="Q19" s="26"/>
      <c r="R19" s="26"/>
      <c r="S19" s="26"/>
      <c r="T19" s="26"/>
    </row>
    <row r="20" spans="1:20" ht="15" customHeight="1">
      <c r="A20" s="26"/>
      <c r="B20" s="26"/>
      <c r="C20" s="26"/>
      <c r="D20" s="26"/>
      <c r="E20" s="26"/>
      <c r="F20" s="26"/>
      <c r="G20" s="26"/>
      <c r="H20" s="26"/>
      <c r="I20" s="24" t="s">
        <v>1944</v>
      </c>
      <c r="J20" s="250">
        <v>6.06</v>
      </c>
      <c r="K20" s="250">
        <v>2.44</v>
      </c>
      <c r="L20" s="250">
        <v>2.9</v>
      </c>
      <c r="M20" s="24">
        <f t="shared" si="0"/>
        <v>14.786399999999999</v>
      </c>
      <c r="N20" s="26"/>
      <c r="O20" s="24" t="s">
        <v>1945</v>
      </c>
      <c r="P20" s="26"/>
      <c r="Q20" s="26"/>
      <c r="R20" s="26"/>
      <c r="S20" s="26"/>
      <c r="T20" s="26"/>
    </row>
    <row r="21" spans="1:20" ht="15.75" customHeight="1">
      <c r="A21" s="24" t="s">
        <v>1946</v>
      </c>
      <c r="B21" s="26"/>
      <c r="C21" s="24" t="s">
        <v>1947</v>
      </c>
      <c r="D21" s="24" t="s">
        <v>1948</v>
      </c>
      <c r="E21" s="24" t="s">
        <v>494</v>
      </c>
      <c r="F21" s="24"/>
      <c r="G21" s="26"/>
      <c r="H21" s="26"/>
      <c r="I21" s="24" t="s">
        <v>1949</v>
      </c>
      <c r="J21" s="250">
        <v>12.12</v>
      </c>
      <c r="K21" s="250">
        <v>4.88</v>
      </c>
      <c r="L21" s="250">
        <v>2.9</v>
      </c>
      <c r="M21" s="24">
        <f t="shared" si="0"/>
        <v>59.145599999999995</v>
      </c>
      <c r="N21" s="26"/>
      <c r="O21" s="24" t="s">
        <v>1950</v>
      </c>
      <c r="P21" s="250">
        <v>20</v>
      </c>
      <c r="Q21" s="26"/>
      <c r="R21" s="26"/>
      <c r="S21" s="26"/>
      <c r="T21" s="24" t="s">
        <v>1951</v>
      </c>
    </row>
    <row r="22" spans="1:20" ht="15.75" customHeight="1">
      <c r="A22" s="26"/>
      <c r="B22" s="26"/>
      <c r="C22" s="24" t="s">
        <v>1952</v>
      </c>
      <c r="D22" s="24" t="s">
        <v>1953</v>
      </c>
      <c r="E22" s="1029">
        <v>150000</v>
      </c>
      <c r="F22" s="1029">
        <v>500000</v>
      </c>
      <c r="G22" s="26"/>
      <c r="H22" s="26"/>
      <c r="I22" s="24" t="s">
        <v>1954</v>
      </c>
      <c r="J22" s="250">
        <v>12.12</v>
      </c>
      <c r="K22" s="250">
        <v>1.2</v>
      </c>
      <c r="L22" s="603"/>
      <c r="M22" s="24">
        <f t="shared" si="0"/>
        <v>14.543999999999999</v>
      </c>
      <c r="N22" s="26"/>
      <c r="O22" s="24" t="s">
        <v>1955</v>
      </c>
      <c r="P22" s="250">
        <v>3.5</v>
      </c>
      <c r="Q22" s="26"/>
      <c r="R22" s="26"/>
      <c r="S22" s="26"/>
      <c r="T22" s="26"/>
    </row>
    <row r="23" spans="1:20" ht="15.75" customHeight="1">
      <c r="A23" s="26"/>
      <c r="B23" s="26"/>
      <c r="C23" s="24" t="s">
        <v>1956</v>
      </c>
      <c r="D23" s="24" t="s">
        <v>1957</v>
      </c>
      <c r="E23" s="1030"/>
      <c r="F23" s="1030"/>
      <c r="G23" s="26"/>
      <c r="H23" s="26"/>
      <c r="I23" s="24" t="s">
        <v>1958</v>
      </c>
      <c r="J23" s="250">
        <v>12.12</v>
      </c>
      <c r="K23" s="24">
        <f>K21+K22</f>
        <v>6.08</v>
      </c>
      <c r="L23" s="603"/>
      <c r="M23" s="24">
        <f t="shared" si="0"/>
        <v>73.689599999999999</v>
      </c>
      <c r="N23" s="26"/>
      <c r="O23" s="24" t="s">
        <v>1959</v>
      </c>
      <c r="P23" s="24">
        <f>P21*P22</f>
        <v>70</v>
      </c>
      <c r="Q23" s="26"/>
      <c r="R23" s="26"/>
      <c r="S23" s="26"/>
      <c r="T23" s="26"/>
    </row>
    <row r="24" spans="1:20" ht="15.75" customHeight="1">
      <c r="A24" s="26"/>
      <c r="B24" s="26"/>
      <c r="C24" s="24" t="s">
        <v>1960</v>
      </c>
      <c r="D24" s="24" t="s">
        <v>1961</v>
      </c>
      <c r="E24" s="24" t="s">
        <v>1891</v>
      </c>
      <c r="F24" s="24"/>
      <c r="G24" s="26"/>
      <c r="H24" s="26"/>
      <c r="I24" s="26"/>
      <c r="J24" s="26"/>
      <c r="K24" s="26"/>
      <c r="L24" s="26"/>
      <c r="M24" s="26"/>
      <c r="N24" s="26"/>
      <c r="O24" s="24" t="str">
        <f>IF(P23&lt;M23, "OK", "Check")</f>
        <v>OK</v>
      </c>
      <c r="P24" s="603"/>
      <c r="Q24" s="26"/>
      <c r="R24" s="26"/>
      <c r="S24" s="26"/>
      <c r="T24" s="26"/>
    </row>
    <row r="25" spans="1:20" ht="15.75" customHeight="1">
      <c r="A25" s="26"/>
      <c r="B25" s="26"/>
      <c r="C25" s="237"/>
      <c r="D25" s="24" t="s">
        <v>1962</v>
      </c>
      <c r="E25" s="1029">
        <v>150000</v>
      </c>
      <c r="F25" s="1029">
        <v>350000</v>
      </c>
      <c r="G25" s="26"/>
      <c r="H25" s="26"/>
      <c r="I25" s="26"/>
      <c r="J25" s="26"/>
      <c r="K25" s="26"/>
      <c r="L25" s="26"/>
      <c r="M25" s="26"/>
      <c r="N25" s="26"/>
      <c r="O25" s="253"/>
      <c r="P25" s="603"/>
      <c r="Q25" s="26"/>
      <c r="R25" s="26"/>
      <c r="S25" s="26"/>
      <c r="T25" s="26"/>
    </row>
    <row r="26" spans="1:20" ht="15.75" customHeight="1">
      <c r="A26" s="26"/>
      <c r="B26" s="26"/>
      <c r="C26" s="26"/>
      <c r="D26" s="24" t="s">
        <v>1963</v>
      </c>
      <c r="E26" s="26"/>
      <c r="F26" s="26"/>
      <c r="G26" s="26"/>
      <c r="H26" s="26"/>
      <c r="I26" s="26"/>
      <c r="J26" s="26"/>
      <c r="K26" s="26"/>
      <c r="L26" s="26"/>
      <c r="M26" s="26"/>
      <c r="N26" s="26"/>
      <c r="O26" s="253"/>
      <c r="P26" s="603"/>
      <c r="Q26" s="26"/>
      <c r="R26" s="26"/>
      <c r="S26" s="26"/>
      <c r="T26" s="26"/>
    </row>
    <row r="27" spans="1:20" ht="15.75" customHeight="1">
      <c r="A27" s="26"/>
      <c r="B27" s="26"/>
      <c r="C27" s="26"/>
      <c r="D27" s="26"/>
      <c r="E27" s="26"/>
      <c r="F27" s="26"/>
      <c r="G27" s="26"/>
      <c r="H27" s="26"/>
      <c r="I27" s="26"/>
      <c r="J27" s="26"/>
      <c r="K27" s="26"/>
      <c r="L27" s="26"/>
      <c r="M27" s="26"/>
      <c r="N27" s="26"/>
      <c r="O27" s="26"/>
      <c r="P27" s="26"/>
      <c r="Q27" s="26"/>
      <c r="R27" s="26"/>
      <c r="S27" s="26"/>
      <c r="T27" s="26"/>
    </row>
    <row r="28" spans="1:20" ht="15.75" customHeight="1">
      <c r="A28" s="26"/>
      <c r="B28" s="26"/>
      <c r="C28" s="237"/>
      <c r="D28" s="26"/>
      <c r="E28" s="26"/>
      <c r="F28" s="26"/>
      <c r="G28" s="26"/>
      <c r="H28" s="26"/>
      <c r="I28" s="26"/>
      <c r="J28" s="26"/>
      <c r="K28" s="26"/>
      <c r="L28" s="26"/>
      <c r="M28" s="26"/>
      <c r="N28" s="26"/>
      <c r="O28" s="26"/>
      <c r="P28" s="26"/>
      <c r="Q28" s="26"/>
      <c r="R28" s="26"/>
      <c r="S28" s="26"/>
      <c r="T28" s="26"/>
    </row>
    <row r="29" spans="1:20" ht="15.75" customHeight="1">
      <c r="A29" s="24" t="s">
        <v>1964</v>
      </c>
      <c r="B29" s="26"/>
      <c r="C29" s="24" t="s">
        <v>1947</v>
      </c>
      <c r="D29" s="24" t="s">
        <v>1965</v>
      </c>
      <c r="E29" s="24" t="s">
        <v>494</v>
      </c>
      <c r="F29" s="24"/>
      <c r="G29" s="26"/>
      <c r="H29" s="26"/>
      <c r="I29" s="26"/>
      <c r="J29" s="26"/>
      <c r="K29" s="26"/>
      <c r="L29" s="26"/>
      <c r="M29" s="26"/>
      <c r="N29" s="26"/>
      <c r="O29" s="26"/>
      <c r="P29" s="26"/>
      <c r="Q29" s="26"/>
      <c r="R29" s="26"/>
      <c r="S29" s="26"/>
      <c r="T29" s="26"/>
    </row>
    <row r="30" spans="1:20" ht="15.75" customHeight="1">
      <c r="A30" s="26"/>
      <c r="B30" s="26"/>
      <c r="C30" s="24" t="s">
        <v>1966</v>
      </c>
      <c r="D30" s="24" t="s">
        <v>1967</v>
      </c>
      <c r="E30" s="1029">
        <v>150000</v>
      </c>
      <c r="F30" s="1029">
        <v>400000</v>
      </c>
      <c r="G30" s="26"/>
      <c r="H30" s="26"/>
      <c r="I30" s="26"/>
      <c r="J30" s="26"/>
      <c r="K30" s="26"/>
      <c r="L30" s="26"/>
      <c r="M30" s="26"/>
      <c r="N30" s="26"/>
      <c r="O30" s="26"/>
      <c r="P30" s="26"/>
      <c r="Q30" s="26"/>
      <c r="R30" s="26"/>
      <c r="S30" s="26"/>
      <c r="T30" s="26"/>
    </row>
    <row r="31" spans="1:20" ht="15.75" customHeight="1">
      <c r="A31" s="26"/>
      <c r="B31" s="26"/>
      <c r="C31" s="24" t="s">
        <v>1956</v>
      </c>
      <c r="D31" s="24" t="s">
        <v>1968</v>
      </c>
      <c r="E31" s="1030"/>
      <c r="F31" s="1030"/>
      <c r="G31" s="26"/>
      <c r="H31" s="26"/>
      <c r="I31" s="26"/>
      <c r="J31" s="26"/>
      <c r="K31" s="26"/>
      <c r="L31" s="26"/>
      <c r="M31" s="26"/>
      <c r="N31" s="26"/>
      <c r="O31" s="26"/>
      <c r="P31" s="26"/>
      <c r="Q31" s="26"/>
      <c r="R31" s="26"/>
      <c r="S31" s="26"/>
      <c r="T31" s="26"/>
    </row>
    <row r="32" spans="1:20" ht="15.75" customHeight="1">
      <c r="A32" s="26"/>
      <c r="B32" s="26"/>
      <c r="C32" s="24" t="s">
        <v>1969</v>
      </c>
      <c r="D32" s="24" t="s">
        <v>1970</v>
      </c>
      <c r="E32" s="24" t="s">
        <v>1891</v>
      </c>
      <c r="F32" s="24"/>
      <c r="G32" s="26"/>
      <c r="H32" s="26"/>
      <c r="I32" s="26"/>
      <c r="J32" s="26"/>
      <c r="K32" s="26"/>
      <c r="L32" s="26"/>
      <c r="M32" s="26"/>
      <c r="N32" s="26"/>
      <c r="O32" s="26"/>
      <c r="P32" s="26"/>
      <c r="Q32" s="26"/>
      <c r="R32" s="26"/>
      <c r="S32" s="26"/>
      <c r="T32" s="26"/>
    </row>
    <row r="33" spans="1:20" ht="15.75" customHeight="1">
      <c r="A33" s="26"/>
      <c r="B33" s="26"/>
      <c r="C33" s="24" t="s">
        <v>1971</v>
      </c>
      <c r="D33" s="24" t="s">
        <v>1972</v>
      </c>
      <c r="E33" s="1029">
        <v>150000</v>
      </c>
      <c r="F33" s="1029">
        <v>400000</v>
      </c>
      <c r="G33" s="26"/>
      <c r="H33" s="26"/>
      <c r="I33" s="26"/>
      <c r="J33" s="26"/>
      <c r="K33" s="26"/>
      <c r="L33" s="26"/>
      <c r="M33" s="26"/>
      <c r="N33" s="26"/>
      <c r="O33" s="26"/>
      <c r="P33" s="26"/>
      <c r="Q33" s="26"/>
      <c r="R33" s="26"/>
      <c r="S33" s="26"/>
      <c r="T33" s="26"/>
    </row>
    <row r="34" spans="1:20" ht="15.75" customHeight="1">
      <c r="A34" s="26"/>
      <c r="B34" s="26"/>
      <c r="C34" s="237"/>
      <c r="D34" s="24" t="s">
        <v>1973</v>
      </c>
      <c r="E34" s="26"/>
      <c r="F34" s="26"/>
      <c r="G34" s="26"/>
      <c r="H34" s="26"/>
      <c r="I34" s="26"/>
      <c r="J34" s="26"/>
      <c r="K34" s="26"/>
      <c r="L34" s="26"/>
      <c r="M34" s="26"/>
      <c r="N34" s="26"/>
      <c r="O34" s="26"/>
      <c r="P34" s="26"/>
      <c r="Q34" s="26"/>
      <c r="R34" s="26"/>
      <c r="S34" s="26"/>
      <c r="T34" s="26"/>
    </row>
    <row r="35" spans="1:20" ht="15.75" customHeight="1">
      <c r="A35" s="26"/>
      <c r="B35" s="26"/>
      <c r="C35" s="237"/>
      <c r="D35" s="24" t="s">
        <v>1974</v>
      </c>
      <c r="E35" s="26"/>
      <c r="F35" s="26"/>
      <c r="G35" s="26"/>
      <c r="H35" s="26"/>
      <c r="I35" s="26"/>
      <c r="J35" s="26"/>
      <c r="K35" s="26"/>
      <c r="L35" s="26"/>
      <c r="M35" s="26"/>
      <c r="N35" s="26"/>
      <c r="O35" s="26"/>
      <c r="P35" s="26"/>
      <c r="Q35" s="26"/>
      <c r="R35" s="26"/>
      <c r="S35" s="26"/>
      <c r="T35" s="26"/>
    </row>
    <row r="36" spans="1:20" ht="15.75" customHeight="1">
      <c r="A36" s="26"/>
      <c r="B36" s="26"/>
      <c r="C36" s="237"/>
      <c r="D36" s="24" t="s">
        <v>1975</v>
      </c>
      <c r="E36" s="26"/>
      <c r="F36" s="26"/>
      <c r="G36" s="26"/>
      <c r="H36" s="26"/>
      <c r="I36" s="26"/>
      <c r="J36" s="26"/>
      <c r="K36" s="26"/>
      <c r="L36" s="26"/>
      <c r="M36" s="26"/>
      <c r="N36" s="26"/>
      <c r="O36" s="26"/>
      <c r="P36" s="26"/>
      <c r="Q36" s="26"/>
      <c r="R36" s="26"/>
      <c r="S36" s="26"/>
      <c r="T36" s="26"/>
    </row>
    <row r="37" spans="1:20" ht="15.75" customHeight="1">
      <c r="A37" s="26"/>
      <c r="B37" s="26"/>
      <c r="C37" s="26"/>
      <c r="D37" s="26"/>
      <c r="E37" s="26"/>
      <c r="F37" s="26"/>
      <c r="G37" s="26"/>
      <c r="H37" s="26"/>
      <c r="I37" s="26"/>
      <c r="J37" s="26"/>
      <c r="K37" s="26"/>
      <c r="L37" s="26"/>
      <c r="M37" s="26"/>
      <c r="N37" s="26"/>
      <c r="O37" s="26"/>
      <c r="P37" s="26"/>
      <c r="Q37" s="26"/>
      <c r="R37" s="26"/>
      <c r="S37" s="26"/>
      <c r="T37" s="26"/>
    </row>
    <row r="38" spans="1:20" ht="15.75" customHeight="1">
      <c r="A38" s="24" t="s">
        <v>1976</v>
      </c>
      <c r="B38" s="26"/>
      <c r="C38" s="24" t="s">
        <v>1929</v>
      </c>
      <c r="D38" s="24" t="s">
        <v>1977</v>
      </c>
      <c r="E38" s="24" t="s">
        <v>494</v>
      </c>
      <c r="F38" s="24"/>
      <c r="G38" s="26"/>
      <c r="H38" s="26"/>
      <c r="I38" s="26"/>
      <c r="J38" s="26"/>
      <c r="K38" s="26"/>
      <c r="L38" s="26"/>
      <c r="M38" s="26"/>
      <c r="N38" s="26"/>
      <c r="O38" s="26"/>
      <c r="P38" s="26"/>
      <c r="Q38" s="26"/>
      <c r="R38" s="26"/>
      <c r="S38" s="26"/>
      <c r="T38" s="26"/>
    </row>
    <row r="39" spans="1:20" ht="15.75" customHeight="1">
      <c r="A39" s="26"/>
      <c r="B39" s="26"/>
      <c r="C39" s="24" t="s">
        <v>1956</v>
      </c>
      <c r="D39" s="24" t="s">
        <v>1978</v>
      </c>
      <c r="E39" s="1029">
        <v>150000</v>
      </c>
      <c r="F39" s="1029">
        <v>300000</v>
      </c>
      <c r="G39" s="26"/>
      <c r="H39" s="26"/>
      <c r="I39" s="26"/>
      <c r="J39" s="26"/>
      <c r="K39" s="26"/>
      <c r="L39" s="26"/>
      <c r="M39" s="26"/>
      <c r="N39" s="26"/>
      <c r="O39" s="26"/>
      <c r="P39" s="26"/>
      <c r="Q39" s="26"/>
      <c r="R39" s="26"/>
      <c r="S39" s="26"/>
      <c r="T39" s="26"/>
    </row>
    <row r="40" spans="1:20" ht="15.75" customHeight="1">
      <c r="A40" s="26"/>
      <c r="B40" s="26"/>
      <c r="C40" s="24" t="s">
        <v>1979</v>
      </c>
      <c r="D40" s="24" t="s">
        <v>1980</v>
      </c>
      <c r="E40" s="26"/>
      <c r="F40" s="26"/>
      <c r="G40" s="26"/>
      <c r="H40" s="26"/>
      <c r="I40" s="26"/>
      <c r="J40" s="26"/>
      <c r="K40" s="26"/>
      <c r="L40" s="26"/>
      <c r="M40" s="26"/>
      <c r="N40" s="26"/>
      <c r="O40" s="26"/>
      <c r="P40" s="26"/>
      <c r="Q40" s="26"/>
      <c r="R40" s="26"/>
      <c r="S40" s="26"/>
      <c r="T40" s="26"/>
    </row>
    <row r="41" spans="1:20" ht="15.75" customHeight="1">
      <c r="A41" s="26"/>
      <c r="B41" s="26"/>
      <c r="C41" s="26"/>
      <c r="D41" s="26"/>
      <c r="E41" s="26"/>
      <c r="F41" s="26"/>
      <c r="G41" s="26"/>
      <c r="H41" s="26"/>
      <c r="I41" s="26"/>
      <c r="J41" s="26"/>
      <c r="K41" s="26"/>
      <c r="L41" s="26"/>
      <c r="M41" s="26"/>
      <c r="N41" s="26"/>
      <c r="O41" s="26"/>
      <c r="P41" s="26"/>
      <c r="Q41" s="26"/>
      <c r="R41" s="26"/>
      <c r="S41" s="26"/>
      <c r="T41" s="26"/>
    </row>
    <row r="42" spans="1:20" ht="15.75" customHeight="1">
      <c r="A42" s="26"/>
      <c r="B42" s="26"/>
      <c r="C42" s="24" t="s">
        <v>1981</v>
      </c>
      <c r="D42" s="24" t="s">
        <v>1982</v>
      </c>
      <c r="E42" s="26"/>
      <c r="F42" s="26"/>
      <c r="G42" s="26"/>
      <c r="H42" s="26"/>
      <c r="I42" s="26"/>
      <c r="J42" s="26"/>
      <c r="K42" s="26"/>
      <c r="L42" s="26"/>
      <c r="M42" s="26"/>
      <c r="N42" s="26"/>
      <c r="O42" s="26"/>
      <c r="P42" s="26"/>
      <c r="Q42" s="26"/>
      <c r="R42" s="26"/>
      <c r="S42" s="26"/>
      <c r="T42" s="26"/>
    </row>
    <row r="43" spans="1:20" ht="15.75" customHeight="1">
      <c r="A43" s="24" t="s">
        <v>1983</v>
      </c>
      <c r="B43" s="26"/>
      <c r="C43" s="24" t="s">
        <v>1984</v>
      </c>
      <c r="D43" s="24" t="s">
        <v>1985</v>
      </c>
      <c r="E43" s="24" t="s">
        <v>494</v>
      </c>
      <c r="F43" s="24"/>
      <c r="G43" s="26"/>
      <c r="H43" s="26"/>
      <c r="I43" s="26"/>
      <c r="J43" s="26"/>
      <c r="K43" s="26"/>
      <c r="L43" s="26"/>
      <c r="M43" s="26"/>
      <c r="N43" s="26"/>
      <c r="O43" s="26"/>
      <c r="P43" s="26"/>
      <c r="Q43" s="26"/>
      <c r="R43" s="26"/>
      <c r="S43" s="26"/>
      <c r="T43" s="26"/>
    </row>
    <row r="44" spans="1:20" ht="15.75" customHeight="1">
      <c r="A44" s="26"/>
      <c r="B44" s="26"/>
      <c r="C44" s="24" t="s">
        <v>1986</v>
      </c>
      <c r="D44" s="24" t="s">
        <v>1987</v>
      </c>
      <c r="E44" s="1029">
        <v>150000</v>
      </c>
      <c r="F44" s="1029">
        <v>400000</v>
      </c>
      <c r="G44" s="26"/>
      <c r="H44" s="26"/>
      <c r="I44" s="26"/>
      <c r="J44" s="26"/>
      <c r="K44" s="26"/>
      <c r="L44" s="26"/>
      <c r="M44" s="26"/>
      <c r="N44" s="26"/>
      <c r="O44" s="26"/>
      <c r="P44" s="26"/>
      <c r="Q44" s="26"/>
      <c r="R44" s="26"/>
      <c r="S44" s="26"/>
      <c r="T44" s="26"/>
    </row>
    <row r="45" spans="1:20" ht="15.75" customHeight="1">
      <c r="A45" s="26"/>
      <c r="B45" s="26"/>
      <c r="C45" s="24" t="s">
        <v>1934</v>
      </c>
      <c r="D45" s="24" t="s">
        <v>1988</v>
      </c>
      <c r="E45" s="1030"/>
      <c r="F45" s="1030"/>
      <c r="G45" s="26"/>
      <c r="H45" s="26"/>
      <c r="I45" s="26"/>
      <c r="J45" s="26"/>
      <c r="K45" s="26"/>
      <c r="L45" s="26"/>
      <c r="M45" s="26"/>
      <c r="N45" s="26"/>
      <c r="O45" s="26"/>
      <c r="P45" s="26"/>
      <c r="Q45" s="26"/>
      <c r="R45" s="26"/>
      <c r="S45" s="26"/>
      <c r="T45" s="26"/>
    </row>
    <row r="46" spans="1:20" ht="15.75" customHeight="1">
      <c r="A46" s="26"/>
      <c r="B46" s="26"/>
      <c r="C46" s="26"/>
      <c r="D46" s="24" t="s">
        <v>1989</v>
      </c>
      <c r="E46" s="738"/>
      <c r="F46" s="738"/>
      <c r="G46" s="26"/>
      <c r="H46" s="26"/>
      <c r="I46" s="26"/>
      <c r="J46" s="26"/>
      <c r="K46" s="26"/>
      <c r="L46" s="26"/>
      <c r="M46" s="26"/>
      <c r="N46" s="26"/>
      <c r="O46" s="26"/>
      <c r="P46" s="26"/>
      <c r="Q46" s="26"/>
      <c r="R46" s="26"/>
      <c r="S46" s="26"/>
      <c r="T46" s="26"/>
    </row>
    <row r="47" spans="1:20" ht="15.75" customHeight="1">
      <c r="A47" s="26"/>
      <c r="B47" s="26"/>
      <c r="C47" s="26"/>
      <c r="D47" s="26"/>
      <c r="E47" s="1031"/>
      <c r="F47" s="1032"/>
      <c r="G47" s="26"/>
      <c r="H47" s="26"/>
      <c r="I47" s="26"/>
      <c r="J47" s="26"/>
      <c r="K47" s="26"/>
      <c r="L47" s="26"/>
      <c r="M47" s="26"/>
      <c r="N47" s="26"/>
      <c r="O47" s="26"/>
      <c r="P47" s="26"/>
      <c r="Q47" s="26"/>
      <c r="R47" s="26"/>
      <c r="S47" s="26"/>
      <c r="T47" s="26"/>
    </row>
    <row r="48" spans="1:20" ht="15.75" customHeight="1">
      <c r="A48" s="26"/>
      <c r="B48" s="26"/>
      <c r="C48" s="24" t="s">
        <v>1990</v>
      </c>
      <c r="D48" s="24" t="s">
        <v>1991</v>
      </c>
      <c r="E48" s="26"/>
      <c r="F48" s="26"/>
      <c r="G48" s="26"/>
      <c r="H48" s="26"/>
      <c r="I48" s="26"/>
      <c r="J48" s="26"/>
      <c r="K48" s="26"/>
      <c r="L48" s="26"/>
      <c r="M48" s="26"/>
      <c r="N48" s="26"/>
      <c r="O48" s="26"/>
      <c r="P48" s="26"/>
      <c r="Q48" s="26"/>
      <c r="R48" s="26"/>
      <c r="S48" s="26"/>
      <c r="T48" s="26"/>
    </row>
    <row r="49" spans="1:20" ht="15.75" customHeight="1">
      <c r="A49" s="24" t="s">
        <v>1992</v>
      </c>
      <c r="B49" s="26"/>
      <c r="C49" s="24" t="s">
        <v>1993</v>
      </c>
      <c r="D49" s="24" t="s">
        <v>1994</v>
      </c>
      <c r="E49" s="24" t="s">
        <v>494</v>
      </c>
      <c r="F49" s="24"/>
      <c r="G49" s="26"/>
      <c r="H49" s="26"/>
      <c r="I49" s="26"/>
      <c r="J49" s="26"/>
      <c r="K49" s="26"/>
      <c r="L49" s="26"/>
      <c r="M49" s="26"/>
      <c r="N49" s="26"/>
      <c r="O49" s="26"/>
      <c r="P49" s="26"/>
      <c r="Q49" s="26"/>
      <c r="R49" s="26"/>
      <c r="S49" s="26"/>
      <c r="T49" s="26"/>
    </row>
    <row r="50" spans="1:20" ht="15.75" customHeight="1">
      <c r="A50" s="26"/>
      <c r="B50" s="26"/>
      <c r="C50" s="24" t="s">
        <v>1956</v>
      </c>
      <c r="D50" s="24" t="s">
        <v>1995</v>
      </c>
      <c r="E50" s="1029">
        <v>250000</v>
      </c>
      <c r="F50" s="1029">
        <v>500000</v>
      </c>
      <c r="G50" s="26"/>
      <c r="H50" s="26"/>
      <c r="I50" s="26"/>
      <c r="J50" s="26"/>
      <c r="K50" s="26"/>
      <c r="L50" s="26"/>
      <c r="M50" s="26"/>
      <c r="N50" s="26"/>
      <c r="O50" s="26"/>
      <c r="P50" s="26"/>
      <c r="Q50" s="26"/>
      <c r="R50" s="26"/>
      <c r="S50" s="26"/>
      <c r="T50" s="26"/>
    </row>
    <row r="51" spans="1:20" ht="15.75" customHeight="1">
      <c r="A51" s="26"/>
      <c r="B51" s="26"/>
      <c r="C51" s="24" t="s">
        <v>1996</v>
      </c>
      <c r="D51" s="24" t="s">
        <v>1997</v>
      </c>
      <c r="E51" s="26"/>
      <c r="F51" s="26"/>
      <c r="G51" s="26"/>
      <c r="H51" s="26"/>
      <c r="I51" s="26"/>
      <c r="J51" s="26"/>
      <c r="K51" s="26"/>
      <c r="L51" s="26"/>
      <c r="M51" s="26"/>
      <c r="N51" s="26"/>
      <c r="O51" s="26"/>
      <c r="P51" s="26"/>
      <c r="Q51" s="26"/>
      <c r="R51" s="26"/>
      <c r="S51" s="26"/>
      <c r="T51" s="26"/>
    </row>
    <row r="52" spans="1:20" ht="15.75" customHeight="1"/>
    <row r="53" spans="1:20" ht="15.75" customHeight="1"/>
    <row r="54" spans="1:20" ht="15.75" customHeight="1"/>
    <row r="55" spans="1:20" ht="15.75" customHeight="1"/>
    <row r="56" spans="1:20" ht="15.75" customHeight="1"/>
    <row r="57" spans="1:20" ht="15.75" customHeight="1"/>
    <row r="58" spans="1:20" ht="15.75" customHeight="1"/>
    <row r="59" spans="1:20" ht="15.75" customHeight="1"/>
    <row r="60" spans="1:20" ht="15.75" customHeight="1"/>
    <row r="61" spans="1:20" ht="15.75" customHeight="1"/>
    <row r="62" spans="1:20" ht="15.75" customHeight="1"/>
    <row r="63" spans="1:20" ht="15.75" customHeight="1"/>
    <row r="64" spans="1:20"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4B183"/>
  </sheetPr>
  <dimension ref="C1:G1000"/>
  <sheetViews>
    <sheetView showGridLines="0" workbookViewId="0"/>
  </sheetViews>
  <sheetFormatPr defaultColWidth="12.6328125" defaultRowHeight="15" customHeight="1"/>
  <cols>
    <col min="1" max="2" width="3.453125" customWidth="1"/>
    <col min="3" max="3" width="16" customWidth="1"/>
    <col min="4" max="4" width="3.453125" customWidth="1"/>
    <col min="5" max="5" width="10.90625" customWidth="1"/>
    <col min="6" max="6" width="3.453125" customWidth="1"/>
    <col min="7" max="7" width="9.08984375" customWidth="1"/>
  </cols>
  <sheetData>
    <row r="1" spans="3:7" ht="14.25" customHeight="1"/>
    <row r="2" spans="3:7" ht="22.5" customHeight="1">
      <c r="C2" s="1033" t="s">
        <v>1998</v>
      </c>
      <c r="D2" s="970"/>
      <c r="E2" s="970"/>
      <c r="F2" s="970"/>
      <c r="G2" s="970"/>
    </row>
    <row r="3" spans="3:7" ht="12" customHeight="1">
      <c r="C3" s="970"/>
      <c r="D3" s="970"/>
      <c r="E3" s="970"/>
      <c r="F3" s="970"/>
      <c r="G3" s="970"/>
    </row>
    <row r="4" spans="3:7" ht="12" customHeight="1">
      <c r="C4" s="970"/>
      <c r="D4" s="970"/>
      <c r="E4" s="970"/>
      <c r="F4" s="970"/>
      <c r="G4" s="970"/>
    </row>
    <row r="5" spans="3:7" ht="12" customHeight="1">
      <c r="C5" s="970"/>
      <c r="D5" s="970"/>
      <c r="E5" s="970"/>
      <c r="F5" s="970"/>
      <c r="G5" s="970"/>
    </row>
    <row r="6" spans="3:7" ht="14.25" customHeight="1">
      <c r="C6" s="1034" t="s">
        <v>1999</v>
      </c>
      <c r="D6" s="1035"/>
      <c r="E6" s="1034" t="s">
        <v>2000</v>
      </c>
      <c r="F6" s="1035"/>
      <c r="G6" s="1034" t="s">
        <v>2001</v>
      </c>
    </row>
    <row r="7" spans="3:7" ht="12" customHeight="1">
      <c r="C7" s="970"/>
      <c r="D7" s="970"/>
      <c r="E7" s="970"/>
      <c r="F7" s="970"/>
      <c r="G7" s="970"/>
    </row>
    <row r="8" spans="3:7" ht="18" customHeight="1">
      <c r="C8" s="970" t="s">
        <v>2002</v>
      </c>
      <c r="D8" s="970"/>
      <c r="E8" s="1036" t="s">
        <v>2002</v>
      </c>
      <c r="F8" s="970"/>
      <c r="G8" s="970"/>
    </row>
    <row r="9" spans="3:7" ht="12" customHeight="1">
      <c r="C9" s="970"/>
      <c r="D9" s="970"/>
      <c r="E9" s="970"/>
      <c r="F9" s="970"/>
      <c r="G9" s="970"/>
    </row>
    <row r="10" spans="3:7" ht="13.5" customHeight="1">
      <c r="C10" s="970" t="s">
        <v>2003</v>
      </c>
      <c r="D10" s="970"/>
      <c r="E10" s="834" t="s">
        <v>2003</v>
      </c>
      <c r="F10" s="970"/>
      <c r="G10" s="970"/>
    </row>
    <row r="11" spans="3:7" ht="12" customHeight="1">
      <c r="C11" s="970"/>
      <c r="D11" s="970"/>
      <c r="E11" s="970"/>
      <c r="F11" s="970"/>
      <c r="G11" s="970"/>
    </row>
    <row r="12" spans="3:7" ht="13.5" customHeight="1">
      <c r="C12" s="970" t="s">
        <v>2004</v>
      </c>
      <c r="D12" s="970"/>
      <c r="E12" s="1037" t="s">
        <v>2004</v>
      </c>
      <c r="F12" s="970"/>
      <c r="G12" s="970"/>
    </row>
    <row r="13" spans="3:7" ht="12" customHeight="1">
      <c r="C13" s="970"/>
      <c r="D13" s="970"/>
      <c r="E13" s="970"/>
      <c r="F13" s="970"/>
      <c r="G13" s="970"/>
    </row>
    <row r="14" spans="3:7" ht="14.25" customHeight="1">
      <c r="C14" s="970" t="s">
        <v>1451</v>
      </c>
      <c r="D14" s="970"/>
      <c r="E14" s="1038">
        <v>100</v>
      </c>
      <c r="F14" s="970"/>
      <c r="G14" s="1039" t="s">
        <v>2005</v>
      </c>
    </row>
    <row r="15" spans="3:7" ht="12" customHeight="1">
      <c r="C15" s="970"/>
      <c r="D15" s="970"/>
      <c r="E15" s="970"/>
      <c r="F15" s="970"/>
      <c r="G15" s="970"/>
    </row>
    <row r="16" spans="3:7" ht="14.25" customHeight="1">
      <c r="C16" s="970" t="s">
        <v>2006</v>
      </c>
      <c r="D16" s="970"/>
      <c r="E16" s="1040">
        <v>100</v>
      </c>
      <c r="F16" s="970"/>
      <c r="G16" s="1039" t="s">
        <v>2007</v>
      </c>
    </row>
    <row r="17" spans="3:7" ht="15" customHeight="1">
      <c r="C17" s="26"/>
      <c r="D17" s="26"/>
      <c r="E17" s="26"/>
      <c r="F17" s="26"/>
      <c r="G17" s="26"/>
    </row>
    <row r="18" spans="3:7" ht="14.25" customHeight="1">
      <c r="C18" s="970" t="s">
        <v>2008</v>
      </c>
      <c r="D18" s="970"/>
      <c r="E18" s="1041"/>
      <c r="F18" s="970"/>
      <c r="G18" s="1039" t="s">
        <v>2009</v>
      </c>
    </row>
    <row r="19" spans="3:7" ht="13.5" customHeight="1">
      <c r="C19" s="970"/>
      <c r="D19" s="970"/>
      <c r="E19" s="970"/>
      <c r="F19" s="970"/>
      <c r="G19" s="1042"/>
    </row>
    <row r="20" spans="3:7" ht="14.25" customHeight="1">
      <c r="C20" s="970" t="s">
        <v>2010</v>
      </c>
      <c r="D20" s="970"/>
      <c r="E20" s="1043">
        <v>100</v>
      </c>
      <c r="F20" s="970"/>
      <c r="G20" s="1039" t="s">
        <v>2011</v>
      </c>
    </row>
    <row r="21" spans="3:7" ht="13.5" customHeight="1">
      <c r="C21" s="970"/>
      <c r="D21" s="970"/>
      <c r="E21" s="970"/>
      <c r="F21" s="970"/>
      <c r="G21" s="1042"/>
    </row>
    <row r="22" spans="3:7" ht="14.25" customHeight="1">
      <c r="C22" s="970" t="s">
        <v>2012</v>
      </c>
      <c r="D22" s="970"/>
      <c r="E22" s="1044">
        <v>100</v>
      </c>
      <c r="F22" s="970"/>
      <c r="G22" s="1039" t="s">
        <v>2013</v>
      </c>
    </row>
    <row r="23" spans="3:7" ht="13.5" customHeight="1">
      <c r="C23" s="970"/>
      <c r="D23" s="970"/>
      <c r="E23" s="970"/>
      <c r="F23" s="970"/>
      <c r="G23" s="1042"/>
    </row>
    <row r="24" spans="3:7" ht="14.25" customHeight="1">
      <c r="C24" s="970" t="s">
        <v>2014</v>
      </c>
      <c r="D24" s="970"/>
      <c r="E24" s="122">
        <v>100</v>
      </c>
      <c r="F24" s="970"/>
      <c r="G24" s="1039" t="s">
        <v>2015</v>
      </c>
    </row>
    <row r="25" spans="3:7" ht="13.5" customHeight="1">
      <c r="C25" s="970"/>
      <c r="D25" s="970"/>
      <c r="E25" s="970"/>
      <c r="F25" s="970"/>
      <c r="G25" s="1042"/>
    </row>
    <row r="26" spans="3:7" ht="14.25" customHeight="1">
      <c r="C26" s="970" t="s">
        <v>2016</v>
      </c>
      <c r="D26" s="970"/>
      <c r="E26" s="1045">
        <v>100</v>
      </c>
      <c r="F26" s="970"/>
      <c r="G26" s="1039" t="s">
        <v>2017</v>
      </c>
    </row>
    <row r="27" spans="3:7" ht="13.5" customHeight="1">
      <c r="C27" s="970"/>
      <c r="D27" s="970"/>
      <c r="E27" s="970"/>
      <c r="F27" s="970"/>
      <c r="G27" s="1042"/>
    </row>
    <row r="28" spans="3:7" ht="14.25" customHeight="1">
      <c r="C28" s="970" t="s">
        <v>2018</v>
      </c>
      <c r="D28" s="970"/>
      <c r="E28" s="1046" t="s">
        <v>2019</v>
      </c>
      <c r="F28" s="970"/>
      <c r="G28" s="1039" t="s">
        <v>2020</v>
      </c>
    </row>
    <row r="29" spans="3:7" ht="13.5" customHeight="1">
      <c r="C29" s="970"/>
      <c r="D29" s="970"/>
      <c r="E29" s="970"/>
      <c r="F29" s="970"/>
      <c r="G29" s="1042"/>
    </row>
    <row r="30" spans="3:7" ht="14.25" customHeight="1">
      <c r="C30" s="970" t="s">
        <v>2021</v>
      </c>
      <c r="D30" s="970"/>
      <c r="E30" s="1047">
        <v>100</v>
      </c>
      <c r="F30" s="970"/>
      <c r="G30" s="1039" t="s">
        <v>2022</v>
      </c>
    </row>
    <row r="31" spans="3:7" ht="13.5" customHeight="1">
      <c r="C31" s="970"/>
      <c r="D31" s="970"/>
      <c r="E31" s="970"/>
      <c r="F31" s="970"/>
      <c r="G31" s="1042"/>
    </row>
    <row r="32" spans="3:7" ht="14.25" customHeight="1">
      <c r="C32" s="970" t="s">
        <v>2023</v>
      </c>
      <c r="D32" s="970"/>
      <c r="E32" s="1048" t="s">
        <v>2024</v>
      </c>
      <c r="F32" s="970"/>
      <c r="G32" s="1039" t="s">
        <v>2025</v>
      </c>
    </row>
    <row r="33" spans="3:7" ht="15.75" customHeight="1">
      <c r="C33" s="26"/>
      <c r="D33" s="26"/>
      <c r="E33" s="26"/>
      <c r="F33" s="26"/>
      <c r="G33" s="26"/>
    </row>
    <row r="34" spans="3:7" ht="14.25" customHeight="1">
      <c r="C34" s="970" t="s">
        <v>2026</v>
      </c>
      <c r="D34" s="970"/>
      <c r="E34" s="1049">
        <v>1</v>
      </c>
      <c r="F34" s="970"/>
      <c r="G34" s="1039" t="s">
        <v>2027</v>
      </c>
    </row>
    <row r="35" spans="3:7" ht="14.25" customHeight="1">
      <c r="C35" s="970"/>
      <c r="D35" s="970"/>
      <c r="E35" s="1050"/>
      <c r="F35" s="970"/>
      <c r="G35" s="1039"/>
    </row>
    <row r="36" spans="3:7" ht="15" customHeight="1">
      <c r="C36" s="970" t="s">
        <v>2028</v>
      </c>
      <c r="D36" s="970"/>
      <c r="E36" s="1051">
        <v>100</v>
      </c>
      <c r="F36" s="970"/>
      <c r="G36" s="1039" t="s">
        <v>2029</v>
      </c>
    </row>
    <row r="37" spans="3:7" ht="15.75" customHeight="1"/>
    <row r="38" spans="3:7" ht="15.75" customHeight="1"/>
    <row r="39" spans="3:7" ht="15.75" customHeight="1"/>
    <row r="40" spans="3:7" ht="15.75" customHeight="1"/>
    <row r="41" spans="3:7" ht="15.75" customHeight="1"/>
    <row r="42" spans="3:7" ht="15.75" customHeight="1"/>
    <row r="43" spans="3:7" ht="15.75" customHeight="1"/>
    <row r="44" spans="3:7" ht="15.75" customHeight="1"/>
    <row r="45" spans="3:7" ht="15.75" customHeight="1"/>
    <row r="46" spans="3:7" ht="15.75" customHeight="1"/>
    <row r="47" spans="3:7" ht="15.75" customHeight="1"/>
    <row r="48" spans="3: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34:E35">
    <cfRule type="cellIs" dxfId="0" priority="1" operator="equal">
      <formula>1</formula>
    </cfRule>
  </conditionalFormatting>
  <pageMargins left="0.7" right="0.7" top="0.75" bottom="0.75" header="0" footer="0"/>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E699"/>
  </sheetPr>
  <dimension ref="A1:EQ220"/>
  <sheetViews>
    <sheetView showGridLines="0" workbookViewId="0"/>
  </sheetViews>
  <sheetFormatPr defaultColWidth="12.6328125" defaultRowHeight="15" customHeight="1"/>
  <cols>
    <col min="1" max="1" width="34" customWidth="1"/>
    <col min="2" max="2" width="13.453125" customWidth="1"/>
    <col min="3" max="3" width="13" customWidth="1"/>
    <col min="4" max="4" width="18.6328125" customWidth="1"/>
    <col min="5" max="5" width="13.453125" customWidth="1"/>
    <col min="6" max="6" width="13.90625" customWidth="1"/>
    <col min="7" max="7" width="13.08984375" customWidth="1"/>
    <col min="8" max="8" width="13.6328125" customWidth="1"/>
    <col min="9" max="9" width="13.453125" customWidth="1"/>
    <col min="10" max="10" width="15.90625" customWidth="1"/>
    <col min="11" max="11" width="13.453125" customWidth="1"/>
    <col min="12" max="15" width="13" customWidth="1"/>
    <col min="16" max="17" width="13.453125" customWidth="1"/>
    <col min="18" max="18" width="13.90625" customWidth="1"/>
    <col min="19" max="19" width="13.08984375" customWidth="1"/>
    <col min="20" max="20" width="13.6328125" customWidth="1"/>
    <col min="21" max="21" width="13.453125" customWidth="1"/>
    <col min="22" max="23" width="13.6328125" customWidth="1"/>
    <col min="24" max="24" width="13.08984375" customWidth="1"/>
    <col min="25" max="26" width="13.453125" customWidth="1"/>
    <col min="27" max="27" width="13" customWidth="1"/>
    <col min="28" max="28" width="12.453125" customWidth="1"/>
    <col min="29" max="29" width="13.453125" customWidth="1"/>
    <col min="30" max="30" width="13.90625" customWidth="1"/>
    <col min="31" max="31" width="13.08984375" customWidth="1"/>
    <col min="32" max="32" width="13.6328125" customWidth="1"/>
    <col min="33" max="33" width="13.453125" customWidth="1"/>
    <col min="34" max="34" width="13.08984375" customWidth="1"/>
    <col min="35" max="35" width="13.6328125" customWidth="1"/>
    <col min="36" max="36" width="13.08984375" customWidth="1"/>
    <col min="37" max="38" width="13.453125" customWidth="1"/>
    <col min="39" max="39" width="13" customWidth="1"/>
    <col min="40" max="40" width="12.453125" customWidth="1"/>
    <col min="41" max="41" width="13.453125" customWidth="1"/>
    <col min="42" max="42" width="13.90625" customWidth="1"/>
    <col min="43" max="43" width="13.08984375" customWidth="1"/>
    <col min="44" max="44" width="13.6328125" customWidth="1"/>
    <col min="45" max="45" width="13.453125" customWidth="1"/>
    <col min="46" max="46" width="13.08984375" customWidth="1"/>
    <col min="47" max="47" width="13.6328125" customWidth="1"/>
    <col min="48" max="48" width="13.08984375" customWidth="1"/>
    <col min="49" max="50" width="13.453125" customWidth="1"/>
    <col min="51" max="51" width="13" customWidth="1"/>
    <col min="52" max="52" width="12.453125" customWidth="1"/>
    <col min="53" max="53" width="13.453125" customWidth="1"/>
    <col min="54" max="54" width="13.90625" customWidth="1"/>
    <col min="55" max="55" width="13.08984375" customWidth="1"/>
    <col min="56" max="56" width="13.6328125" customWidth="1"/>
    <col min="57" max="57" width="13.453125" customWidth="1"/>
    <col min="58" max="58" width="12.90625" customWidth="1"/>
    <col min="59" max="59" width="13.453125" customWidth="1"/>
    <col min="60" max="61" width="12.90625" customWidth="1"/>
    <col min="62" max="144" width="13" customWidth="1"/>
  </cols>
  <sheetData>
    <row r="1" spans="1:147" ht="24" customHeight="1">
      <c r="A1" s="23" t="s">
        <v>43</v>
      </c>
      <c r="B1" s="474"/>
      <c r="C1" s="474"/>
      <c r="D1" s="474"/>
      <c r="E1" s="474"/>
      <c r="F1" s="474"/>
      <c r="G1" s="474"/>
      <c r="H1" s="474"/>
      <c r="I1" s="474"/>
      <c r="J1" s="474"/>
      <c r="K1" s="474"/>
      <c r="L1" s="474"/>
      <c r="M1" s="474"/>
      <c r="N1" s="474"/>
      <c r="O1" s="474"/>
      <c r="P1" s="474"/>
      <c r="Q1" s="474"/>
      <c r="R1" s="474"/>
      <c r="S1" s="474"/>
      <c r="T1" s="474"/>
      <c r="U1" s="474"/>
      <c r="V1" s="474"/>
      <c r="W1" s="474"/>
      <c r="X1" s="474"/>
      <c r="Y1" s="474"/>
      <c r="Z1" s="474"/>
      <c r="AA1" s="474"/>
      <c r="AB1" s="474"/>
      <c r="AC1" s="474"/>
      <c r="AD1" s="474"/>
      <c r="AE1" s="474"/>
      <c r="AF1" s="474"/>
      <c r="AG1" s="474"/>
      <c r="AH1" s="474"/>
      <c r="AI1" s="474"/>
      <c r="AJ1" s="474"/>
      <c r="AK1" s="474"/>
      <c r="AL1" s="474"/>
      <c r="AM1" s="474"/>
      <c r="AN1" s="474"/>
      <c r="AO1" s="474"/>
      <c r="AP1" s="474"/>
      <c r="AQ1" s="474"/>
      <c r="AR1" s="474"/>
      <c r="AS1" s="474"/>
      <c r="AT1" s="474"/>
      <c r="AU1" s="474"/>
      <c r="AV1" s="474"/>
      <c r="AW1" s="474"/>
      <c r="AX1" s="474"/>
      <c r="AY1" s="474"/>
      <c r="AZ1" s="474"/>
      <c r="BA1" s="474"/>
      <c r="BB1" s="474"/>
      <c r="BC1" s="474"/>
      <c r="BD1" s="474"/>
      <c r="BE1" s="474"/>
      <c r="BF1" s="474"/>
      <c r="BG1" s="474"/>
      <c r="BH1" s="474"/>
      <c r="BI1" s="474"/>
      <c r="BJ1" s="474"/>
      <c r="BK1" s="474"/>
      <c r="BL1" s="474"/>
      <c r="BM1" s="474"/>
      <c r="BN1" s="474"/>
      <c r="BO1" s="474"/>
      <c r="BP1" s="474"/>
      <c r="BQ1" s="474"/>
      <c r="BR1" s="474"/>
      <c r="BS1" s="474"/>
      <c r="BT1" s="474"/>
      <c r="BU1" s="474"/>
      <c r="BV1" s="474"/>
      <c r="BW1" s="474"/>
      <c r="BX1" s="474"/>
      <c r="BY1" s="474"/>
      <c r="BZ1" s="474"/>
      <c r="CA1" s="474"/>
      <c r="CB1" s="474"/>
      <c r="CC1" s="474"/>
      <c r="CD1" s="474"/>
      <c r="CE1" s="474"/>
      <c r="CF1" s="474"/>
      <c r="CG1" s="474"/>
      <c r="CH1" s="474"/>
      <c r="CI1" s="474"/>
      <c r="CJ1" s="474"/>
      <c r="CK1" s="474"/>
      <c r="CL1" s="474"/>
      <c r="CM1" s="474"/>
      <c r="CN1" s="474"/>
      <c r="CO1" s="474"/>
      <c r="CP1" s="474"/>
      <c r="CQ1" s="474"/>
      <c r="CR1" s="474"/>
      <c r="CS1" s="474"/>
      <c r="CT1" s="474"/>
      <c r="CU1" s="474"/>
      <c r="CV1" s="474"/>
      <c r="CW1" s="474"/>
      <c r="CX1" s="474"/>
      <c r="CY1" s="474"/>
      <c r="CZ1" s="474"/>
      <c r="DA1" s="474"/>
      <c r="DB1" s="474"/>
      <c r="DC1" s="474"/>
      <c r="DD1" s="474"/>
      <c r="DE1" s="474"/>
      <c r="DF1" s="474"/>
      <c r="DG1" s="474"/>
      <c r="DH1" s="474"/>
      <c r="DI1" s="474"/>
      <c r="DJ1" s="474"/>
      <c r="DK1" s="474"/>
      <c r="DL1" s="474"/>
      <c r="DM1" s="474"/>
      <c r="DN1" s="474"/>
      <c r="DO1" s="474"/>
      <c r="DP1" s="474"/>
      <c r="DQ1" s="474"/>
      <c r="DR1" s="474"/>
      <c r="DS1" s="474"/>
      <c r="DT1" s="474"/>
      <c r="DU1" s="474"/>
      <c r="DV1" s="474"/>
      <c r="DW1" s="474"/>
      <c r="DX1" s="474"/>
      <c r="DY1" s="474"/>
      <c r="DZ1" s="474"/>
      <c r="EA1" s="474"/>
      <c r="EB1" s="474"/>
      <c r="EC1" s="474"/>
      <c r="ED1" s="474"/>
      <c r="EE1" s="474"/>
      <c r="EF1" s="474"/>
      <c r="EG1" s="474"/>
      <c r="EH1" s="474"/>
      <c r="EI1" s="474"/>
      <c r="EJ1" s="474"/>
      <c r="EK1" s="474"/>
      <c r="EL1" s="474"/>
      <c r="EM1" s="474"/>
      <c r="EN1" s="474"/>
    </row>
    <row r="2" spans="1:147" ht="15" customHeight="1">
      <c r="A2" s="26"/>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c r="BN2" s="26"/>
      <c r="BO2" s="26"/>
      <c r="BP2" s="26"/>
      <c r="BQ2" s="26"/>
      <c r="BR2" s="26"/>
      <c r="BS2" s="26"/>
      <c r="BT2" s="26"/>
      <c r="BU2" s="26"/>
      <c r="BV2" s="26"/>
      <c r="BW2" s="26"/>
      <c r="BX2" s="26"/>
      <c r="BY2" s="26"/>
      <c r="BZ2" s="26"/>
      <c r="CA2" s="26"/>
      <c r="CB2" s="26"/>
      <c r="CC2" s="26"/>
      <c r="CD2" s="26"/>
      <c r="CE2" s="26"/>
      <c r="CF2" s="26"/>
      <c r="CG2" s="26"/>
      <c r="CH2" s="26"/>
      <c r="CI2" s="26"/>
      <c r="CJ2" s="26"/>
      <c r="CK2" s="26"/>
      <c r="CL2" s="26"/>
      <c r="CM2" s="26"/>
      <c r="CN2" s="26"/>
      <c r="CO2" s="26"/>
      <c r="CP2" s="26"/>
      <c r="CQ2" s="26"/>
      <c r="CR2" s="26"/>
      <c r="CS2" s="26"/>
      <c r="CT2" s="26"/>
      <c r="CU2" s="26"/>
      <c r="CV2" s="26"/>
      <c r="CW2" s="26"/>
      <c r="CX2" s="26"/>
      <c r="CY2" s="26"/>
      <c r="CZ2" s="26"/>
      <c r="DA2" s="26"/>
      <c r="DB2" s="26"/>
      <c r="DC2" s="26"/>
      <c r="DD2" s="26"/>
      <c r="DE2" s="26"/>
      <c r="DF2" s="26"/>
      <c r="DG2" s="26"/>
      <c r="DH2" s="26"/>
      <c r="DI2" s="26"/>
      <c r="DJ2" s="26"/>
      <c r="DK2" s="26"/>
      <c r="DL2" s="26"/>
      <c r="DM2" s="26"/>
      <c r="DN2" s="26"/>
      <c r="DO2" s="26"/>
      <c r="DP2" s="26"/>
      <c r="DQ2" s="26"/>
      <c r="DR2" s="26"/>
      <c r="DS2" s="26"/>
      <c r="DT2" s="26"/>
      <c r="DU2" s="26"/>
      <c r="DV2" s="26"/>
      <c r="DW2" s="26"/>
      <c r="DX2" s="26"/>
      <c r="DY2" s="26"/>
      <c r="DZ2" s="26"/>
      <c r="EA2" s="26"/>
      <c r="EB2" s="26"/>
      <c r="EC2" s="26"/>
      <c r="ED2" s="26"/>
      <c r="EE2" s="26"/>
      <c r="EF2" s="26"/>
      <c r="EG2" s="26"/>
      <c r="EH2" s="26"/>
      <c r="EI2" s="26"/>
      <c r="EJ2" s="26"/>
      <c r="EK2" s="26"/>
      <c r="EL2" s="26"/>
      <c r="EM2" s="26"/>
      <c r="EN2" s="26"/>
    </row>
    <row r="3" spans="1:147" ht="15" customHeight="1">
      <c r="A3" s="230" t="s">
        <v>2030</v>
      </c>
      <c r="B3" s="250">
        <v>1</v>
      </c>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c r="CI3" s="26"/>
      <c r="CJ3" s="26"/>
      <c r="CK3" s="26"/>
      <c r="CL3" s="26"/>
      <c r="CM3" s="26"/>
      <c r="CN3" s="26"/>
      <c r="CO3" s="26"/>
      <c r="CP3" s="26"/>
      <c r="CQ3" s="26"/>
      <c r="CR3" s="26"/>
      <c r="CS3" s="26"/>
      <c r="CT3" s="26"/>
      <c r="CU3" s="26"/>
      <c r="CV3" s="26"/>
      <c r="CW3" s="26"/>
      <c r="CX3" s="26"/>
      <c r="CY3" s="26"/>
      <c r="CZ3" s="26"/>
      <c r="DA3" s="26"/>
      <c r="DB3" s="26"/>
      <c r="DC3" s="26"/>
      <c r="DD3" s="26"/>
      <c r="DE3" s="26"/>
      <c r="DF3" s="26"/>
      <c r="DG3" s="26"/>
      <c r="DH3" s="26"/>
      <c r="DI3" s="26"/>
      <c r="DJ3" s="26"/>
      <c r="DK3" s="26"/>
      <c r="DL3" s="26"/>
      <c r="DM3" s="26"/>
      <c r="DN3" s="26"/>
      <c r="DO3" s="26"/>
      <c r="DP3" s="26"/>
      <c r="DQ3" s="26"/>
      <c r="DR3" s="26"/>
      <c r="DS3" s="26"/>
      <c r="DT3" s="26"/>
      <c r="DU3" s="26"/>
      <c r="DV3" s="26"/>
      <c r="DW3" s="26"/>
      <c r="DX3" s="26"/>
      <c r="DY3" s="26"/>
      <c r="DZ3" s="26"/>
      <c r="EA3" s="26"/>
      <c r="EB3" s="26"/>
      <c r="EC3" s="26"/>
      <c r="ED3" s="26"/>
      <c r="EE3" s="26"/>
      <c r="EF3" s="26"/>
      <c r="EG3" s="26"/>
      <c r="EH3" s="26"/>
      <c r="EI3" s="26"/>
      <c r="EJ3" s="26"/>
      <c r="EK3" s="26"/>
      <c r="EL3" s="26"/>
      <c r="EM3" s="26"/>
      <c r="EN3" s="26"/>
    </row>
    <row r="4" spans="1:147" ht="15" customHeight="1">
      <c r="A4" s="1052" t="s">
        <v>2031</v>
      </c>
      <c r="B4" s="1053">
        <v>6</v>
      </c>
      <c r="C4" s="1054">
        <f>Inputs!$E$9</f>
        <v>46054</v>
      </c>
      <c r="D4" s="1055">
        <f t="shared" ref="D4:EQ4" si="0">IFERROR(EOMONTH(C4,0)+1,"")</f>
        <v>46082</v>
      </c>
      <c r="E4" s="1055">
        <f t="shared" si="0"/>
        <v>46113</v>
      </c>
      <c r="F4" s="1055">
        <f t="shared" si="0"/>
        <v>46143</v>
      </c>
      <c r="G4" s="1055">
        <f t="shared" si="0"/>
        <v>46174</v>
      </c>
      <c r="H4" s="1055">
        <f t="shared" si="0"/>
        <v>46204</v>
      </c>
      <c r="I4" s="1055">
        <f t="shared" si="0"/>
        <v>46235</v>
      </c>
      <c r="J4" s="1055">
        <f t="shared" si="0"/>
        <v>46266</v>
      </c>
      <c r="K4" s="1055">
        <f t="shared" si="0"/>
        <v>46296</v>
      </c>
      <c r="L4" s="1055">
        <f t="shared" si="0"/>
        <v>46327</v>
      </c>
      <c r="M4" s="1055">
        <f t="shared" si="0"/>
        <v>46357</v>
      </c>
      <c r="N4" s="1055">
        <f t="shared" si="0"/>
        <v>46388</v>
      </c>
      <c r="O4" s="1055">
        <f t="shared" si="0"/>
        <v>46419</v>
      </c>
      <c r="P4" s="1055">
        <f t="shared" si="0"/>
        <v>46447</v>
      </c>
      <c r="Q4" s="1055">
        <f t="shared" si="0"/>
        <v>46478</v>
      </c>
      <c r="R4" s="1055">
        <f t="shared" si="0"/>
        <v>46508</v>
      </c>
      <c r="S4" s="1055">
        <f t="shared" si="0"/>
        <v>46539</v>
      </c>
      <c r="T4" s="1055">
        <f t="shared" si="0"/>
        <v>46569</v>
      </c>
      <c r="U4" s="1055">
        <f t="shared" si="0"/>
        <v>46600</v>
      </c>
      <c r="V4" s="1055">
        <f t="shared" si="0"/>
        <v>46631</v>
      </c>
      <c r="W4" s="1055">
        <f t="shared" si="0"/>
        <v>46661</v>
      </c>
      <c r="X4" s="1055">
        <f t="shared" si="0"/>
        <v>46692</v>
      </c>
      <c r="Y4" s="1055">
        <f t="shared" si="0"/>
        <v>46722</v>
      </c>
      <c r="Z4" s="1055">
        <f t="shared" si="0"/>
        <v>46753</v>
      </c>
      <c r="AA4" s="1055">
        <f t="shared" si="0"/>
        <v>46784</v>
      </c>
      <c r="AB4" s="1055">
        <f t="shared" si="0"/>
        <v>46813</v>
      </c>
      <c r="AC4" s="1055">
        <f t="shared" si="0"/>
        <v>46844</v>
      </c>
      <c r="AD4" s="1055">
        <f t="shared" si="0"/>
        <v>46874</v>
      </c>
      <c r="AE4" s="1055">
        <f t="shared" si="0"/>
        <v>46905</v>
      </c>
      <c r="AF4" s="1055">
        <f t="shared" si="0"/>
        <v>46935</v>
      </c>
      <c r="AG4" s="1055">
        <f t="shared" si="0"/>
        <v>46966</v>
      </c>
      <c r="AH4" s="1055">
        <f t="shared" si="0"/>
        <v>46997</v>
      </c>
      <c r="AI4" s="1055">
        <f t="shared" si="0"/>
        <v>47027</v>
      </c>
      <c r="AJ4" s="1055">
        <f t="shared" si="0"/>
        <v>47058</v>
      </c>
      <c r="AK4" s="1055">
        <f t="shared" si="0"/>
        <v>47088</v>
      </c>
      <c r="AL4" s="1055">
        <f t="shared" si="0"/>
        <v>47119</v>
      </c>
      <c r="AM4" s="1055">
        <f t="shared" si="0"/>
        <v>47150</v>
      </c>
      <c r="AN4" s="1055">
        <f t="shared" si="0"/>
        <v>47178</v>
      </c>
      <c r="AO4" s="1055">
        <f t="shared" si="0"/>
        <v>47209</v>
      </c>
      <c r="AP4" s="1055">
        <f t="shared" si="0"/>
        <v>47239</v>
      </c>
      <c r="AQ4" s="1055">
        <f t="shared" si="0"/>
        <v>47270</v>
      </c>
      <c r="AR4" s="1055">
        <f t="shared" si="0"/>
        <v>47300</v>
      </c>
      <c r="AS4" s="1055">
        <f t="shared" si="0"/>
        <v>47331</v>
      </c>
      <c r="AT4" s="1055">
        <f t="shared" si="0"/>
        <v>47362</v>
      </c>
      <c r="AU4" s="1055">
        <f t="shared" si="0"/>
        <v>47392</v>
      </c>
      <c r="AV4" s="1055">
        <f t="shared" si="0"/>
        <v>47423</v>
      </c>
      <c r="AW4" s="1055">
        <f t="shared" si="0"/>
        <v>47453</v>
      </c>
      <c r="AX4" s="1055">
        <f t="shared" si="0"/>
        <v>47484</v>
      </c>
      <c r="AY4" s="1055">
        <f t="shared" si="0"/>
        <v>47515</v>
      </c>
      <c r="AZ4" s="1055">
        <f t="shared" si="0"/>
        <v>47543</v>
      </c>
      <c r="BA4" s="1055">
        <f t="shared" si="0"/>
        <v>47574</v>
      </c>
      <c r="BB4" s="1055">
        <f t="shared" si="0"/>
        <v>47604</v>
      </c>
      <c r="BC4" s="1055">
        <f t="shared" si="0"/>
        <v>47635</v>
      </c>
      <c r="BD4" s="1055">
        <f t="shared" si="0"/>
        <v>47665</v>
      </c>
      <c r="BE4" s="1055">
        <f t="shared" si="0"/>
        <v>47696</v>
      </c>
      <c r="BF4" s="1055">
        <f t="shared" si="0"/>
        <v>47727</v>
      </c>
      <c r="BG4" s="1055">
        <f t="shared" si="0"/>
        <v>47757</v>
      </c>
      <c r="BH4" s="1055">
        <f t="shared" si="0"/>
        <v>47788</v>
      </c>
      <c r="BI4" s="1055">
        <f t="shared" si="0"/>
        <v>47818</v>
      </c>
      <c r="BJ4" s="1055">
        <f t="shared" si="0"/>
        <v>47849</v>
      </c>
      <c r="BK4" s="1055">
        <f t="shared" si="0"/>
        <v>47880</v>
      </c>
      <c r="BL4" s="1055">
        <f t="shared" si="0"/>
        <v>47908</v>
      </c>
      <c r="BM4" s="1055">
        <f t="shared" si="0"/>
        <v>47939</v>
      </c>
      <c r="BN4" s="1055">
        <f t="shared" si="0"/>
        <v>47969</v>
      </c>
      <c r="BO4" s="1055">
        <f t="shared" si="0"/>
        <v>48000</v>
      </c>
      <c r="BP4" s="1055">
        <f t="shared" si="0"/>
        <v>48030</v>
      </c>
      <c r="BQ4" s="1055">
        <f t="shared" si="0"/>
        <v>48061</v>
      </c>
      <c r="BR4" s="1055">
        <f t="shared" si="0"/>
        <v>48092</v>
      </c>
      <c r="BS4" s="1055">
        <f t="shared" si="0"/>
        <v>48122</v>
      </c>
      <c r="BT4" s="1055">
        <f t="shared" si="0"/>
        <v>48153</v>
      </c>
      <c r="BU4" s="1055">
        <f t="shared" si="0"/>
        <v>48183</v>
      </c>
      <c r="BV4" s="1055">
        <f t="shared" si="0"/>
        <v>48214</v>
      </c>
      <c r="BW4" s="1055">
        <f t="shared" si="0"/>
        <v>48245</v>
      </c>
      <c r="BX4" s="1055">
        <f t="shared" si="0"/>
        <v>48274</v>
      </c>
      <c r="BY4" s="1055">
        <f t="shared" si="0"/>
        <v>48305</v>
      </c>
      <c r="BZ4" s="1055">
        <f t="shared" si="0"/>
        <v>48335</v>
      </c>
      <c r="CA4" s="1055">
        <f t="shared" si="0"/>
        <v>48366</v>
      </c>
      <c r="CB4" s="1055">
        <f t="shared" si="0"/>
        <v>48396</v>
      </c>
      <c r="CC4" s="1055">
        <f t="shared" si="0"/>
        <v>48427</v>
      </c>
      <c r="CD4" s="1055">
        <f t="shared" si="0"/>
        <v>48458</v>
      </c>
      <c r="CE4" s="1055">
        <f t="shared" si="0"/>
        <v>48488</v>
      </c>
      <c r="CF4" s="1055">
        <f t="shared" si="0"/>
        <v>48519</v>
      </c>
      <c r="CG4" s="1055">
        <f t="shared" si="0"/>
        <v>48549</v>
      </c>
      <c r="CH4" s="1055">
        <f t="shared" si="0"/>
        <v>48580</v>
      </c>
      <c r="CI4" s="1055">
        <f t="shared" si="0"/>
        <v>48611</v>
      </c>
      <c r="CJ4" s="1055">
        <f t="shared" si="0"/>
        <v>48639</v>
      </c>
      <c r="CK4" s="1055">
        <f t="shared" si="0"/>
        <v>48670</v>
      </c>
      <c r="CL4" s="1055">
        <f t="shared" si="0"/>
        <v>48700</v>
      </c>
      <c r="CM4" s="1055">
        <f t="shared" si="0"/>
        <v>48731</v>
      </c>
      <c r="CN4" s="1055">
        <f t="shared" si="0"/>
        <v>48761</v>
      </c>
      <c r="CO4" s="1055">
        <f t="shared" si="0"/>
        <v>48792</v>
      </c>
      <c r="CP4" s="1055">
        <f t="shared" si="0"/>
        <v>48823</v>
      </c>
      <c r="CQ4" s="1055">
        <f t="shared" si="0"/>
        <v>48853</v>
      </c>
      <c r="CR4" s="1055">
        <f t="shared" si="0"/>
        <v>48884</v>
      </c>
      <c r="CS4" s="1055">
        <f t="shared" si="0"/>
        <v>48914</v>
      </c>
      <c r="CT4" s="1055">
        <f t="shared" si="0"/>
        <v>48945</v>
      </c>
      <c r="CU4" s="1055">
        <f t="shared" si="0"/>
        <v>48976</v>
      </c>
      <c r="CV4" s="1055">
        <f t="shared" si="0"/>
        <v>49004</v>
      </c>
      <c r="CW4" s="1055">
        <f t="shared" si="0"/>
        <v>49035</v>
      </c>
      <c r="CX4" s="1055">
        <f t="shared" si="0"/>
        <v>49065</v>
      </c>
      <c r="CY4" s="1055">
        <f t="shared" si="0"/>
        <v>49096</v>
      </c>
      <c r="CZ4" s="1055">
        <f t="shared" si="0"/>
        <v>49126</v>
      </c>
      <c r="DA4" s="1055">
        <f t="shared" si="0"/>
        <v>49157</v>
      </c>
      <c r="DB4" s="1055">
        <f t="shared" si="0"/>
        <v>49188</v>
      </c>
      <c r="DC4" s="1055">
        <f t="shared" si="0"/>
        <v>49218</v>
      </c>
      <c r="DD4" s="1055">
        <f t="shared" si="0"/>
        <v>49249</v>
      </c>
      <c r="DE4" s="1055">
        <f t="shared" si="0"/>
        <v>49279</v>
      </c>
      <c r="DF4" s="1055">
        <f t="shared" si="0"/>
        <v>49310</v>
      </c>
      <c r="DG4" s="1055">
        <f t="shared" si="0"/>
        <v>49341</v>
      </c>
      <c r="DH4" s="1055">
        <f t="shared" si="0"/>
        <v>49369</v>
      </c>
      <c r="DI4" s="1055">
        <f t="shared" si="0"/>
        <v>49400</v>
      </c>
      <c r="DJ4" s="1055">
        <f t="shared" si="0"/>
        <v>49430</v>
      </c>
      <c r="DK4" s="1055">
        <f t="shared" si="0"/>
        <v>49461</v>
      </c>
      <c r="DL4" s="1055">
        <f t="shared" si="0"/>
        <v>49491</v>
      </c>
      <c r="DM4" s="1055">
        <f t="shared" si="0"/>
        <v>49522</v>
      </c>
      <c r="DN4" s="1055">
        <f t="shared" si="0"/>
        <v>49553</v>
      </c>
      <c r="DO4" s="1055">
        <f t="shared" si="0"/>
        <v>49583</v>
      </c>
      <c r="DP4" s="1055">
        <f t="shared" si="0"/>
        <v>49614</v>
      </c>
      <c r="DQ4" s="1055">
        <f t="shared" si="0"/>
        <v>49644</v>
      </c>
      <c r="DR4" s="1055">
        <f t="shared" si="0"/>
        <v>49675</v>
      </c>
      <c r="DS4" s="1055">
        <f t="shared" si="0"/>
        <v>49706</v>
      </c>
      <c r="DT4" s="1055">
        <f t="shared" si="0"/>
        <v>49735</v>
      </c>
      <c r="DU4" s="1055">
        <f t="shared" si="0"/>
        <v>49766</v>
      </c>
      <c r="DV4" s="1055">
        <f t="shared" si="0"/>
        <v>49796</v>
      </c>
      <c r="DW4" s="1055">
        <f t="shared" si="0"/>
        <v>49827</v>
      </c>
      <c r="DX4" s="1055">
        <f t="shared" si="0"/>
        <v>49857</v>
      </c>
      <c r="DY4" s="1055">
        <f t="shared" si="0"/>
        <v>49888</v>
      </c>
      <c r="DZ4" s="1055">
        <f t="shared" si="0"/>
        <v>49919</v>
      </c>
      <c r="EA4" s="1055">
        <f t="shared" si="0"/>
        <v>49949</v>
      </c>
      <c r="EB4" s="1055">
        <f t="shared" si="0"/>
        <v>49980</v>
      </c>
      <c r="EC4" s="1055">
        <f t="shared" si="0"/>
        <v>50010</v>
      </c>
      <c r="ED4" s="1055">
        <f t="shared" si="0"/>
        <v>50041</v>
      </c>
      <c r="EE4" s="1055">
        <f t="shared" si="0"/>
        <v>50072</v>
      </c>
      <c r="EF4" s="1055">
        <f t="shared" si="0"/>
        <v>50100</v>
      </c>
      <c r="EG4" s="1055">
        <f t="shared" si="0"/>
        <v>50131</v>
      </c>
      <c r="EH4" s="1055">
        <f t="shared" si="0"/>
        <v>50161</v>
      </c>
      <c r="EI4" s="1055">
        <f t="shared" si="0"/>
        <v>50192</v>
      </c>
      <c r="EJ4" s="1055">
        <f t="shared" si="0"/>
        <v>50222</v>
      </c>
      <c r="EK4" s="1055">
        <f t="shared" si="0"/>
        <v>50253</v>
      </c>
      <c r="EL4" s="1055">
        <f t="shared" si="0"/>
        <v>50284</v>
      </c>
      <c r="EM4" s="1055">
        <f t="shared" si="0"/>
        <v>50314</v>
      </c>
      <c r="EN4" s="1055">
        <f t="shared" si="0"/>
        <v>50345</v>
      </c>
      <c r="EO4" s="1055">
        <f t="shared" si="0"/>
        <v>50375</v>
      </c>
      <c r="EP4" s="1055">
        <f t="shared" si="0"/>
        <v>50406</v>
      </c>
      <c r="EQ4" s="1055">
        <f t="shared" si="0"/>
        <v>50437</v>
      </c>
    </row>
    <row r="5" spans="1:147" ht="15" customHeight="1">
      <c r="A5" s="1052" t="s">
        <v>2032</v>
      </c>
      <c r="B5" s="1053">
        <v>0</v>
      </c>
      <c r="C5" s="1055">
        <f t="shared" ref="C5:EQ5" si="1">IFERROR(EOMONTH(C4,0),"")</f>
        <v>46081</v>
      </c>
      <c r="D5" s="1055">
        <f t="shared" si="1"/>
        <v>46112</v>
      </c>
      <c r="E5" s="1055">
        <f t="shared" si="1"/>
        <v>46142</v>
      </c>
      <c r="F5" s="1055">
        <f t="shared" si="1"/>
        <v>46173</v>
      </c>
      <c r="G5" s="1055">
        <f t="shared" si="1"/>
        <v>46203</v>
      </c>
      <c r="H5" s="1055">
        <f t="shared" si="1"/>
        <v>46234</v>
      </c>
      <c r="I5" s="1055">
        <f t="shared" si="1"/>
        <v>46265</v>
      </c>
      <c r="J5" s="1055">
        <f t="shared" si="1"/>
        <v>46295</v>
      </c>
      <c r="K5" s="1055">
        <f t="shared" si="1"/>
        <v>46326</v>
      </c>
      <c r="L5" s="1055">
        <f t="shared" si="1"/>
        <v>46356</v>
      </c>
      <c r="M5" s="1055">
        <f t="shared" si="1"/>
        <v>46387</v>
      </c>
      <c r="N5" s="1055">
        <f t="shared" si="1"/>
        <v>46418</v>
      </c>
      <c r="O5" s="1055">
        <f t="shared" si="1"/>
        <v>46446</v>
      </c>
      <c r="P5" s="1055">
        <f t="shared" si="1"/>
        <v>46477</v>
      </c>
      <c r="Q5" s="1055">
        <f t="shared" si="1"/>
        <v>46507</v>
      </c>
      <c r="R5" s="1055">
        <f t="shared" si="1"/>
        <v>46538</v>
      </c>
      <c r="S5" s="1055">
        <f t="shared" si="1"/>
        <v>46568</v>
      </c>
      <c r="T5" s="1055">
        <f t="shared" si="1"/>
        <v>46599</v>
      </c>
      <c r="U5" s="1055">
        <f t="shared" si="1"/>
        <v>46630</v>
      </c>
      <c r="V5" s="1055">
        <f t="shared" si="1"/>
        <v>46660</v>
      </c>
      <c r="W5" s="1055">
        <f t="shared" si="1"/>
        <v>46691</v>
      </c>
      <c r="X5" s="1055">
        <f t="shared" si="1"/>
        <v>46721</v>
      </c>
      <c r="Y5" s="1055">
        <f t="shared" si="1"/>
        <v>46752</v>
      </c>
      <c r="Z5" s="1055">
        <f t="shared" si="1"/>
        <v>46783</v>
      </c>
      <c r="AA5" s="1055">
        <f t="shared" si="1"/>
        <v>46812</v>
      </c>
      <c r="AB5" s="1055">
        <f t="shared" si="1"/>
        <v>46843</v>
      </c>
      <c r="AC5" s="1055">
        <f t="shared" si="1"/>
        <v>46873</v>
      </c>
      <c r="AD5" s="1055">
        <f t="shared" si="1"/>
        <v>46904</v>
      </c>
      <c r="AE5" s="1055">
        <f t="shared" si="1"/>
        <v>46934</v>
      </c>
      <c r="AF5" s="1055">
        <f t="shared" si="1"/>
        <v>46965</v>
      </c>
      <c r="AG5" s="1055">
        <f t="shared" si="1"/>
        <v>46996</v>
      </c>
      <c r="AH5" s="1055">
        <f t="shared" si="1"/>
        <v>47026</v>
      </c>
      <c r="AI5" s="1055">
        <f t="shared" si="1"/>
        <v>47057</v>
      </c>
      <c r="AJ5" s="1055">
        <f t="shared" si="1"/>
        <v>47087</v>
      </c>
      <c r="AK5" s="1055">
        <f t="shared" si="1"/>
        <v>47118</v>
      </c>
      <c r="AL5" s="1055">
        <f t="shared" si="1"/>
        <v>47149</v>
      </c>
      <c r="AM5" s="1055">
        <f t="shared" si="1"/>
        <v>47177</v>
      </c>
      <c r="AN5" s="1055">
        <f t="shared" si="1"/>
        <v>47208</v>
      </c>
      <c r="AO5" s="1055">
        <f t="shared" si="1"/>
        <v>47238</v>
      </c>
      <c r="AP5" s="1055">
        <f t="shared" si="1"/>
        <v>47269</v>
      </c>
      <c r="AQ5" s="1055">
        <f t="shared" si="1"/>
        <v>47299</v>
      </c>
      <c r="AR5" s="1055">
        <f t="shared" si="1"/>
        <v>47330</v>
      </c>
      <c r="AS5" s="1055">
        <f t="shared" si="1"/>
        <v>47361</v>
      </c>
      <c r="AT5" s="1055">
        <f t="shared" si="1"/>
        <v>47391</v>
      </c>
      <c r="AU5" s="1055">
        <f t="shared" si="1"/>
        <v>47422</v>
      </c>
      <c r="AV5" s="1055">
        <f t="shared" si="1"/>
        <v>47452</v>
      </c>
      <c r="AW5" s="1055">
        <f t="shared" si="1"/>
        <v>47483</v>
      </c>
      <c r="AX5" s="1055">
        <f t="shared" si="1"/>
        <v>47514</v>
      </c>
      <c r="AY5" s="1055">
        <f t="shared" si="1"/>
        <v>47542</v>
      </c>
      <c r="AZ5" s="1055">
        <f t="shared" si="1"/>
        <v>47573</v>
      </c>
      <c r="BA5" s="1055">
        <f t="shared" si="1"/>
        <v>47603</v>
      </c>
      <c r="BB5" s="1055">
        <f t="shared" si="1"/>
        <v>47634</v>
      </c>
      <c r="BC5" s="1055">
        <f t="shared" si="1"/>
        <v>47664</v>
      </c>
      <c r="BD5" s="1055">
        <f t="shared" si="1"/>
        <v>47695</v>
      </c>
      <c r="BE5" s="1055">
        <f t="shared" si="1"/>
        <v>47726</v>
      </c>
      <c r="BF5" s="1055">
        <f t="shared" si="1"/>
        <v>47756</v>
      </c>
      <c r="BG5" s="1055">
        <f t="shared" si="1"/>
        <v>47787</v>
      </c>
      <c r="BH5" s="1055">
        <f t="shared" si="1"/>
        <v>47817</v>
      </c>
      <c r="BI5" s="1055">
        <f t="shared" si="1"/>
        <v>47848</v>
      </c>
      <c r="BJ5" s="1055">
        <f t="shared" si="1"/>
        <v>47879</v>
      </c>
      <c r="BK5" s="1055">
        <f t="shared" si="1"/>
        <v>47907</v>
      </c>
      <c r="BL5" s="1055">
        <f t="shared" si="1"/>
        <v>47938</v>
      </c>
      <c r="BM5" s="1055">
        <f t="shared" si="1"/>
        <v>47968</v>
      </c>
      <c r="BN5" s="1055">
        <f t="shared" si="1"/>
        <v>47999</v>
      </c>
      <c r="BO5" s="1055">
        <f t="shared" si="1"/>
        <v>48029</v>
      </c>
      <c r="BP5" s="1055">
        <f t="shared" si="1"/>
        <v>48060</v>
      </c>
      <c r="BQ5" s="1055">
        <f t="shared" si="1"/>
        <v>48091</v>
      </c>
      <c r="BR5" s="1055">
        <f t="shared" si="1"/>
        <v>48121</v>
      </c>
      <c r="BS5" s="1055">
        <f t="shared" si="1"/>
        <v>48152</v>
      </c>
      <c r="BT5" s="1055">
        <f t="shared" si="1"/>
        <v>48182</v>
      </c>
      <c r="BU5" s="1055">
        <f t="shared" si="1"/>
        <v>48213</v>
      </c>
      <c r="BV5" s="1055">
        <f t="shared" si="1"/>
        <v>48244</v>
      </c>
      <c r="BW5" s="1055">
        <f t="shared" si="1"/>
        <v>48273</v>
      </c>
      <c r="BX5" s="1055">
        <f t="shared" si="1"/>
        <v>48304</v>
      </c>
      <c r="BY5" s="1055">
        <f t="shared" si="1"/>
        <v>48334</v>
      </c>
      <c r="BZ5" s="1055">
        <f t="shared" si="1"/>
        <v>48365</v>
      </c>
      <c r="CA5" s="1055">
        <f t="shared" si="1"/>
        <v>48395</v>
      </c>
      <c r="CB5" s="1055">
        <f t="shared" si="1"/>
        <v>48426</v>
      </c>
      <c r="CC5" s="1055">
        <f t="shared" si="1"/>
        <v>48457</v>
      </c>
      <c r="CD5" s="1055">
        <f t="shared" si="1"/>
        <v>48487</v>
      </c>
      <c r="CE5" s="1055">
        <f t="shared" si="1"/>
        <v>48518</v>
      </c>
      <c r="CF5" s="1055">
        <f t="shared" si="1"/>
        <v>48548</v>
      </c>
      <c r="CG5" s="1055">
        <f t="shared" si="1"/>
        <v>48579</v>
      </c>
      <c r="CH5" s="1055">
        <f t="shared" si="1"/>
        <v>48610</v>
      </c>
      <c r="CI5" s="1055">
        <f t="shared" si="1"/>
        <v>48638</v>
      </c>
      <c r="CJ5" s="1055">
        <f t="shared" si="1"/>
        <v>48669</v>
      </c>
      <c r="CK5" s="1055">
        <f t="shared" si="1"/>
        <v>48699</v>
      </c>
      <c r="CL5" s="1055">
        <f t="shared" si="1"/>
        <v>48730</v>
      </c>
      <c r="CM5" s="1055">
        <f t="shared" si="1"/>
        <v>48760</v>
      </c>
      <c r="CN5" s="1055">
        <f t="shared" si="1"/>
        <v>48791</v>
      </c>
      <c r="CO5" s="1055">
        <f t="shared" si="1"/>
        <v>48822</v>
      </c>
      <c r="CP5" s="1055">
        <f t="shared" si="1"/>
        <v>48852</v>
      </c>
      <c r="CQ5" s="1055">
        <f t="shared" si="1"/>
        <v>48883</v>
      </c>
      <c r="CR5" s="1055">
        <f t="shared" si="1"/>
        <v>48913</v>
      </c>
      <c r="CS5" s="1055">
        <f t="shared" si="1"/>
        <v>48944</v>
      </c>
      <c r="CT5" s="1055">
        <f t="shared" si="1"/>
        <v>48975</v>
      </c>
      <c r="CU5" s="1055">
        <f t="shared" si="1"/>
        <v>49003</v>
      </c>
      <c r="CV5" s="1055">
        <f t="shared" si="1"/>
        <v>49034</v>
      </c>
      <c r="CW5" s="1055">
        <f t="shared" si="1"/>
        <v>49064</v>
      </c>
      <c r="CX5" s="1055">
        <f t="shared" si="1"/>
        <v>49095</v>
      </c>
      <c r="CY5" s="1055">
        <f t="shared" si="1"/>
        <v>49125</v>
      </c>
      <c r="CZ5" s="1055">
        <f t="shared" si="1"/>
        <v>49156</v>
      </c>
      <c r="DA5" s="1055">
        <f t="shared" si="1"/>
        <v>49187</v>
      </c>
      <c r="DB5" s="1055">
        <f t="shared" si="1"/>
        <v>49217</v>
      </c>
      <c r="DC5" s="1055">
        <f t="shared" si="1"/>
        <v>49248</v>
      </c>
      <c r="DD5" s="1055">
        <f t="shared" si="1"/>
        <v>49278</v>
      </c>
      <c r="DE5" s="1055">
        <f t="shared" si="1"/>
        <v>49309</v>
      </c>
      <c r="DF5" s="1055">
        <f t="shared" si="1"/>
        <v>49340</v>
      </c>
      <c r="DG5" s="1055">
        <f t="shared" si="1"/>
        <v>49368</v>
      </c>
      <c r="DH5" s="1055">
        <f t="shared" si="1"/>
        <v>49399</v>
      </c>
      <c r="DI5" s="1055">
        <f t="shared" si="1"/>
        <v>49429</v>
      </c>
      <c r="DJ5" s="1055">
        <f t="shared" si="1"/>
        <v>49460</v>
      </c>
      <c r="DK5" s="1055">
        <f t="shared" si="1"/>
        <v>49490</v>
      </c>
      <c r="DL5" s="1055">
        <f t="shared" si="1"/>
        <v>49521</v>
      </c>
      <c r="DM5" s="1055">
        <f t="shared" si="1"/>
        <v>49552</v>
      </c>
      <c r="DN5" s="1055">
        <f t="shared" si="1"/>
        <v>49582</v>
      </c>
      <c r="DO5" s="1055">
        <f t="shared" si="1"/>
        <v>49613</v>
      </c>
      <c r="DP5" s="1055">
        <f t="shared" si="1"/>
        <v>49643</v>
      </c>
      <c r="DQ5" s="1055">
        <f t="shared" si="1"/>
        <v>49674</v>
      </c>
      <c r="DR5" s="1055">
        <f t="shared" si="1"/>
        <v>49705</v>
      </c>
      <c r="DS5" s="1055">
        <f t="shared" si="1"/>
        <v>49734</v>
      </c>
      <c r="DT5" s="1055">
        <f t="shared" si="1"/>
        <v>49765</v>
      </c>
      <c r="DU5" s="1055">
        <f t="shared" si="1"/>
        <v>49795</v>
      </c>
      <c r="DV5" s="1055">
        <f t="shared" si="1"/>
        <v>49826</v>
      </c>
      <c r="DW5" s="1055">
        <f t="shared" si="1"/>
        <v>49856</v>
      </c>
      <c r="DX5" s="1055">
        <f t="shared" si="1"/>
        <v>49887</v>
      </c>
      <c r="DY5" s="1055">
        <f t="shared" si="1"/>
        <v>49918</v>
      </c>
      <c r="DZ5" s="1055">
        <f t="shared" si="1"/>
        <v>49948</v>
      </c>
      <c r="EA5" s="1055">
        <f t="shared" si="1"/>
        <v>49979</v>
      </c>
      <c r="EB5" s="1055">
        <f t="shared" si="1"/>
        <v>50009</v>
      </c>
      <c r="EC5" s="1055">
        <f t="shared" si="1"/>
        <v>50040</v>
      </c>
      <c r="ED5" s="1055">
        <f t="shared" si="1"/>
        <v>50071</v>
      </c>
      <c r="EE5" s="1055">
        <f t="shared" si="1"/>
        <v>50099</v>
      </c>
      <c r="EF5" s="1055">
        <f t="shared" si="1"/>
        <v>50130</v>
      </c>
      <c r="EG5" s="1055">
        <f t="shared" si="1"/>
        <v>50160</v>
      </c>
      <c r="EH5" s="1055">
        <f t="shared" si="1"/>
        <v>50191</v>
      </c>
      <c r="EI5" s="1055">
        <f t="shared" si="1"/>
        <v>50221</v>
      </c>
      <c r="EJ5" s="1055">
        <f t="shared" si="1"/>
        <v>50252</v>
      </c>
      <c r="EK5" s="1055">
        <f t="shared" si="1"/>
        <v>50283</v>
      </c>
      <c r="EL5" s="1055">
        <f t="shared" si="1"/>
        <v>50313</v>
      </c>
      <c r="EM5" s="1055">
        <f t="shared" si="1"/>
        <v>50344</v>
      </c>
      <c r="EN5" s="1055">
        <f t="shared" si="1"/>
        <v>50374</v>
      </c>
      <c r="EO5" s="1055">
        <f t="shared" si="1"/>
        <v>50405</v>
      </c>
      <c r="EP5" s="1055">
        <f t="shared" si="1"/>
        <v>50436</v>
      </c>
      <c r="EQ5" s="1055">
        <f t="shared" si="1"/>
        <v>50464</v>
      </c>
    </row>
    <row r="6" spans="1:147" ht="15" customHeight="1">
      <c r="A6" s="1052" t="s">
        <v>192</v>
      </c>
      <c r="B6" s="1052">
        <f>IFERROR(B3+B4+B5,"")</f>
        <v>7</v>
      </c>
      <c r="C6" s="233" t="str">
        <f t="shared" ref="C6:EQ6" si="2">IFERROR("FY"&amp;RIGHT("0"&amp;MOD(YEAR(C4)+--(MONTH(C4)&gt;=7),100),2),"")</f>
        <v>FY26</v>
      </c>
      <c r="D6" s="233" t="str">
        <f t="shared" si="2"/>
        <v>FY26</v>
      </c>
      <c r="E6" s="233" t="str">
        <f t="shared" si="2"/>
        <v>FY26</v>
      </c>
      <c r="F6" s="233" t="str">
        <f t="shared" si="2"/>
        <v>FY26</v>
      </c>
      <c r="G6" s="233" t="str">
        <f t="shared" si="2"/>
        <v>FY26</v>
      </c>
      <c r="H6" s="233" t="str">
        <f t="shared" si="2"/>
        <v>FY27</v>
      </c>
      <c r="I6" s="233" t="str">
        <f t="shared" si="2"/>
        <v>FY27</v>
      </c>
      <c r="J6" s="233" t="str">
        <f t="shared" si="2"/>
        <v>FY27</v>
      </c>
      <c r="K6" s="233" t="str">
        <f t="shared" si="2"/>
        <v>FY27</v>
      </c>
      <c r="L6" s="233" t="str">
        <f t="shared" si="2"/>
        <v>FY27</v>
      </c>
      <c r="M6" s="233" t="str">
        <f t="shared" si="2"/>
        <v>FY27</v>
      </c>
      <c r="N6" s="233" t="str">
        <f t="shared" si="2"/>
        <v>FY27</v>
      </c>
      <c r="O6" s="233" t="str">
        <f t="shared" si="2"/>
        <v>FY27</v>
      </c>
      <c r="P6" s="233" t="str">
        <f t="shared" si="2"/>
        <v>FY27</v>
      </c>
      <c r="Q6" s="233" t="str">
        <f t="shared" si="2"/>
        <v>FY27</v>
      </c>
      <c r="R6" s="233" t="str">
        <f t="shared" si="2"/>
        <v>FY27</v>
      </c>
      <c r="S6" s="233" t="str">
        <f t="shared" si="2"/>
        <v>FY27</v>
      </c>
      <c r="T6" s="233" t="str">
        <f t="shared" si="2"/>
        <v>FY28</v>
      </c>
      <c r="U6" s="233" t="str">
        <f t="shared" si="2"/>
        <v>FY28</v>
      </c>
      <c r="V6" s="233" t="str">
        <f t="shared" si="2"/>
        <v>FY28</v>
      </c>
      <c r="W6" s="233" t="str">
        <f t="shared" si="2"/>
        <v>FY28</v>
      </c>
      <c r="X6" s="233" t="str">
        <f t="shared" si="2"/>
        <v>FY28</v>
      </c>
      <c r="Y6" s="233" t="str">
        <f t="shared" si="2"/>
        <v>FY28</v>
      </c>
      <c r="Z6" s="233" t="str">
        <f t="shared" si="2"/>
        <v>FY28</v>
      </c>
      <c r="AA6" s="233" t="str">
        <f t="shared" si="2"/>
        <v>FY28</v>
      </c>
      <c r="AB6" s="233" t="str">
        <f t="shared" si="2"/>
        <v>FY28</v>
      </c>
      <c r="AC6" s="233" t="str">
        <f t="shared" si="2"/>
        <v>FY28</v>
      </c>
      <c r="AD6" s="233" t="str">
        <f t="shared" si="2"/>
        <v>FY28</v>
      </c>
      <c r="AE6" s="233" t="str">
        <f t="shared" si="2"/>
        <v>FY28</v>
      </c>
      <c r="AF6" s="233" t="str">
        <f t="shared" si="2"/>
        <v>FY29</v>
      </c>
      <c r="AG6" s="233" t="str">
        <f t="shared" si="2"/>
        <v>FY29</v>
      </c>
      <c r="AH6" s="233" t="str">
        <f t="shared" si="2"/>
        <v>FY29</v>
      </c>
      <c r="AI6" s="233" t="str">
        <f t="shared" si="2"/>
        <v>FY29</v>
      </c>
      <c r="AJ6" s="233" t="str">
        <f t="shared" si="2"/>
        <v>FY29</v>
      </c>
      <c r="AK6" s="233" t="str">
        <f t="shared" si="2"/>
        <v>FY29</v>
      </c>
      <c r="AL6" s="233" t="str">
        <f t="shared" si="2"/>
        <v>FY29</v>
      </c>
      <c r="AM6" s="233" t="str">
        <f t="shared" si="2"/>
        <v>FY29</v>
      </c>
      <c r="AN6" s="233" t="str">
        <f t="shared" si="2"/>
        <v>FY29</v>
      </c>
      <c r="AO6" s="233" t="str">
        <f t="shared" si="2"/>
        <v>FY29</v>
      </c>
      <c r="AP6" s="233" t="str">
        <f t="shared" si="2"/>
        <v>FY29</v>
      </c>
      <c r="AQ6" s="233" t="str">
        <f t="shared" si="2"/>
        <v>FY29</v>
      </c>
      <c r="AR6" s="233" t="str">
        <f t="shared" si="2"/>
        <v>FY30</v>
      </c>
      <c r="AS6" s="233" t="str">
        <f t="shared" si="2"/>
        <v>FY30</v>
      </c>
      <c r="AT6" s="233" t="str">
        <f t="shared" si="2"/>
        <v>FY30</v>
      </c>
      <c r="AU6" s="233" t="str">
        <f t="shared" si="2"/>
        <v>FY30</v>
      </c>
      <c r="AV6" s="233" t="str">
        <f t="shared" si="2"/>
        <v>FY30</v>
      </c>
      <c r="AW6" s="233" t="str">
        <f t="shared" si="2"/>
        <v>FY30</v>
      </c>
      <c r="AX6" s="233" t="str">
        <f t="shared" si="2"/>
        <v>FY30</v>
      </c>
      <c r="AY6" s="233" t="str">
        <f t="shared" si="2"/>
        <v>FY30</v>
      </c>
      <c r="AZ6" s="233" t="str">
        <f t="shared" si="2"/>
        <v>FY30</v>
      </c>
      <c r="BA6" s="233" t="str">
        <f t="shared" si="2"/>
        <v>FY30</v>
      </c>
      <c r="BB6" s="233" t="str">
        <f t="shared" si="2"/>
        <v>FY30</v>
      </c>
      <c r="BC6" s="233" t="str">
        <f t="shared" si="2"/>
        <v>FY30</v>
      </c>
      <c r="BD6" s="233" t="str">
        <f t="shared" si="2"/>
        <v>FY31</v>
      </c>
      <c r="BE6" s="233" t="str">
        <f t="shared" si="2"/>
        <v>FY31</v>
      </c>
      <c r="BF6" s="233" t="str">
        <f t="shared" si="2"/>
        <v>FY31</v>
      </c>
      <c r="BG6" s="233" t="str">
        <f t="shared" si="2"/>
        <v>FY31</v>
      </c>
      <c r="BH6" s="233" t="str">
        <f t="shared" si="2"/>
        <v>FY31</v>
      </c>
      <c r="BI6" s="233" t="str">
        <f t="shared" si="2"/>
        <v>FY31</v>
      </c>
      <c r="BJ6" s="233" t="str">
        <f t="shared" si="2"/>
        <v>FY31</v>
      </c>
      <c r="BK6" s="233" t="str">
        <f t="shared" si="2"/>
        <v>FY31</v>
      </c>
      <c r="BL6" s="233" t="str">
        <f t="shared" si="2"/>
        <v>FY31</v>
      </c>
      <c r="BM6" s="233" t="str">
        <f t="shared" si="2"/>
        <v>FY31</v>
      </c>
      <c r="BN6" s="233" t="str">
        <f t="shared" si="2"/>
        <v>FY31</v>
      </c>
      <c r="BO6" s="233" t="str">
        <f t="shared" si="2"/>
        <v>FY31</v>
      </c>
      <c r="BP6" s="233" t="str">
        <f t="shared" si="2"/>
        <v>FY32</v>
      </c>
      <c r="BQ6" s="233" t="str">
        <f t="shared" si="2"/>
        <v>FY32</v>
      </c>
      <c r="BR6" s="233" t="str">
        <f t="shared" si="2"/>
        <v>FY32</v>
      </c>
      <c r="BS6" s="233" t="str">
        <f t="shared" si="2"/>
        <v>FY32</v>
      </c>
      <c r="BT6" s="233" t="str">
        <f t="shared" si="2"/>
        <v>FY32</v>
      </c>
      <c r="BU6" s="233" t="str">
        <f t="shared" si="2"/>
        <v>FY32</v>
      </c>
      <c r="BV6" s="233" t="str">
        <f t="shared" si="2"/>
        <v>FY32</v>
      </c>
      <c r="BW6" s="233" t="str">
        <f t="shared" si="2"/>
        <v>FY32</v>
      </c>
      <c r="BX6" s="233" t="str">
        <f t="shared" si="2"/>
        <v>FY32</v>
      </c>
      <c r="BY6" s="233" t="str">
        <f t="shared" si="2"/>
        <v>FY32</v>
      </c>
      <c r="BZ6" s="233" t="str">
        <f t="shared" si="2"/>
        <v>FY32</v>
      </c>
      <c r="CA6" s="233" t="str">
        <f t="shared" si="2"/>
        <v>FY32</v>
      </c>
      <c r="CB6" s="233" t="str">
        <f t="shared" si="2"/>
        <v>FY33</v>
      </c>
      <c r="CC6" s="233" t="str">
        <f t="shared" si="2"/>
        <v>FY33</v>
      </c>
      <c r="CD6" s="233" t="str">
        <f t="shared" si="2"/>
        <v>FY33</v>
      </c>
      <c r="CE6" s="233" t="str">
        <f t="shared" si="2"/>
        <v>FY33</v>
      </c>
      <c r="CF6" s="233" t="str">
        <f t="shared" si="2"/>
        <v>FY33</v>
      </c>
      <c r="CG6" s="233" t="str">
        <f t="shared" si="2"/>
        <v>FY33</v>
      </c>
      <c r="CH6" s="233" t="str">
        <f t="shared" si="2"/>
        <v>FY33</v>
      </c>
      <c r="CI6" s="233" t="str">
        <f t="shared" si="2"/>
        <v>FY33</v>
      </c>
      <c r="CJ6" s="233" t="str">
        <f t="shared" si="2"/>
        <v>FY33</v>
      </c>
      <c r="CK6" s="233" t="str">
        <f t="shared" si="2"/>
        <v>FY33</v>
      </c>
      <c r="CL6" s="233" t="str">
        <f t="shared" si="2"/>
        <v>FY33</v>
      </c>
      <c r="CM6" s="233" t="str">
        <f t="shared" si="2"/>
        <v>FY33</v>
      </c>
      <c r="CN6" s="233" t="str">
        <f t="shared" si="2"/>
        <v>FY34</v>
      </c>
      <c r="CO6" s="233" t="str">
        <f t="shared" si="2"/>
        <v>FY34</v>
      </c>
      <c r="CP6" s="233" t="str">
        <f t="shared" si="2"/>
        <v>FY34</v>
      </c>
      <c r="CQ6" s="233" t="str">
        <f t="shared" si="2"/>
        <v>FY34</v>
      </c>
      <c r="CR6" s="233" t="str">
        <f t="shared" si="2"/>
        <v>FY34</v>
      </c>
      <c r="CS6" s="233" t="str">
        <f t="shared" si="2"/>
        <v>FY34</v>
      </c>
      <c r="CT6" s="233" t="str">
        <f t="shared" si="2"/>
        <v>FY34</v>
      </c>
      <c r="CU6" s="233" t="str">
        <f t="shared" si="2"/>
        <v>FY34</v>
      </c>
      <c r="CV6" s="233" t="str">
        <f t="shared" si="2"/>
        <v>FY34</v>
      </c>
      <c r="CW6" s="233" t="str">
        <f t="shared" si="2"/>
        <v>FY34</v>
      </c>
      <c r="CX6" s="233" t="str">
        <f t="shared" si="2"/>
        <v>FY34</v>
      </c>
      <c r="CY6" s="233" t="str">
        <f t="shared" si="2"/>
        <v>FY34</v>
      </c>
      <c r="CZ6" s="233" t="str">
        <f t="shared" si="2"/>
        <v>FY35</v>
      </c>
      <c r="DA6" s="233" t="str">
        <f t="shared" si="2"/>
        <v>FY35</v>
      </c>
      <c r="DB6" s="233" t="str">
        <f t="shared" si="2"/>
        <v>FY35</v>
      </c>
      <c r="DC6" s="233" t="str">
        <f t="shared" si="2"/>
        <v>FY35</v>
      </c>
      <c r="DD6" s="233" t="str">
        <f t="shared" si="2"/>
        <v>FY35</v>
      </c>
      <c r="DE6" s="233" t="str">
        <f t="shared" si="2"/>
        <v>FY35</v>
      </c>
      <c r="DF6" s="233" t="str">
        <f t="shared" si="2"/>
        <v>FY35</v>
      </c>
      <c r="DG6" s="233" t="str">
        <f t="shared" si="2"/>
        <v>FY35</v>
      </c>
      <c r="DH6" s="233" t="str">
        <f t="shared" si="2"/>
        <v>FY35</v>
      </c>
      <c r="DI6" s="233" t="str">
        <f t="shared" si="2"/>
        <v>FY35</v>
      </c>
      <c r="DJ6" s="233" t="str">
        <f t="shared" si="2"/>
        <v>FY35</v>
      </c>
      <c r="DK6" s="233" t="str">
        <f t="shared" si="2"/>
        <v>FY35</v>
      </c>
      <c r="DL6" s="233" t="str">
        <f t="shared" si="2"/>
        <v>FY36</v>
      </c>
      <c r="DM6" s="233" t="str">
        <f t="shared" si="2"/>
        <v>FY36</v>
      </c>
      <c r="DN6" s="233" t="str">
        <f t="shared" si="2"/>
        <v>FY36</v>
      </c>
      <c r="DO6" s="233" t="str">
        <f t="shared" si="2"/>
        <v>FY36</v>
      </c>
      <c r="DP6" s="233" t="str">
        <f t="shared" si="2"/>
        <v>FY36</v>
      </c>
      <c r="DQ6" s="233" t="str">
        <f t="shared" si="2"/>
        <v>FY36</v>
      </c>
      <c r="DR6" s="233" t="str">
        <f t="shared" si="2"/>
        <v>FY36</v>
      </c>
      <c r="DS6" s="233" t="str">
        <f t="shared" si="2"/>
        <v>FY36</v>
      </c>
      <c r="DT6" s="233" t="str">
        <f t="shared" si="2"/>
        <v>FY36</v>
      </c>
      <c r="DU6" s="233" t="str">
        <f t="shared" si="2"/>
        <v>FY36</v>
      </c>
      <c r="DV6" s="233" t="str">
        <f t="shared" si="2"/>
        <v>FY36</v>
      </c>
      <c r="DW6" s="233" t="str">
        <f t="shared" si="2"/>
        <v>FY36</v>
      </c>
      <c r="DX6" s="233" t="str">
        <f t="shared" si="2"/>
        <v>FY37</v>
      </c>
      <c r="DY6" s="233" t="str">
        <f t="shared" si="2"/>
        <v>FY37</v>
      </c>
      <c r="DZ6" s="233" t="str">
        <f t="shared" si="2"/>
        <v>FY37</v>
      </c>
      <c r="EA6" s="233" t="str">
        <f t="shared" si="2"/>
        <v>FY37</v>
      </c>
      <c r="EB6" s="233" t="str">
        <f t="shared" si="2"/>
        <v>FY37</v>
      </c>
      <c r="EC6" s="233" t="str">
        <f t="shared" si="2"/>
        <v>FY37</v>
      </c>
      <c r="ED6" s="233" t="str">
        <f t="shared" si="2"/>
        <v>FY37</v>
      </c>
      <c r="EE6" s="233" t="str">
        <f t="shared" si="2"/>
        <v>FY37</v>
      </c>
      <c r="EF6" s="233" t="str">
        <f t="shared" si="2"/>
        <v>FY37</v>
      </c>
      <c r="EG6" s="233" t="str">
        <f t="shared" si="2"/>
        <v>FY37</v>
      </c>
      <c r="EH6" s="233" t="str">
        <f t="shared" si="2"/>
        <v>FY37</v>
      </c>
      <c r="EI6" s="233" t="str">
        <f t="shared" si="2"/>
        <v>FY37</v>
      </c>
      <c r="EJ6" s="233" t="str">
        <f t="shared" si="2"/>
        <v>FY38</v>
      </c>
      <c r="EK6" s="233" t="str">
        <f t="shared" si="2"/>
        <v>FY38</v>
      </c>
      <c r="EL6" s="233" t="str">
        <f t="shared" si="2"/>
        <v>FY38</v>
      </c>
      <c r="EM6" s="233" t="str">
        <f t="shared" si="2"/>
        <v>FY38</v>
      </c>
      <c r="EN6" s="233" t="str">
        <f t="shared" si="2"/>
        <v>FY38</v>
      </c>
      <c r="EO6" s="233" t="str">
        <f t="shared" si="2"/>
        <v>FY38</v>
      </c>
      <c r="EP6" s="233" t="str">
        <f t="shared" si="2"/>
        <v>FY38</v>
      </c>
      <c r="EQ6" s="233" t="str">
        <f t="shared" si="2"/>
        <v>FY38</v>
      </c>
    </row>
    <row r="7" spans="1:147" ht="15" customHeight="1">
      <c r="A7" s="1052" t="s">
        <v>2033</v>
      </c>
      <c r="B7" s="1053">
        <v>5</v>
      </c>
      <c r="C7" s="1056">
        <f t="shared" ref="C7:EQ7" si="3">IFERROR(YEAR(C4)+--(MONTH(C4)&gt;=7),"")</f>
        <v>2026</v>
      </c>
      <c r="D7" s="1056">
        <f t="shared" si="3"/>
        <v>2026</v>
      </c>
      <c r="E7" s="1056">
        <f t="shared" si="3"/>
        <v>2026</v>
      </c>
      <c r="F7" s="1056">
        <f t="shared" si="3"/>
        <v>2026</v>
      </c>
      <c r="G7" s="1056">
        <f t="shared" si="3"/>
        <v>2026</v>
      </c>
      <c r="H7" s="1056">
        <f t="shared" si="3"/>
        <v>2027</v>
      </c>
      <c r="I7" s="1056">
        <f t="shared" si="3"/>
        <v>2027</v>
      </c>
      <c r="J7" s="1056">
        <f t="shared" si="3"/>
        <v>2027</v>
      </c>
      <c r="K7" s="1056">
        <f t="shared" si="3"/>
        <v>2027</v>
      </c>
      <c r="L7" s="1056">
        <f t="shared" si="3"/>
        <v>2027</v>
      </c>
      <c r="M7" s="1056">
        <f t="shared" si="3"/>
        <v>2027</v>
      </c>
      <c r="N7" s="1056">
        <f t="shared" si="3"/>
        <v>2027</v>
      </c>
      <c r="O7" s="1056">
        <f t="shared" si="3"/>
        <v>2027</v>
      </c>
      <c r="P7" s="1056">
        <f t="shared" si="3"/>
        <v>2027</v>
      </c>
      <c r="Q7" s="1056">
        <f t="shared" si="3"/>
        <v>2027</v>
      </c>
      <c r="R7" s="1056">
        <f t="shared" si="3"/>
        <v>2027</v>
      </c>
      <c r="S7" s="1056">
        <f t="shared" si="3"/>
        <v>2027</v>
      </c>
      <c r="T7" s="1056">
        <f t="shared" si="3"/>
        <v>2028</v>
      </c>
      <c r="U7" s="1056">
        <f t="shared" si="3"/>
        <v>2028</v>
      </c>
      <c r="V7" s="1056">
        <f t="shared" si="3"/>
        <v>2028</v>
      </c>
      <c r="W7" s="1056">
        <f t="shared" si="3"/>
        <v>2028</v>
      </c>
      <c r="X7" s="1056">
        <f t="shared" si="3"/>
        <v>2028</v>
      </c>
      <c r="Y7" s="1056">
        <f t="shared" si="3"/>
        <v>2028</v>
      </c>
      <c r="Z7" s="1056">
        <f t="shared" si="3"/>
        <v>2028</v>
      </c>
      <c r="AA7" s="1056">
        <f t="shared" si="3"/>
        <v>2028</v>
      </c>
      <c r="AB7" s="1056">
        <f t="shared" si="3"/>
        <v>2028</v>
      </c>
      <c r="AC7" s="1056">
        <f t="shared" si="3"/>
        <v>2028</v>
      </c>
      <c r="AD7" s="1056">
        <f t="shared" si="3"/>
        <v>2028</v>
      </c>
      <c r="AE7" s="1056">
        <f t="shared" si="3"/>
        <v>2028</v>
      </c>
      <c r="AF7" s="1056">
        <f t="shared" si="3"/>
        <v>2029</v>
      </c>
      <c r="AG7" s="1056">
        <f t="shared" si="3"/>
        <v>2029</v>
      </c>
      <c r="AH7" s="1056">
        <f t="shared" si="3"/>
        <v>2029</v>
      </c>
      <c r="AI7" s="1056">
        <f t="shared" si="3"/>
        <v>2029</v>
      </c>
      <c r="AJ7" s="1056">
        <f t="shared" si="3"/>
        <v>2029</v>
      </c>
      <c r="AK7" s="1056">
        <f t="shared" si="3"/>
        <v>2029</v>
      </c>
      <c r="AL7" s="1056">
        <f t="shared" si="3"/>
        <v>2029</v>
      </c>
      <c r="AM7" s="1056">
        <f t="shared" si="3"/>
        <v>2029</v>
      </c>
      <c r="AN7" s="1056">
        <f t="shared" si="3"/>
        <v>2029</v>
      </c>
      <c r="AO7" s="1056">
        <f t="shared" si="3"/>
        <v>2029</v>
      </c>
      <c r="AP7" s="1056">
        <f t="shared" si="3"/>
        <v>2029</v>
      </c>
      <c r="AQ7" s="1056">
        <f t="shared" si="3"/>
        <v>2029</v>
      </c>
      <c r="AR7" s="1056">
        <f t="shared" si="3"/>
        <v>2030</v>
      </c>
      <c r="AS7" s="1056">
        <f t="shared" si="3"/>
        <v>2030</v>
      </c>
      <c r="AT7" s="1056">
        <f t="shared" si="3"/>
        <v>2030</v>
      </c>
      <c r="AU7" s="1056">
        <f t="shared" si="3"/>
        <v>2030</v>
      </c>
      <c r="AV7" s="1056">
        <f t="shared" si="3"/>
        <v>2030</v>
      </c>
      <c r="AW7" s="1056">
        <f t="shared" si="3"/>
        <v>2030</v>
      </c>
      <c r="AX7" s="1056">
        <f t="shared" si="3"/>
        <v>2030</v>
      </c>
      <c r="AY7" s="1056">
        <f t="shared" si="3"/>
        <v>2030</v>
      </c>
      <c r="AZ7" s="1056">
        <f t="shared" si="3"/>
        <v>2030</v>
      </c>
      <c r="BA7" s="1056">
        <f t="shared" si="3"/>
        <v>2030</v>
      </c>
      <c r="BB7" s="1056">
        <f t="shared" si="3"/>
        <v>2030</v>
      </c>
      <c r="BC7" s="1056">
        <f t="shared" si="3"/>
        <v>2030</v>
      </c>
      <c r="BD7" s="1056">
        <f t="shared" si="3"/>
        <v>2031</v>
      </c>
      <c r="BE7" s="1056">
        <f t="shared" si="3"/>
        <v>2031</v>
      </c>
      <c r="BF7" s="1056">
        <f t="shared" si="3"/>
        <v>2031</v>
      </c>
      <c r="BG7" s="1056">
        <f t="shared" si="3"/>
        <v>2031</v>
      </c>
      <c r="BH7" s="1056">
        <f t="shared" si="3"/>
        <v>2031</v>
      </c>
      <c r="BI7" s="1056">
        <f t="shared" si="3"/>
        <v>2031</v>
      </c>
      <c r="BJ7" s="1056">
        <f t="shared" si="3"/>
        <v>2031</v>
      </c>
      <c r="BK7" s="1056">
        <f t="shared" si="3"/>
        <v>2031</v>
      </c>
      <c r="BL7" s="1056">
        <f t="shared" si="3"/>
        <v>2031</v>
      </c>
      <c r="BM7" s="1056">
        <f t="shared" si="3"/>
        <v>2031</v>
      </c>
      <c r="BN7" s="1056">
        <f t="shared" si="3"/>
        <v>2031</v>
      </c>
      <c r="BO7" s="1056">
        <f t="shared" si="3"/>
        <v>2031</v>
      </c>
      <c r="BP7" s="1056">
        <f t="shared" si="3"/>
        <v>2032</v>
      </c>
      <c r="BQ7" s="1056">
        <f t="shared" si="3"/>
        <v>2032</v>
      </c>
      <c r="BR7" s="1056">
        <f t="shared" si="3"/>
        <v>2032</v>
      </c>
      <c r="BS7" s="1056">
        <f t="shared" si="3"/>
        <v>2032</v>
      </c>
      <c r="BT7" s="1056">
        <f t="shared" si="3"/>
        <v>2032</v>
      </c>
      <c r="BU7" s="1056">
        <f t="shared" si="3"/>
        <v>2032</v>
      </c>
      <c r="BV7" s="1056">
        <f t="shared" si="3"/>
        <v>2032</v>
      </c>
      <c r="BW7" s="1056">
        <f t="shared" si="3"/>
        <v>2032</v>
      </c>
      <c r="BX7" s="1056">
        <f t="shared" si="3"/>
        <v>2032</v>
      </c>
      <c r="BY7" s="1056">
        <f t="shared" si="3"/>
        <v>2032</v>
      </c>
      <c r="BZ7" s="1056">
        <f t="shared" si="3"/>
        <v>2032</v>
      </c>
      <c r="CA7" s="1056">
        <f t="shared" si="3"/>
        <v>2032</v>
      </c>
      <c r="CB7" s="1056">
        <f t="shared" si="3"/>
        <v>2033</v>
      </c>
      <c r="CC7" s="1056">
        <f t="shared" si="3"/>
        <v>2033</v>
      </c>
      <c r="CD7" s="1056">
        <f t="shared" si="3"/>
        <v>2033</v>
      </c>
      <c r="CE7" s="1056">
        <f t="shared" si="3"/>
        <v>2033</v>
      </c>
      <c r="CF7" s="1056">
        <f t="shared" si="3"/>
        <v>2033</v>
      </c>
      <c r="CG7" s="1056">
        <f t="shared" si="3"/>
        <v>2033</v>
      </c>
      <c r="CH7" s="1056">
        <f t="shared" si="3"/>
        <v>2033</v>
      </c>
      <c r="CI7" s="1056">
        <f t="shared" si="3"/>
        <v>2033</v>
      </c>
      <c r="CJ7" s="1056">
        <f t="shared" si="3"/>
        <v>2033</v>
      </c>
      <c r="CK7" s="1056">
        <f t="shared" si="3"/>
        <v>2033</v>
      </c>
      <c r="CL7" s="1056">
        <f t="shared" si="3"/>
        <v>2033</v>
      </c>
      <c r="CM7" s="1056">
        <f t="shared" si="3"/>
        <v>2033</v>
      </c>
      <c r="CN7" s="1056">
        <f t="shared" si="3"/>
        <v>2034</v>
      </c>
      <c r="CO7" s="1056">
        <f t="shared" si="3"/>
        <v>2034</v>
      </c>
      <c r="CP7" s="1056">
        <f t="shared" si="3"/>
        <v>2034</v>
      </c>
      <c r="CQ7" s="1056">
        <f t="shared" si="3"/>
        <v>2034</v>
      </c>
      <c r="CR7" s="1056">
        <f t="shared" si="3"/>
        <v>2034</v>
      </c>
      <c r="CS7" s="1056">
        <f t="shared" si="3"/>
        <v>2034</v>
      </c>
      <c r="CT7" s="1056">
        <f t="shared" si="3"/>
        <v>2034</v>
      </c>
      <c r="CU7" s="1056">
        <f t="shared" si="3"/>
        <v>2034</v>
      </c>
      <c r="CV7" s="1056">
        <f t="shared" si="3"/>
        <v>2034</v>
      </c>
      <c r="CW7" s="1056">
        <f t="shared" si="3"/>
        <v>2034</v>
      </c>
      <c r="CX7" s="1056">
        <f t="shared" si="3"/>
        <v>2034</v>
      </c>
      <c r="CY7" s="1056">
        <f t="shared" si="3"/>
        <v>2034</v>
      </c>
      <c r="CZ7" s="1056">
        <f t="shared" si="3"/>
        <v>2035</v>
      </c>
      <c r="DA7" s="1056">
        <f t="shared" si="3"/>
        <v>2035</v>
      </c>
      <c r="DB7" s="1056">
        <f t="shared" si="3"/>
        <v>2035</v>
      </c>
      <c r="DC7" s="1056">
        <f t="shared" si="3"/>
        <v>2035</v>
      </c>
      <c r="DD7" s="1056">
        <f t="shared" si="3"/>
        <v>2035</v>
      </c>
      <c r="DE7" s="1056">
        <f t="shared" si="3"/>
        <v>2035</v>
      </c>
      <c r="DF7" s="1056">
        <f t="shared" si="3"/>
        <v>2035</v>
      </c>
      <c r="DG7" s="1056">
        <f t="shared" si="3"/>
        <v>2035</v>
      </c>
      <c r="DH7" s="1056">
        <f t="shared" si="3"/>
        <v>2035</v>
      </c>
      <c r="DI7" s="1056">
        <f t="shared" si="3"/>
        <v>2035</v>
      </c>
      <c r="DJ7" s="1056">
        <f t="shared" si="3"/>
        <v>2035</v>
      </c>
      <c r="DK7" s="1056">
        <f t="shared" si="3"/>
        <v>2035</v>
      </c>
      <c r="DL7" s="1056">
        <f t="shared" si="3"/>
        <v>2036</v>
      </c>
      <c r="DM7" s="1056">
        <f t="shared" si="3"/>
        <v>2036</v>
      </c>
      <c r="DN7" s="1056">
        <f t="shared" si="3"/>
        <v>2036</v>
      </c>
      <c r="DO7" s="1056">
        <f t="shared" si="3"/>
        <v>2036</v>
      </c>
      <c r="DP7" s="1056">
        <f t="shared" si="3"/>
        <v>2036</v>
      </c>
      <c r="DQ7" s="1056">
        <f t="shared" si="3"/>
        <v>2036</v>
      </c>
      <c r="DR7" s="1056">
        <f t="shared" si="3"/>
        <v>2036</v>
      </c>
      <c r="DS7" s="1056">
        <f t="shared" si="3"/>
        <v>2036</v>
      </c>
      <c r="DT7" s="1056">
        <f t="shared" si="3"/>
        <v>2036</v>
      </c>
      <c r="DU7" s="1056">
        <f t="shared" si="3"/>
        <v>2036</v>
      </c>
      <c r="DV7" s="1056">
        <f t="shared" si="3"/>
        <v>2036</v>
      </c>
      <c r="DW7" s="1056">
        <f t="shared" si="3"/>
        <v>2036</v>
      </c>
      <c r="DX7" s="1056">
        <f t="shared" si="3"/>
        <v>2037</v>
      </c>
      <c r="DY7" s="1056">
        <f t="shared" si="3"/>
        <v>2037</v>
      </c>
      <c r="DZ7" s="1056">
        <f t="shared" si="3"/>
        <v>2037</v>
      </c>
      <c r="EA7" s="1056">
        <f t="shared" si="3"/>
        <v>2037</v>
      </c>
      <c r="EB7" s="1056">
        <f t="shared" si="3"/>
        <v>2037</v>
      </c>
      <c r="EC7" s="1056">
        <f t="shared" si="3"/>
        <v>2037</v>
      </c>
      <c r="ED7" s="1056">
        <f t="shared" si="3"/>
        <v>2037</v>
      </c>
      <c r="EE7" s="1056">
        <f t="shared" si="3"/>
        <v>2037</v>
      </c>
      <c r="EF7" s="1056">
        <f t="shared" si="3"/>
        <v>2037</v>
      </c>
      <c r="EG7" s="1056">
        <f t="shared" si="3"/>
        <v>2037</v>
      </c>
      <c r="EH7" s="1056">
        <f t="shared" si="3"/>
        <v>2037</v>
      </c>
      <c r="EI7" s="1056">
        <f t="shared" si="3"/>
        <v>2037</v>
      </c>
      <c r="EJ7" s="1056">
        <f t="shared" si="3"/>
        <v>2038</v>
      </c>
      <c r="EK7" s="1056">
        <f t="shared" si="3"/>
        <v>2038</v>
      </c>
      <c r="EL7" s="1056">
        <f t="shared" si="3"/>
        <v>2038</v>
      </c>
      <c r="EM7" s="1056">
        <f t="shared" si="3"/>
        <v>2038</v>
      </c>
      <c r="EN7" s="1056">
        <f t="shared" si="3"/>
        <v>2038</v>
      </c>
      <c r="EO7" s="1056">
        <f t="shared" si="3"/>
        <v>2038</v>
      </c>
      <c r="EP7" s="1056">
        <f t="shared" si="3"/>
        <v>2038</v>
      </c>
      <c r="EQ7" s="1056">
        <f t="shared" si="3"/>
        <v>2038</v>
      </c>
    </row>
    <row r="8" spans="1:147" ht="15" customHeight="1">
      <c r="A8" s="1052" t="s">
        <v>2034</v>
      </c>
      <c r="B8" s="1057"/>
      <c r="C8" s="233">
        <f>IFERROR(--(C4=EOMONTH(Inputs!$E$14,-1)+1),"")</f>
        <v>0</v>
      </c>
      <c r="D8" s="233">
        <f>IFERROR(--(D4=EOMONTH(Inputs!$E$14,-1)+1),"")</f>
        <v>0</v>
      </c>
      <c r="E8" s="233">
        <f>IFERROR(--(E4=EOMONTH(Inputs!$E$14,-1)+1),"")</f>
        <v>0</v>
      </c>
      <c r="F8" s="233">
        <f>IFERROR(--(F4=EOMONTH(Inputs!$E$14,-1)+1),"")</f>
        <v>0</v>
      </c>
      <c r="G8" s="233">
        <f>IFERROR(--(G4=EOMONTH(Inputs!$E$14,-1)+1),"")</f>
        <v>0</v>
      </c>
      <c r="H8" s="233">
        <f>IFERROR(--(H4=EOMONTH(Inputs!$E$14,-1)+1),"")</f>
        <v>0</v>
      </c>
      <c r="I8" s="233">
        <f>IFERROR(--(I4=EOMONTH(Inputs!$E$14,-1)+1),"")</f>
        <v>0</v>
      </c>
      <c r="J8" s="233">
        <f>IFERROR(--(J4=EOMONTH(Inputs!$E$14,-1)+1),"")</f>
        <v>0</v>
      </c>
      <c r="K8" s="233">
        <f>IFERROR(--(K4=EOMONTH(Inputs!$E$14,-1)+1),"")</f>
        <v>0</v>
      </c>
      <c r="L8" s="233">
        <f>IFERROR(--(L4=EOMONTH(Inputs!$E$14,-1)+1),"")</f>
        <v>0</v>
      </c>
      <c r="M8" s="233">
        <f>IFERROR(--(M4=EOMONTH(Inputs!$E$14,-1)+1),"")</f>
        <v>1</v>
      </c>
      <c r="N8" s="233">
        <f>IFERROR(--(N4=EOMONTH(Inputs!$E$14,-1)+1),"")</f>
        <v>0</v>
      </c>
      <c r="O8" s="233">
        <f>IFERROR(--(O4=EOMONTH(Inputs!$E$14,-1)+1),"")</f>
        <v>0</v>
      </c>
      <c r="P8" s="233">
        <f>IFERROR(--(P4=EOMONTH(Inputs!$E$14,-1)+1),"")</f>
        <v>0</v>
      </c>
      <c r="Q8" s="233">
        <f>IFERROR(--(Q4=EOMONTH(Inputs!$E$14,-1)+1),"")</f>
        <v>0</v>
      </c>
      <c r="R8" s="233">
        <f>IFERROR(--(R4=EOMONTH(Inputs!$E$14,-1)+1),"")</f>
        <v>0</v>
      </c>
      <c r="S8" s="233">
        <f>IFERROR(--(S4=EOMONTH(Inputs!$E$14,-1)+1),"")</f>
        <v>0</v>
      </c>
      <c r="T8" s="233">
        <f>IFERROR(--(T4=EOMONTH(Inputs!$E$14,-1)+1),"")</f>
        <v>0</v>
      </c>
      <c r="U8" s="233">
        <f>IFERROR(--(U4=EOMONTH(Inputs!$E$14,-1)+1),"")</f>
        <v>0</v>
      </c>
      <c r="V8" s="233">
        <f>IFERROR(--(V4=EOMONTH(Inputs!$E$14,-1)+1),"")</f>
        <v>0</v>
      </c>
      <c r="W8" s="233">
        <f>IFERROR(--(W4=EOMONTH(Inputs!$E$14,-1)+1),"")</f>
        <v>0</v>
      </c>
      <c r="X8" s="233">
        <f>IFERROR(--(X4=EOMONTH(Inputs!$E$14,-1)+1),"")</f>
        <v>0</v>
      </c>
      <c r="Y8" s="233">
        <f>IFERROR(--(Y4=EOMONTH(Inputs!$E$14,-1)+1),"")</f>
        <v>0</v>
      </c>
      <c r="Z8" s="233">
        <f>IFERROR(--(Z4=EOMONTH(Inputs!$E$14,-1)+1),"")</f>
        <v>0</v>
      </c>
      <c r="AA8" s="233">
        <f>IFERROR(--(AA4=EOMONTH(Inputs!$E$14,-1)+1),"")</f>
        <v>0</v>
      </c>
      <c r="AB8" s="233">
        <f>IFERROR(--(AB4=EOMONTH(Inputs!$E$14,-1)+1),"")</f>
        <v>0</v>
      </c>
      <c r="AC8" s="233">
        <f>IFERROR(--(AC4=EOMONTH(Inputs!$E$14,-1)+1),"")</f>
        <v>0</v>
      </c>
      <c r="AD8" s="233">
        <f>IFERROR(--(AD4=EOMONTH(Inputs!$E$14,-1)+1),"")</f>
        <v>0</v>
      </c>
      <c r="AE8" s="233">
        <f>IFERROR(--(AE4=EOMONTH(Inputs!$E$14,-1)+1),"")</f>
        <v>0</v>
      </c>
      <c r="AF8" s="233">
        <f>IFERROR(--(AF4=EOMONTH(Inputs!$E$14,-1)+1),"")</f>
        <v>0</v>
      </c>
      <c r="AG8" s="233">
        <f>IFERROR(--(AG4=EOMONTH(Inputs!$E$14,-1)+1),"")</f>
        <v>0</v>
      </c>
      <c r="AH8" s="233">
        <f>IFERROR(--(AH4=EOMONTH(Inputs!$E$14,-1)+1),"")</f>
        <v>0</v>
      </c>
      <c r="AI8" s="233">
        <f>IFERROR(--(AI4=EOMONTH(Inputs!$E$14,-1)+1),"")</f>
        <v>0</v>
      </c>
      <c r="AJ8" s="233">
        <f>IFERROR(--(AJ4=EOMONTH(Inputs!$E$14,-1)+1),"")</f>
        <v>0</v>
      </c>
      <c r="AK8" s="233">
        <f>IFERROR(--(AK4=EOMONTH(Inputs!$E$14,-1)+1),"")</f>
        <v>0</v>
      </c>
      <c r="AL8" s="233">
        <f>IFERROR(--(AL4=EOMONTH(Inputs!$E$14,-1)+1),"")</f>
        <v>0</v>
      </c>
      <c r="AM8" s="233">
        <f>IFERROR(--(AM4=EOMONTH(Inputs!$E$14,-1)+1),"")</f>
        <v>0</v>
      </c>
      <c r="AN8" s="233">
        <f>IFERROR(--(AN4=EOMONTH(Inputs!$E$14,-1)+1),"")</f>
        <v>0</v>
      </c>
      <c r="AO8" s="233">
        <f>IFERROR(--(AO4=EOMONTH(Inputs!$E$14,-1)+1),"")</f>
        <v>0</v>
      </c>
      <c r="AP8" s="233">
        <f>IFERROR(--(AP4=EOMONTH(Inputs!$E$14,-1)+1),"")</f>
        <v>0</v>
      </c>
      <c r="AQ8" s="233">
        <f>IFERROR(--(AQ4=EOMONTH(Inputs!$E$14,-1)+1),"")</f>
        <v>0</v>
      </c>
      <c r="AR8" s="233">
        <f>IFERROR(--(AR4=EOMONTH(Inputs!$E$14,-1)+1),"")</f>
        <v>0</v>
      </c>
      <c r="AS8" s="233">
        <f>IFERROR(--(AS4=EOMONTH(Inputs!$E$14,-1)+1),"")</f>
        <v>0</v>
      </c>
      <c r="AT8" s="233">
        <f>IFERROR(--(AT4=EOMONTH(Inputs!$E$14,-1)+1),"")</f>
        <v>0</v>
      </c>
      <c r="AU8" s="233">
        <f>IFERROR(--(AU4=EOMONTH(Inputs!$E$14,-1)+1),"")</f>
        <v>0</v>
      </c>
      <c r="AV8" s="233">
        <f>IFERROR(--(AV4=EOMONTH(Inputs!$E$14,-1)+1),"")</f>
        <v>0</v>
      </c>
      <c r="AW8" s="233">
        <f>IFERROR(--(AW4=EOMONTH(Inputs!$E$14,-1)+1),"")</f>
        <v>0</v>
      </c>
      <c r="AX8" s="233">
        <f>IFERROR(--(AX4=EOMONTH(Inputs!$E$14,-1)+1),"")</f>
        <v>0</v>
      </c>
      <c r="AY8" s="233">
        <f>IFERROR(--(AY4=EOMONTH(Inputs!$E$14,-1)+1),"")</f>
        <v>0</v>
      </c>
      <c r="AZ8" s="233">
        <f>IFERROR(--(AZ4=EOMONTH(Inputs!$E$14,-1)+1),"")</f>
        <v>0</v>
      </c>
      <c r="BA8" s="233">
        <f>IFERROR(--(BA4=EOMONTH(Inputs!$E$14,-1)+1),"")</f>
        <v>0</v>
      </c>
      <c r="BB8" s="233">
        <f>IFERROR(--(BB4=EOMONTH(Inputs!$E$14,-1)+1),"")</f>
        <v>0</v>
      </c>
      <c r="BC8" s="233">
        <f>IFERROR(--(BC4=EOMONTH(Inputs!$E$14,-1)+1),"")</f>
        <v>0</v>
      </c>
      <c r="BD8" s="233">
        <f>IFERROR(--(BD4=EOMONTH(Inputs!$E$14,-1)+1),"")</f>
        <v>0</v>
      </c>
      <c r="BE8" s="233">
        <f>IFERROR(--(BE4=EOMONTH(Inputs!$E$14,-1)+1),"")</f>
        <v>0</v>
      </c>
      <c r="BF8" s="233">
        <f>IFERROR(--(BF4=EOMONTH(Inputs!$E$14,-1)+1),"")</f>
        <v>0</v>
      </c>
      <c r="BG8" s="233">
        <f>IFERROR(--(BG4=EOMONTH(Inputs!$E$14,-1)+1),"")</f>
        <v>0</v>
      </c>
      <c r="BH8" s="233">
        <f>IFERROR(--(BH4=EOMONTH(Inputs!$E$14,-1)+1),"")</f>
        <v>0</v>
      </c>
      <c r="BI8" s="233">
        <f>IFERROR(--(BI4=EOMONTH(Inputs!$E$14,-1)+1),"")</f>
        <v>0</v>
      </c>
      <c r="BJ8" s="233">
        <f>IFERROR(--(BJ4=EOMONTH(Inputs!$E$14,-1)+1),"")</f>
        <v>0</v>
      </c>
      <c r="BK8" s="233">
        <f>IFERROR(--(BK4=EOMONTH(Inputs!$E$14,-1)+1),"")</f>
        <v>0</v>
      </c>
      <c r="BL8" s="233">
        <f>IFERROR(--(BL4=EOMONTH(Inputs!$E$14,-1)+1),"")</f>
        <v>0</v>
      </c>
      <c r="BM8" s="233">
        <f>IFERROR(--(BM4=EOMONTH(Inputs!$E$14,-1)+1),"")</f>
        <v>0</v>
      </c>
      <c r="BN8" s="233">
        <f>IFERROR(--(BN4=EOMONTH(Inputs!$E$14,-1)+1),"")</f>
        <v>0</v>
      </c>
      <c r="BO8" s="233">
        <f>IFERROR(--(BO4=EOMONTH(Inputs!$E$14,-1)+1),"")</f>
        <v>0</v>
      </c>
      <c r="BP8" s="233">
        <f>IFERROR(--(BP4=EOMONTH(Inputs!$E$14,-1)+1),"")</f>
        <v>0</v>
      </c>
      <c r="BQ8" s="233">
        <f>IFERROR(--(BQ4=EOMONTH(Inputs!$E$14,-1)+1),"")</f>
        <v>0</v>
      </c>
      <c r="BR8" s="233">
        <f>IFERROR(--(BR4=EOMONTH(Inputs!$E$14,-1)+1),"")</f>
        <v>0</v>
      </c>
      <c r="BS8" s="233">
        <f>IFERROR(--(BS4=EOMONTH(Inputs!$E$14,-1)+1),"")</f>
        <v>0</v>
      </c>
      <c r="BT8" s="233">
        <f>IFERROR(--(BT4=EOMONTH(Inputs!$E$14,-1)+1),"")</f>
        <v>0</v>
      </c>
      <c r="BU8" s="233">
        <f>IFERROR(--(BU4=EOMONTH(Inputs!$E$14,-1)+1),"")</f>
        <v>0</v>
      </c>
      <c r="BV8" s="233">
        <f>IFERROR(--(BV4=EOMONTH(Inputs!$E$14,-1)+1),"")</f>
        <v>0</v>
      </c>
      <c r="BW8" s="233">
        <f>IFERROR(--(BW4=EOMONTH(Inputs!$E$14,-1)+1),"")</f>
        <v>0</v>
      </c>
      <c r="BX8" s="233">
        <f>IFERROR(--(BX4=EOMONTH(Inputs!$E$14,-1)+1),"")</f>
        <v>0</v>
      </c>
      <c r="BY8" s="233">
        <f>IFERROR(--(BY4=EOMONTH(Inputs!$E$14,-1)+1),"")</f>
        <v>0</v>
      </c>
      <c r="BZ8" s="233">
        <f>IFERROR(--(BZ4=EOMONTH(Inputs!$E$14,-1)+1),"")</f>
        <v>0</v>
      </c>
      <c r="CA8" s="233">
        <f>IFERROR(--(CA4=EOMONTH(Inputs!$E$14,-1)+1),"")</f>
        <v>0</v>
      </c>
      <c r="CB8" s="233">
        <f>IFERROR(--(CB4=EOMONTH(Inputs!$E$14,-1)+1),"")</f>
        <v>0</v>
      </c>
      <c r="CC8" s="233">
        <f>IFERROR(--(CC4=EOMONTH(Inputs!$E$14,-1)+1),"")</f>
        <v>0</v>
      </c>
      <c r="CD8" s="233">
        <f>IFERROR(--(CD4=EOMONTH(Inputs!$E$14,-1)+1),"")</f>
        <v>0</v>
      </c>
      <c r="CE8" s="233">
        <f>IFERROR(--(CE4=EOMONTH(Inputs!$E$14,-1)+1),"")</f>
        <v>0</v>
      </c>
      <c r="CF8" s="233">
        <f>IFERROR(--(CF4=EOMONTH(Inputs!$E$14,-1)+1),"")</f>
        <v>0</v>
      </c>
      <c r="CG8" s="233">
        <f>IFERROR(--(CG4=EOMONTH(Inputs!$E$14,-1)+1),"")</f>
        <v>0</v>
      </c>
      <c r="CH8" s="233">
        <f>IFERROR(--(CH4=EOMONTH(Inputs!$E$14,-1)+1),"")</f>
        <v>0</v>
      </c>
      <c r="CI8" s="233">
        <f>IFERROR(--(CI4=EOMONTH(Inputs!$E$14,-1)+1),"")</f>
        <v>0</v>
      </c>
      <c r="CJ8" s="233">
        <f>IFERROR(--(CJ4=EOMONTH(Inputs!$E$14,-1)+1),"")</f>
        <v>0</v>
      </c>
      <c r="CK8" s="233">
        <f>IFERROR(--(CK4=EOMONTH(Inputs!$E$14,-1)+1),"")</f>
        <v>0</v>
      </c>
      <c r="CL8" s="233">
        <f>IFERROR(--(CL4=EOMONTH(Inputs!$E$14,-1)+1),"")</f>
        <v>0</v>
      </c>
      <c r="CM8" s="233">
        <f>IFERROR(--(CM4=EOMONTH(Inputs!$E$14,-1)+1),"")</f>
        <v>0</v>
      </c>
      <c r="CN8" s="233">
        <f>IFERROR(--(CN4=EOMONTH(Inputs!$E$14,-1)+1),"")</f>
        <v>0</v>
      </c>
      <c r="CO8" s="233">
        <f>IFERROR(--(CO4=EOMONTH(Inputs!$E$14,-1)+1),"")</f>
        <v>0</v>
      </c>
      <c r="CP8" s="233">
        <f>IFERROR(--(CP4=EOMONTH(Inputs!$E$14,-1)+1),"")</f>
        <v>0</v>
      </c>
      <c r="CQ8" s="233">
        <f>IFERROR(--(CQ4=EOMONTH(Inputs!$E$14,-1)+1),"")</f>
        <v>0</v>
      </c>
      <c r="CR8" s="233">
        <f>IFERROR(--(CR4=EOMONTH(Inputs!$E$14,-1)+1),"")</f>
        <v>0</v>
      </c>
      <c r="CS8" s="233">
        <f>IFERROR(--(CS4=EOMONTH(Inputs!$E$14,-1)+1),"")</f>
        <v>0</v>
      </c>
      <c r="CT8" s="233">
        <f>IFERROR(--(CT4=EOMONTH(Inputs!$E$14,-1)+1),"")</f>
        <v>0</v>
      </c>
      <c r="CU8" s="233">
        <f>IFERROR(--(CU4=EOMONTH(Inputs!$E$14,-1)+1),"")</f>
        <v>0</v>
      </c>
      <c r="CV8" s="233">
        <f>IFERROR(--(CV4=EOMONTH(Inputs!$E$14,-1)+1),"")</f>
        <v>0</v>
      </c>
      <c r="CW8" s="233">
        <f>IFERROR(--(CW4=EOMONTH(Inputs!$E$14,-1)+1),"")</f>
        <v>0</v>
      </c>
      <c r="CX8" s="233">
        <f>IFERROR(--(CX4=EOMONTH(Inputs!$E$14,-1)+1),"")</f>
        <v>0</v>
      </c>
      <c r="CY8" s="233">
        <f>IFERROR(--(CY4=EOMONTH(Inputs!$E$14,-1)+1),"")</f>
        <v>0</v>
      </c>
      <c r="CZ8" s="233">
        <f>IFERROR(--(CZ4=EOMONTH(Inputs!$E$14,-1)+1),"")</f>
        <v>0</v>
      </c>
      <c r="DA8" s="233">
        <f>IFERROR(--(DA4=EOMONTH(Inputs!$E$14,-1)+1),"")</f>
        <v>0</v>
      </c>
      <c r="DB8" s="233">
        <f>IFERROR(--(DB4=EOMONTH(Inputs!$E$14,-1)+1),"")</f>
        <v>0</v>
      </c>
      <c r="DC8" s="233">
        <f>IFERROR(--(DC4=EOMONTH(Inputs!$E$14,-1)+1),"")</f>
        <v>0</v>
      </c>
      <c r="DD8" s="233">
        <f>IFERROR(--(DD4=EOMONTH(Inputs!$E$14,-1)+1),"")</f>
        <v>0</v>
      </c>
      <c r="DE8" s="233">
        <f>IFERROR(--(DE4=EOMONTH(Inputs!$E$14,-1)+1),"")</f>
        <v>0</v>
      </c>
      <c r="DF8" s="233">
        <f>IFERROR(--(DF4=EOMONTH(Inputs!$E$14,-1)+1),"")</f>
        <v>0</v>
      </c>
      <c r="DG8" s="233">
        <f>IFERROR(--(DG4=EOMONTH(Inputs!$E$14,-1)+1),"")</f>
        <v>0</v>
      </c>
      <c r="DH8" s="233">
        <f>IFERROR(--(DH4=EOMONTH(Inputs!$E$14,-1)+1),"")</f>
        <v>0</v>
      </c>
      <c r="DI8" s="233">
        <f>IFERROR(--(DI4=EOMONTH(Inputs!$E$14,-1)+1),"")</f>
        <v>0</v>
      </c>
      <c r="DJ8" s="233">
        <f>IFERROR(--(DJ4=EOMONTH(Inputs!$E$14,-1)+1),"")</f>
        <v>0</v>
      </c>
      <c r="DK8" s="233">
        <f>IFERROR(--(DK4=EOMONTH(Inputs!$E$14,-1)+1),"")</f>
        <v>0</v>
      </c>
      <c r="DL8" s="233">
        <f>IFERROR(--(DL4=EOMONTH(Inputs!$E$14,-1)+1),"")</f>
        <v>0</v>
      </c>
      <c r="DM8" s="233">
        <f>IFERROR(--(DM4=EOMONTH(Inputs!$E$14,-1)+1),"")</f>
        <v>0</v>
      </c>
      <c r="DN8" s="233">
        <f>IFERROR(--(DN4=EOMONTH(Inputs!$E$14,-1)+1),"")</f>
        <v>0</v>
      </c>
      <c r="DO8" s="233">
        <f>IFERROR(--(DO4=EOMONTH(Inputs!$E$14,-1)+1),"")</f>
        <v>0</v>
      </c>
      <c r="DP8" s="233">
        <f>IFERROR(--(DP4=EOMONTH(Inputs!$E$14,-1)+1),"")</f>
        <v>0</v>
      </c>
      <c r="DQ8" s="233">
        <f>IFERROR(--(DQ4=EOMONTH(Inputs!$E$14,-1)+1),"")</f>
        <v>0</v>
      </c>
      <c r="DR8" s="233">
        <f>IFERROR(--(DR4=EOMONTH(Inputs!$E$14,-1)+1),"")</f>
        <v>0</v>
      </c>
      <c r="DS8" s="233">
        <f>IFERROR(--(DS4=EOMONTH(Inputs!$E$14,-1)+1),"")</f>
        <v>0</v>
      </c>
      <c r="DT8" s="233">
        <f>IFERROR(--(DT4=EOMONTH(Inputs!$E$14,-1)+1),"")</f>
        <v>0</v>
      </c>
      <c r="DU8" s="233">
        <f>IFERROR(--(DU4=EOMONTH(Inputs!$E$14,-1)+1),"")</f>
        <v>0</v>
      </c>
      <c r="DV8" s="233">
        <f>IFERROR(--(DV4=EOMONTH(Inputs!$E$14,-1)+1),"")</f>
        <v>0</v>
      </c>
      <c r="DW8" s="233">
        <f>IFERROR(--(DW4=EOMONTH(Inputs!$E$14,-1)+1),"")</f>
        <v>0</v>
      </c>
      <c r="DX8" s="233">
        <f>IFERROR(--(DX4=EOMONTH(Inputs!$E$14,-1)+1),"")</f>
        <v>0</v>
      </c>
      <c r="DY8" s="233">
        <f>IFERROR(--(DY4=EOMONTH(Inputs!$E$14,-1)+1),"")</f>
        <v>0</v>
      </c>
      <c r="DZ8" s="233">
        <f>IFERROR(--(DZ4=EOMONTH(Inputs!$E$14,-1)+1),"")</f>
        <v>0</v>
      </c>
      <c r="EA8" s="233">
        <f>IFERROR(--(EA4=EOMONTH(Inputs!$E$14,-1)+1),"")</f>
        <v>0</v>
      </c>
      <c r="EB8" s="233">
        <f>IFERROR(--(EB4=EOMONTH(Inputs!$E$14,-1)+1),"")</f>
        <v>0</v>
      </c>
      <c r="EC8" s="233">
        <f>IFERROR(--(EC4=EOMONTH(Inputs!$E$14,-1)+1),"")</f>
        <v>0</v>
      </c>
      <c r="ED8" s="233">
        <f>IFERROR(--(ED4=EOMONTH(Inputs!$E$14,-1)+1),"")</f>
        <v>0</v>
      </c>
      <c r="EE8" s="233">
        <f>IFERROR(--(EE4=EOMONTH(Inputs!$E$14,-1)+1),"")</f>
        <v>0</v>
      </c>
      <c r="EF8" s="233">
        <f>IFERROR(--(EF4=EOMONTH(Inputs!$E$14,-1)+1),"")</f>
        <v>0</v>
      </c>
      <c r="EG8" s="233">
        <f>IFERROR(--(EG4=EOMONTH(Inputs!$E$14,-1)+1),"")</f>
        <v>0</v>
      </c>
      <c r="EH8" s="233">
        <f>IFERROR(--(EH4=EOMONTH(Inputs!$E$14,-1)+1),"")</f>
        <v>0</v>
      </c>
      <c r="EI8" s="233">
        <f>IFERROR(--(EI4=EOMONTH(Inputs!$E$14,-1)+1),"")</f>
        <v>0</v>
      </c>
      <c r="EJ8" s="233">
        <f>IFERROR(--(EJ4=EOMONTH(Inputs!$E$14,-1)+1),"")</f>
        <v>0</v>
      </c>
      <c r="EK8" s="233">
        <f>IFERROR(--(EK4=EOMONTH(Inputs!$E$14,-1)+1),"")</f>
        <v>0</v>
      </c>
      <c r="EL8" s="233">
        <f>IFERROR(--(EL4=EOMONTH(Inputs!$E$14,-1)+1),"")</f>
        <v>0</v>
      </c>
      <c r="EM8" s="233">
        <f>IFERROR(--(EM4=EOMONTH(Inputs!$E$14,-1)+1),"")</f>
        <v>0</v>
      </c>
      <c r="EN8" s="233">
        <f>IFERROR(--(EN4=EOMONTH(Inputs!$E$14,-1)+1),"")</f>
        <v>0</v>
      </c>
      <c r="EO8" s="233">
        <f>IFERROR(--(EO4=EOMONTH(Inputs!$E$14,-1)+1),"")</f>
        <v>0</v>
      </c>
      <c r="EP8" s="233">
        <f>IFERROR(--(EP4=EOMONTH(Inputs!$E$14,-1)+1),"")</f>
        <v>0</v>
      </c>
      <c r="EQ8" s="233">
        <f>IFERROR(--(EQ4=EOMONTH(Inputs!$E$14,-1)+1),"")</f>
        <v>0</v>
      </c>
    </row>
    <row r="9" spans="1:147" ht="15" customHeight="1">
      <c r="A9" s="24" t="s">
        <v>2035</v>
      </c>
      <c r="B9" s="26"/>
      <c r="C9" s="24" t="str">
        <f>IFERROR(--(AND(C4&gt;=EOMONTH(Inputs!$F$15,-1)+1,C4&lt;=EOMONTH(Inputs!$F$18,-1)+1)),"")</f>
        <v/>
      </c>
      <c r="D9" s="24" t="str">
        <f>IFERROR(--(AND(D4&gt;=EOMONTH(Inputs!$F$15,-1)+1,D4&lt;=EOMONTH(Inputs!$F$18,-1)+1)),"")</f>
        <v/>
      </c>
      <c r="E9" s="24" t="str">
        <f>IFERROR(--(AND(E4&gt;=EOMONTH(Inputs!$F$15,-1)+1,E4&lt;=EOMONTH(Inputs!$F$18,-1)+1)),"")</f>
        <v/>
      </c>
      <c r="F9" s="24" t="str">
        <f>IFERROR(--(AND(F4&gt;=EOMONTH(Inputs!$F$15,-1)+1,F4&lt;=EOMONTH(Inputs!$F$18,-1)+1)),"")</f>
        <v/>
      </c>
      <c r="G9" s="24" t="str">
        <f>IFERROR(--(AND(G4&gt;=EOMONTH(Inputs!$F$15,-1)+1,G4&lt;=EOMONTH(Inputs!$F$18,-1)+1)),"")</f>
        <v/>
      </c>
      <c r="H9" s="24" t="str">
        <f>IFERROR(--(AND(H4&gt;=EOMONTH(Inputs!$F$15,-1)+1,H4&lt;=EOMONTH(Inputs!$F$18,-1)+1)),"")</f>
        <v/>
      </c>
      <c r="I9" s="24" t="str">
        <f>IFERROR(--(AND(I4&gt;=EOMONTH(Inputs!$F$15,-1)+1,I4&lt;=EOMONTH(Inputs!$F$18,-1)+1)),"")</f>
        <v/>
      </c>
      <c r="J9" s="24" t="str">
        <f>IFERROR(--(AND(J4&gt;=EOMONTH(Inputs!$F$15,-1)+1,J4&lt;=EOMONTH(Inputs!$F$18,-1)+1)),"")</f>
        <v/>
      </c>
      <c r="K9" s="24" t="str">
        <f>IFERROR(--(AND(K4&gt;=EOMONTH(Inputs!$F$15,-1)+1,K4&lt;=EOMONTH(Inputs!$F$18,-1)+1)),"")</f>
        <v/>
      </c>
      <c r="L9" s="24" t="str">
        <f>IFERROR(--(AND(L4&gt;=EOMONTH(Inputs!$F$15,-1)+1,L4&lt;=EOMONTH(Inputs!$F$18,-1)+1)),"")</f>
        <v/>
      </c>
      <c r="M9" s="24" t="str">
        <f>IFERROR(--(AND(M4&gt;=EOMONTH(Inputs!$F$15,-1)+1,M4&lt;=EOMONTH(Inputs!$F$18,-1)+1)),"")</f>
        <v/>
      </c>
      <c r="N9" s="24" t="str">
        <f>IFERROR(--(AND(N4&gt;=EOMONTH(Inputs!$F$15,-1)+1,N4&lt;=EOMONTH(Inputs!$F$18,-1)+1)),"")</f>
        <v/>
      </c>
      <c r="O9" s="24" t="str">
        <f>IFERROR(--(AND(O4&gt;=EOMONTH(Inputs!$F$15,-1)+1,O4&lt;=EOMONTH(Inputs!$F$18,-1)+1)),"")</f>
        <v/>
      </c>
      <c r="P9" s="24" t="str">
        <f>IFERROR(--(AND(P4&gt;=EOMONTH(Inputs!$F$15,-1)+1,P4&lt;=EOMONTH(Inputs!$F$18,-1)+1)),"")</f>
        <v/>
      </c>
      <c r="Q9" s="24" t="str">
        <f>IFERROR(--(AND(Q4&gt;=EOMONTH(Inputs!$F$15,-1)+1,Q4&lt;=EOMONTH(Inputs!$F$18,-1)+1)),"")</f>
        <v/>
      </c>
      <c r="R9" s="24" t="str">
        <f>IFERROR(--(AND(R4&gt;=EOMONTH(Inputs!$F$15,-1)+1,R4&lt;=EOMONTH(Inputs!$F$18,-1)+1)),"")</f>
        <v/>
      </c>
      <c r="S9" s="24" t="str">
        <f>IFERROR(--(AND(S4&gt;=EOMONTH(Inputs!$F$15,-1)+1,S4&lt;=EOMONTH(Inputs!$F$18,-1)+1)),"")</f>
        <v/>
      </c>
      <c r="T9" s="24" t="str">
        <f>IFERROR(--(AND(T4&gt;=EOMONTH(Inputs!$F$15,-1)+1,T4&lt;=EOMONTH(Inputs!$F$18,-1)+1)),"")</f>
        <v/>
      </c>
      <c r="U9" s="24" t="str">
        <f>IFERROR(--(AND(U4&gt;=EOMONTH(Inputs!$F$15,-1)+1,U4&lt;=EOMONTH(Inputs!$F$18,-1)+1)),"")</f>
        <v/>
      </c>
      <c r="V9" s="24" t="str">
        <f>IFERROR(--(AND(V4&gt;=EOMONTH(Inputs!$F$15,-1)+1,V4&lt;=EOMONTH(Inputs!$F$18,-1)+1)),"")</f>
        <v/>
      </c>
      <c r="W9" s="24" t="str">
        <f>IFERROR(--(AND(W4&gt;=EOMONTH(Inputs!$F$15,-1)+1,W4&lt;=EOMONTH(Inputs!$F$18,-1)+1)),"")</f>
        <v/>
      </c>
      <c r="X9" s="24" t="str">
        <f>IFERROR(--(AND(X4&gt;=EOMONTH(Inputs!$F$15,-1)+1,X4&lt;=EOMONTH(Inputs!$F$18,-1)+1)),"")</f>
        <v/>
      </c>
      <c r="Y9" s="24" t="str">
        <f>IFERROR(--(AND(Y4&gt;=EOMONTH(Inputs!$F$15,-1)+1,Y4&lt;=EOMONTH(Inputs!$F$18,-1)+1)),"")</f>
        <v/>
      </c>
      <c r="Z9" s="24" t="str">
        <f>IFERROR(--(AND(Z4&gt;=EOMONTH(Inputs!$F$15,-1)+1,Z4&lt;=EOMONTH(Inputs!$F$18,-1)+1)),"")</f>
        <v/>
      </c>
      <c r="AA9" s="24" t="str">
        <f>IFERROR(--(AND(AA4&gt;=EOMONTH(Inputs!$F$15,-1)+1,AA4&lt;=EOMONTH(Inputs!$F$18,-1)+1)),"")</f>
        <v/>
      </c>
      <c r="AB9" s="24" t="str">
        <f>IFERROR(--(AND(AB4&gt;=EOMONTH(Inputs!$F$15,-1)+1,AB4&lt;=EOMONTH(Inputs!$F$18,-1)+1)),"")</f>
        <v/>
      </c>
      <c r="AC9" s="24" t="str">
        <f>IFERROR(--(AND(AC4&gt;=EOMONTH(Inputs!$F$15,-1)+1,AC4&lt;=EOMONTH(Inputs!$F$18,-1)+1)),"")</f>
        <v/>
      </c>
      <c r="AD9" s="24" t="str">
        <f>IFERROR(--(AND(AD4&gt;=EOMONTH(Inputs!$F$15,-1)+1,AD4&lt;=EOMONTH(Inputs!$F$18,-1)+1)),"")</f>
        <v/>
      </c>
      <c r="AE9" s="24" t="str">
        <f>IFERROR(--(AND(AE4&gt;=EOMONTH(Inputs!$F$15,-1)+1,AE4&lt;=EOMONTH(Inputs!$F$18,-1)+1)),"")</f>
        <v/>
      </c>
      <c r="AF9" s="24" t="str">
        <f>IFERROR(--(AND(AF4&gt;=EOMONTH(Inputs!$F$15,-1)+1,AF4&lt;=EOMONTH(Inputs!$F$18,-1)+1)),"")</f>
        <v/>
      </c>
      <c r="AG9" s="24" t="str">
        <f>IFERROR(--(AND(AG4&gt;=EOMONTH(Inputs!$F$15,-1)+1,AG4&lt;=EOMONTH(Inputs!$F$18,-1)+1)),"")</f>
        <v/>
      </c>
      <c r="AH9" s="24" t="str">
        <f>IFERROR(--(AND(AH4&gt;=EOMONTH(Inputs!$F$15,-1)+1,AH4&lt;=EOMONTH(Inputs!$F$18,-1)+1)),"")</f>
        <v/>
      </c>
      <c r="AI9" s="24" t="str">
        <f>IFERROR(--(AND(AI4&gt;=EOMONTH(Inputs!$F$15,-1)+1,AI4&lt;=EOMONTH(Inputs!$F$18,-1)+1)),"")</f>
        <v/>
      </c>
      <c r="AJ9" s="24" t="str">
        <f>IFERROR(--(AND(AJ4&gt;=EOMONTH(Inputs!$F$15,-1)+1,AJ4&lt;=EOMONTH(Inputs!$F$18,-1)+1)),"")</f>
        <v/>
      </c>
      <c r="AK9" s="24" t="str">
        <f>IFERROR(--(AND(AK4&gt;=EOMONTH(Inputs!$F$15,-1)+1,AK4&lt;=EOMONTH(Inputs!$F$18,-1)+1)),"")</f>
        <v/>
      </c>
      <c r="AL9" s="24" t="str">
        <f>IFERROR(--(AND(AL4&gt;=EOMONTH(Inputs!$F$15,-1)+1,AL4&lt;=EOMONTH(Inputs!$F$18,-1)+1)),"")</f>
        <v/>
      </c>
      <c r="AM9" s="24" t="str">
        <f>IFERROR(--(AND(AM4&gt;=EOMONTH(Inputs!$F$15,-1)+1,AM4&lt;=EOMONTH(Inputs!$F$18,-1)+1)),"")</f>
        <v/>
      </c>
      <c r="AN9" s="24" t="str">
        <f>IFERROR(--(AND(AN4&gt;=EOMONTH(Inputs!$F$15,-1)+1,AN4&lt;=EOMONTH(Inputs!$F$18,-1)+1)),"")</f>
        <v/>
      </c>
      <c r="AO9" s="24" t="str">
        <f>IFERROR(--(AND(AO4&gt;=EOMONTH(Inputs!$F$15,-1)+1,AO4&lt;=EOMONTH(Inputs!$F$18,-1)+1)),"")</f>
        <v/>
      </c>
      <c r="AP9" s="24" t="str">
        <f>IFERROR(--(AND(AP4&gt;=EOMONTH(Inputs!$F$15,-1)+1,AP4&lt;=EOMONTH(Inputs!$F$18,-1)+1)),"")</f>
        <v/>
      </c>
      <c r="AQ9" s="24" t="str">
        <f>IFERROR(--(AND(AQ4&gt;=EOMONTH(Inputs!$F$15,-1)+1,AQ4&lt;=EOMONTH(Inputs!$F$18,-1)+1)),"")</f>
        <v/>
      </c>
      <c r="AR9" s="24" t="str">
        <f>IFERROR(--(AND(AR4&gt;=EOMONTH(Inputs!$F$15,-1)+1,AR4&lt;=EOMONTH(Inputs!$F$18,-1)+1)),"")</f>
        <v/>
      </c>
      <c r="AS9" s="24" t="str">
        <f>IFERROR(--(AND(AS4&gt;=EOMONTH(Inputs!$F$15,-1)+1,AS4&lt;=EOMONTH(Inputs!$F$18,-1)+1)),"")</f>
        <v/>
      </c>
      <c r="AT9" s="24" t="str">
        <f>IFERROR(--(AND(AT4&gt;=EOMONTH(Inputs!$F$15,-1)+1,AT4&lt;=EOMONTH(Inputs!$F$18,-1)+1)),"")</f>
        <v/>
      </c>
      <c r="AU9" s="24" t="str">
        <f>IFERROR(--(AND(AU4&gt;=EOMONTH(Inputs!$F$15,-1)+1,AU4&lt;=EOMONTH(Inputs!$F$18,-1)+1)),"")</f>
        <v/>
      </c>
      <c r="AV9" s="24" t="str">
        <f>IFERROR(--(AND(AV4&gt;=EOMONTH(Inputs!$F$15,-1)+1,AV4&lt;=EOMONTH(Inputs!$F$18,-1)+1)),"")</f>
        <v/>
      </c>
      <c r="AW9" s="24" t="str">
        <f>IFERROR(--(AND(AW4&gt;=EOMONTH(Inputs!$F$15,-1)+1,AW4&lt;=EOMONTH(Inputs!$F$18,-1)+1)),"")</f>
        <v/>
      </c>
      <c r="AX9" s="24" t="str">
        <f>IFERROR(--(AND(AX4&gt;=EOMONTH(Inputs!$F$15,-1)+1,AX4&lt;=EOMONTH(Inputs!$F$18,-1)+1)),"")</f>
        <v/>
      </c>
      <c r="AY9" s="24" t="str">
        <f>IFERROR(--(AND(AY4&gt;=EOMONTH(Inputs!$F$15,-1)+1,AY4&lt;=EOMONTH(Inputs!$F$18,-1)+1)),"")</f>
        <v/>
      </c>
      <c r="AZ9" s="24" t="str">
        <f>IFERROR(--(AND(AZ4&gt;=EOMONTH(Inputs!$F$15,-1)+1,AZ4&lt;=EOMONTH(Inputs!$F$18,-1)+1)),"")</f>
        <v/>
      </c>
      <c r="BA9" s="24" t="str">
        <f>IFERROR(--(AND(BA4&gt;=EOMONTH(Inputs!$F$15,-1)+1,BA4&lt;=EOMONTH(Inputs!$F$18,-1)+1)),"")</f>
        <v/>
      </c>
      <c r="BB9" s="24" t="str">
        <f>IFERROR(--(AND(BB4&gt;=EOMONTH(Inputs!$F$15,-1)+1,BB4&lt;=EOMONTH(Inputs!$F$18,-1)+1)),"")</f>
        <v/>
      </c>
      <c r="BC9" s="24" t="str">
        <f>IFERROR(--(AND(BC4&gt;=EOMONTH(Inputs!$F$15,-1)+1,BC4&lt;=EOMONTH(Inputs!$F$18,-1)+1)),"")</f>
        <v/>
      </c>
      <c r="BD9" s="24" t="str">
        <f>IFERROR(--(AND(BD4&gt;=EOMONTH(Inputs!$F$15,-1)+1,BD4&lt;=EOMONTH(Inputs!$F$18,-1)+1)),"")</f>
        <v/>
      </c>
      <c r="BE9" s="24" t="str">
        <f>IFERROR(--(AND(BE4&gt;=EOMONTH(Inputs!$F$15,-1)+1,BE4&lt;=EOMONTH(Inputs!$F$18,-1)+1)),"")</f>
        <v/>
      </c>
      <c r="BF9" s="24" t="str">
        <f>IFERROR(--(AND(BF4&gt;=EOMONTH(Inputs!$F$15,-1)+1,BF4&lt;=EOMONTH(Inputs!$F$18,-1)+1)),"")</f>
        <v/>
      </c>
      <c r="BG9" s="24" t="str">
        <f>IFERROR(--(AND(BG4&gt;=EOMONTH(Inputs!$F$15,-1)+1,BG4&lt;=EOMONTH(Inputs!$F$18,-1)+1)),"")</f>
        <v/>
      </c>
      <c r="BH9" s="24" t="str">
        <f>IFERROR(--(AND(BH4&gt;=EOMONTH(Inputs!$F$15,-1)+1,BH4&lt;=EOMONTH(Inputs!$F$18,-1)+1)),"")</f>
        <v/>
      </c>
      <c r="BI9" s="24" t="str">
        <f>IFERROR(--(AND(BI4&gt;=EOMONTH(Inputs!$F$15,-1)+1,BI4&lt;=EOMONTH(Inputs!$F$18,-1)+1)),"")</f>
        <v/>
      </c>
      <c r="BJ9" s="24" t="str">
        <f>IFERROR(--(AND(BJ4&gt;=EOMONTH(Inputs!$F$15,-1)+1,BJ4&lt;=EOMONTH(Inputs!$F$18,-1)+1)),"")</f>
        <v/>
      </c>
      <c r="BK9" s="24" t="str">
        <f>IFERROR(--(AND(BK4&gt;=EOMONTH(Inputs!$F$15,-1)+1,BK4&lt;=EOMONTH(Inputs!$F$18,-1)+1)),"")</f>
        <v/>
      </c>
      <c r="BL9" s="24" t="str">
        <f>IFERROR(--(AND(BL4&gt;=EOMONTH(Inputs!$F$15,-1)+1,BL4&lt;=EOMONTH(Inputs!$F$18,-1)+1)),"")</f>
        <v/>
      </c>
      <c r="BM9" s="24" t="str">
        <f>IFERROR(--(AND(BM4&gt;=EOMONTH(Inputs!$F$15,-1)+1,BM4&lt;=EOMONTH(Inputs!$F$18,-1)+1)),"")</f>
        <v/>
      </c>
      <c r="BN9" s="24" t="str">
        <f>IFERROR(--(AND(BN4&gt;=EOMONTH(Inputs!$F$15,-1)+1,BN4&lt;=EOMONTH(Inputs!$F$18,-1)+1)),"")</f>
        <v/>
      </c>
      <c r="BO9" s="24" t="str">
        <f>IFERROR(--(AND(BO4&gt;=EOMONTH(Inputs!$F$15,-1)+1,BO4&lt;=EOMONTH(Inputs!$F$18,-1)+1)),"")</f>
        <v/>
      </c>
      <c r="BP9" s="24" t="str">
        <f>IFERROR(--(AND(BP4&gt;=EOMONTH(Inputs!$F$15,-1)+1,BP4&lt;=EOMONTH(Inputs!$F$18,-1)+1)),"")</f>
        <v/>
      </c>
      <c r="BQ9" s="24" t="str">
        <f>IFERROR(--(AND(BQ4&gt;=EOMONTH(Inputs!$F$15,-1)+1,BQ4&lt;=EOMONTH(Inputs!$F$18,-1)+1)),"")</f>
        <v/>
      </c>
      <c r="BR9" s="24" t="str">
        <f>IFERROR(--(AND(BR4&gt;=EOMONTH(Inputs!$F$15,-1)+1,BR4&lt;=EOMONTH(Inputs!$F$18,-1)+1)),"")</f>
        <v/>
      </c>
      <c r="BS9" s="24" t="str">
        <f>IFERROR(--(AND(BS4&gt;=EOMONTH(Inputs!$F$15,-1)+1,BS4&lt;=EOMONTH(Inputs!$F$18,-1)+1)),"")</f>
        <v/>
      </c>
      <c r="BT9" s="24" t="str">
        <f>IFERROR(--(AND(BT4&gt;=EOMONTH(Inputs!$F$15,-1)+1,BT4&lt;=EOMONTH(Inputs!$F$18,-1)+1)),"")</f>
        <v/>
      </c>
      <c r="BU9" s="24" t="str">
        <f>IFERROR(--(AND(BU4&gt;=EOMONTH(Inputs!$F$15,-1)+1,BU4&lt;=EOMONTH(Inputs!$F$18,-1)+1)),"")</f>
        <v/>
      </c>
      <c r="BV9" s="24" t="str">
        <f>IFERROR(--(AND(BV4&gt;=EOMONTH(Inputs!$F$15,-1)+1,BV4&lt;=EOMONTH(Inputs!$F$18,-1)+1)),"")</f>
        <v/>
      </c>
      <c r="BW9" s="24" t="str">
        <f>IFERROR(--(AND(BW4&gt;=EOMONTH(Inputs!$F$15,-1)+1,BW4&lt;=EOMONTH(Inputs!$F$18,-1)+1)),"")</f>
        <v/>
      </c>
      <c r="BX9" s="24" t="str">
        <f>IFERROR(--(AND(BX4&gt;=EOMONTH(Inputs!$F$15,-1)+1,BX4&lt;=EOMONTH(Inputs!$F$18,-1)+1)),"")</f>
        <v/>
      </c>
      <c r="BY9" s="24" t="str">
        <f>IFERROR(--(AND(BY4&gt;=EOMONTH(Inputs!$F$15,-1)+1,BY4&lt;=EOMONTH(Inputs!$F$18,-1)+1)),"")</f>
        <v/>
      </c>
      <c r="BZ9" s="24" t="str">
        <f>IFERROR(--(AND(BZ4&gt;=EOMONTH(Inputs!$F$15,-1)+1,BZ4&lt;=EOMONTH(Inputs!$F$18,-1)+1)),"")</f>
        <v/>
      </c>
      <c r="CA9" s="24" t="str">
        <f>IFERROR(--(AND(CA4&gt;=EOMONTH(Inputs!$F$15,-1)+1,CA4&lt;=EOMONTH(Inputs!$F$18,-1)+1)),"")</f>
        <v/>
      </c>
      <c r="CB9" s="24" t="str">
        <f>IFERROR(--(AND(CB4&gt;=EOMONTH(Inputs!$F$15,-1)+1,CB4&lt;=EOMONTH(Inputs!$F$18,-1)+1)),"")</f>
        <v/>
      </c>
      <c r="CC9" s="24" t="str">
        <f>IFERROR(--(AND(CC4&gt;=EOMONTH(Inputs!$F$15,-1)+1,CC4&lt;=EOMONTH(Inputs!$F$18,-1)+1)),"")</f>
        <v/>
      </c>
      <c r="CD9" s="24" t="str">
        <f>IFERROR(--(AND(CD4&gt;=EOMONTH(Inputs!$F$15,-1)+1,CD4&lt;=EOMONTH(Inputs!$F$18,-1)+1)),"")</f>
        <v/>
      </c>
      <c r="CE9" s="24" t="str">
        <f>IFERROR(--(AND(CE4&gt;=EOMONTH(Inputs!$F$15,-1)+1,CE4&lt;=EOMONTH(Inputs!$F$18,-1)+1)),"")</f>
        <v/>
      </c>
      <c r="CF9" s="24" t="str">
        <f>IFERROR(--(AND(CF4&gt;=EOMONTH(Inputs!$F$15,-1)+1,CF4&lt;=EOMONTH(Inputs!$F$18,-1)+1)),"")</f>
        <v/>
      </c>
      <c r="CG9" s="24" t="str">
        <f>IFERROR(--(AND(CG4&gt;=EOMONTH(Inputs!$F$15,-1)+1,CG4&lt;=EOMONTH(Inputs!$F$18,-1)+1)),"")</f>
        <v/>
      </c>
      <c r="CH9" s="24" t="str">
        <f>IFERROR(--(AND(CH4&gt;=EOMONTH(Inputs!$F$15,-1)+1,CH4&lt;=EOMONTH(Inputs!$F$18,-1)+1)),"")</f>
        <v/>
      </c>
      <c r="CI9" s="24" t="str">
        <f>IFERROR(--(AND(CI4&gt;=EOMONTH(Inputs!$F$15,-1)+1,CI4&lt;=EOMONTH(Inputs!$F$18,-1)+1)),"")</f>
        <v/>
      </c>
      <c r="CJ9" s="24" t="str">
        <f>IFERROR(--(AND(CJ4&gt;=EOMONTH(Inputs!$F$15,-1)+1,CJ4&lt;=EOMONTH(Inputs!$F$18,-1)+1)),"")</f>
        <v/>
      </c>
      <c r="CK9" s="24" t="str">
        <f>IFERROR(--(AND(CK4&gt;=EOMONTH(Inputs!$F$15,-1)+1,CK4&lt;=EOMONTH(Inputs!$F$18,-1)+1)),"")</f>
        <v/>
      </c>
      <c r="CL9" s="24" t="str">
        <f>IFERROR(--(AND(CL4&gt;=EOMONTH(Inputs!$F$15,-1)+1,CL4&lt;=EOMONTH(Inputs!$F$18,-1)+1)),"")</f>
        <v/>
      </c>
      <c r="CM9" s="24" t="str">
        <f>IFERROR(--(AND(CM4&gt;=EOMONTH(Inputs!$F$15,-1)+1,CM4&lt;=EOMONTH(Inputs!$F$18,-1)+1)),"")</f>
        <v/>
      </c>
      <c r="CN9" s="24" t="str">
        <f>IFERROR(--(AND(CN4&gt;=EOMONTH(Inputs!$F$15,-1)+1,CN4&lt;=EOMONTH(Inputs!$F$18,-1)+1)),"")</f>
        <v/>
      </c>
      <c r="CO9" s="24" t="str">
        <f>IFERROR(--(AND(CO4&gt;=EOMONTH(Inputs!$F$15,-1)+1,CO4&lt;=EOMONTH(Inputs!$F$18,-1)+1)),"")</f>
        <v/>
      </c>
      <c r="CP9" s="24" t="str">
        <f>IFERROR(--(AND(CP4&gt;=EOMONTH(Inputs!$F$15,-1)+1,CP4&lt;=EOMONTH(Inputs!$F$18,-1)+1)),"")</f>
        <v/>
      </c>
      <c r="CQ9" s="24" t="str">
        <f>IFERROR(--(AND(CQ4&gt;=EOMONTH(Inputs!$F$15,-1)+1,CQ4&lt;=EOMONTH(Inputs!$F$18,-1)+1)),"")</f>
        <v/>
      </c>
      <c r="CR9" s="24" t="str">
        <f>IFERROR(--(AND(CR4&gt;=EOMONTH(Inputs!$F$15,-1)+1,CR4&lt;=EOMONTH(Inputs!$F$18,-1)+1)),"")</f>
        <v/>
      </c>
      <c r="CS9" s="24" t="str">
        <f>IFERROR(--(AND(CS4&gt;=EOMONTH(Inputs!$F$15,-1)+1,CS4&lt;=EOMONTH(Inputs!$F$18,-1)+1)),"")</f>
        <v/>
      </c>
      <c r="CT9" s="24" t="str">
        <f>IFERROR(--(AND(CT4&gt;=EOMONTH(Inputs!$F$15,-1)+1,CT4&lt;=EOMONTH(Inputs!$F$18,-1)+1)),"")</f>
        <v/>
      </c>
      <c r="CU9" s="24" t="str">
        <f>IFERROR(--(AND(CU4&gt;=EOMONTH(Inputs!$F$15,-1)+1,CU4&lt;=EOMONTH(Inputs!$F$18,-1)+1)),"")</f>
        <v/>
      </c>
      <c r="CV9" s="24" t="str">
        <f>IFERROR(--(AND(CV4&gt;=EOMONTH(Inputs!$F$15,-1)+1,CV4&lt;=EOMONTH(Inputs!$F$18,-1)+1)),"")</f>
        <v/>
      </c>
      <c r="CW9" s="24" t="str">
        <f>IFERROR(--(AND(CW4&gt;=EOMONTH(Inputs!$F$15,-1)+1,CW4&lt;=EOMONTH(Inputs!$F$18,-1)+1)),"")</f>
        <v/>
      </c>
      <c r="CX9" s="24" t="str">
        <f>IFERROR(--(AND(CX4&gt;=EOMONTH(Inputs!$F$15,-1)+1,CX4&lt;=EOMONTH(Inputs!$F$18,-1)+1)),"")</f>
        <v/>
      </c>
      <c r="CY9" s="24" t="str">
        <f>IFERROR(--(AND(CY4&gt;=EOMONTH(Inputs!$F$15,-1)+1,CY4&lt;=EOMONTH(Inputs!$F$18,-1)+1)),"")</f>
        <v/>
      </c>
      <c r="CZ9" s="24" t="str">
        <f>IFERROR(--(AND(CZ4&gt;=EOMONTH(Inputs!$F$15,-1)+1,CZ4&lt;=EOMONTH(Inputs!$F$18,-1)+1)),"")</f>
        <v/>
      </c>
      <c r="DA9" s="24" t="str">
        <f>IFERROR(--(AND(DA4&gt;=EOMONTH(Inputs!$F$15,-1)+1,DA4&lt;=EOMONTH(Inputs!$F$18,-1)+1)),"")</f>
        <v/>
      </c>
      <c r="DB9" s="24" t="str">
        <f>IFERROR(--(AND(DB4&gt;=EOMONTH(Inputs!$F$15,-1)+1,DB4&lt;=EOMONTH(Inputs!$F$18,-1)+1)),"")</f>
        <v/>
      </c>
      <c r="DC9" s="24" t="str">
        <f>IFERROR(--(AND(DC4&gt;=EOMONTH(Inputs!$F$15,-1)+1,DC4&lt;=EOMONTH(Inputs!$F$18,-1)+1)),"")</f>
        <v/>
      </c>
      <c r="DD9" s="24" t="str">
        <f>IFERROR(--(AND(DD4&gt;=EOMONTH(Inputs!$F$15,-1)+1,DD4&lt;=EOMONTH(Inputs!$F$18,-1)+1)),"")</f>
        <v/>
      </c>
      <c r="DE9" s="24" t="str">
        <f>IFERROR(--(AND(DE4&gt;=EOMONTH(Inputs!$F$15,-1)+1,DE4&lt;=EOMONTH(Inputs!$F$18,-1)+1)),"")</f>
        <v/>
      </c>
      <c r="DF9" s="24" t="str">
        <f>IFERROR(--(AND(DF4&gt;=EOMONTH(Inputs!$F$15,-1)+1,DF4&lt;=EOMONTH(Inputs!$F$18,-1)+1)),"")</f>
        <v/>
      </c>
      <c r="DG9" s="24" t="str">
        <f>IFERROR(--(AND(DG4&gt;=EOMONTH(Inputs!$F$15,-1)+1,DG4&lt;=EOMONTH(Inputs!$F$18,-1)+1)),"")</f>
        <v/>
      </c>
      <c r="DH9" s="24" t="str">
        <f>IFERROR(--(AND(DH4&gt;=EOMONTH(Inputs!$F$15,-1)+1,DH4&lt;=EOMONTH(Inputs!$F$18,-1)+1)),"")</f>
        <v/>
      </c>
      <c r="DI9" s="24" t="str">
        <f>IFERROR(--(AND(DI4&gt;=EOMONTH(Inputs!$F$15,-1)+1,DI4&lt;=EOMONTH(Inputs!$F$18,-1)+1)),"")</f>
        <v/>
      </c>
      <c r="DJ9" s="24" t="str">
        <f>IFERROR(--(AND(DJ4&gt;=EOMONTH(Inputs!$F$15,-1)+1,DJ4&lt;=EOMONTH(Inputs!$F$18,-1)+1)),"")</f>
        <v/>
      </c>
      <c r="DK9" s="24" t="str">
        <f>IFERROR(--(AND(DK4&gt;=EOMONTH(Inputs!$F$15,-1)+1,DK4&lt;=EOMONTH(Inputs!$F$18,-1)+1)),"")</f>
        <v/>
      </c>
      <c r="DL9" s="24" t="str">
        <f>IFERROR(--(AND(DL4&gt;=EOMONTH(Inputs!$F$15,-1)+1,DL4&lt;=EOMONTH(Inputs!$F$18,-1)+1)),"")</f>
        <v/>
      </c>
      <c r="DM9" s="24" t="str">
        <f>IFERROR(--(AND(DM4&gt;=EOMONTH(Inputs!$F$15,-1)+1,DM4&lt;=EOMONTH(Inputs!$F$18,-1)+1)),"")</f>
        <v/>
      </c>
      <c r="DN9" s="24" t="str">
        <f>IFERROR(--(AND(DN4&gt;=EOMONTH(Inputs!$F$15,-1)+1,DN4&lt;=EOMONTH(Inputs!$F$18,-1)+1)),"")</f>
        <v/>
      </c>
      <c r="DO9" s="24" t="str">
        <f>IFERROR(--(AND(DO4&gt;=EOMONTH(Inputs!$F$15,-1)+1,DO4&lt;=EOMONTH(Inputs!$F$18,-1)+1)),"")</f>
        <v/>
      </c>
      <c r="DP9" s="24" t="str">
        <f>IFERROR(--(AND(DP4&gt;=EOMONTH(Inputs!$F$15,-1)+1,DP4&lt;=EOMONTH(Inputs!$F$18,-1)+1)),"")</f>
        <v/>
      </c>
      <c r="DQ9" s="24" t="str">
        <f>IFERROR(--(AND(DQ4&gt;=EOMONTH(Inputs!$F$15,-1)+1,DQ4&lt;=EOMONTH(Inputs!$F$18,-1)+1)),"")</f>
        <v/>
      </c>
      <c r="DR9" s="24" t="str">
        <f>IFERROR(--(AND(DR4&gt;=EOMONTH(Inputs!$F$15,-1)+1,DR4&lt;=EOMONTH(Inputs!$F$18,-1)+1)),"")</f>
        <v/>
      </c>
      <c r="DS9" s="24" t="str">
        <f>IFERROR(--(AND(DS4&gt;=EOMONTH(Inputs!$F$15,-1)+1,DS4&lt;=EOMONTH(Inputs!$F$18,-1)+1)),"")</f>
        <v/>
      </c>
      <c r="DT9" s="24" t="str">
        <f>IFERROR(--(AND(DT4&gt;=EOMONTH(Inputs!$F$15,-1)+1,DT4&lt;=EOMONTH(Inputs!$F$18,-1)+1)),"")</f>
        <v/>
      </c>
      <c r="DU9" s="24" t="str">
        <f>IFERROR(--(AND(DU4&gt;=EOMONTH(Inputs!$F$15,-1)+1,DU4&lt;=EOMONTH(Inputs!$F$18,-1)+1)),"")</f>
        <v/>
      </c>
      <c r="DV9" s="24" t="str">
        <f>IFERROR(--(AND(DV4&gt;=EOMONTH(Inputs!$F$15,-1)+1,DV4&lt;=EOMONTH(Inputs!$F$18,-1)+1)),"")</f>
        <v/>
      </c>
      <c r="DW9" s="24" t="str">
        <f>IFERROR(--(AND(DW4&gt;=EOMONTH(Inputs!$F$15,-1)+1,DW4&lt;=EOMONTH(Inputs!$F$18,-1)+1)),"")</f>
        <v/>
      </c>
      <c r="DX9" s="24" t="str">
        <f>IFERROR(--(AND(DX4&gt;=EOMONTH(Inputs!$F$15,-1)+1,DX4&lt;=EOMONTH(Inputs!$F$18,-1)+1)),"")</f>
        <v/>
      </c>
      <c r="DY9" s="24" t="str">
        <f>IFERROR(--(AND(DY4&gt;=EOMONTH(Inputs!$F$15,-1)+1,DY4&lt;=EOMONTH(Inputs!$F$18,-1)+1)),"")</f>
        <v/>
      </c>
      <c r="DZ9" s="24" t="str">
        <f>IFERROR(--(AND(DZ4&gt;=EOMONTH(Inputs!$F$15,-1)+1,DZ4&lt;=EOMONTH(Inputs!$F$18,-1)+1)),"")</f>
        <v/>
      </c>
      <c r="EA9" s="24" t="str">
        <f>IFERROR(--(AND(EA4&gt;=EOMONTH(Inputs!$F$15,-1)+1,EA4&lt;=EOMONTH(Inputs!$F$18,-1)+1)),"")</f>
        <v/>
      </c>
      <c r="EB9" s="24" t="str">
        <f>IFERROR(--(AND(EB4&gt;=EOMONTH(Inputs!$F$15,-1)+1,EB4&lt;=EOMONTH(Inputs!$F$18,-1)+1)),"")</f>
        <v/>
      </c>
      <c r="EC9" s="24" t="str">
        <f>IFERROR(--(AND(EC4&gt;=EOMONTH(Inputs!$F$15,-1)+1,EC4&lt;=EOMONTH(Inputs!$F$18,-1)+1)),"")</f>
        <v/>
      </c>
      <c r="ED9" s="24" t="str">
        <f>IFERROR(--(AND(ED4&gt;=EOMONTH(Inputs!$F$15,-1)+1,ED4&lt;=EOMONTH(Inputs!$F$18,-1)+1)),"")</f>
        <v/>
      </c>
      <c r="EE9" s="24" t="str">
        <f>IFERROR(--(AND(EE4&gt;=EOMONTH(Inputs!$F$15,-1)+1,EE4&lt;=EOMONTH(Inputs!$F$18,-1)+1)),"")</f>
        <v/>
      </c>
      <c r="EF9" s="24" t="str">
        <f>IFERROR(--(AND(EF4&gt;=EOMONTH(Inputs!$F$15,-1)+1,EF4&lt;=EOMONTH(Inputs!$F$18,-1)+1)),"")</f>
        <v/>
      </c>
      <c r="EG9" s="24" t="str">
        <f>IFERROR(--(AND(EG4&gt;=EOMONTH(Inputs!$F$15,-1)+1,EG4&lt;=EOMONTH(Inputs!$F$18,-1)+1)),"")</f>
        <v/>
      </c>
      <c r="EH9" s="24" t="str">
        <f>IFERROR(--(AND(EH4&gt;=EOMONTH(Inputs!$F$15,-1)+1,EH4&lt;=EOMONTH(Inputs!$F$18,-1)+1)),"")</f>
        <v/>
      </c>
      <c r="EI9" s="24" t="str">
        <f>IFERROR(--(AND(EI4&gt;=EOMONTH(Inputs!$F$15,-1)+1,EI4&lt;=EOMONTH(Inputs!$F$18,-1)+1)),"")</f>
        <v/>
      </c>
      <c r="EJ9" s="24" t="str">
        <f>IFERROR(--(AND(EJ4&gt;=EOMONTH(Inputs!$F$15,-1)+1,EJ4&lt;=EOMONTH(Inputs!$F$18,-1)+1)),"")</f>
        <v/>
      </c>
      <c r="EK9" s="24" t="str">
        <f>IFERROR(--(AND(EK4&gt;=EOMONTH(Inputs!$F$15,-1)+1,EK4&lt;=EOMONTH(Inputs!$F$18,-1)+1)),"")</f>
        <v/>
      </c>
      <c r="EL9" s="24" t="str">
        <f>IFERROR(--(AND(EL4&gt;=EOMONTH(Inputs!$F$15,-1)+1,EL4&lt;=EOMONTH(Inputs!$F$18,-1)+1)),"")</f>
        <v/>
      </c>
      <c r="EM9" s="24" t="str">
        <f>IFERROR(--(AND(EM4&gt;=EOMONTH(Inputs!$F$15,-1)+1,EM4&lt;=EOMONTH(Inputs!$F$18,-1)+1)),"")</f>
        <v/>
      </c>
      <c r="EN9" s="24" t="str">
        <f>IFERROR(--(AND(EN4&gt;=EOMONTH(Inputs!$F$15,-1)+1,EN4&lt;=EOMONTH(Inputs!$F$18,-1)+1)),"")</f>
        <v/>
      </c>
    </row>
    <row r="10" spans="1:147" ht="15" customHeight="1">
      <c r="A10" s="24" t="s">
        <v>2036</v>
      </c>
      <c r="B10" s="26"/>
      <c r="C10" s="24" t="str">
        <f>IFERROR(--(C4=EOMONTH(Inputs!$F$19,-1)+1),"")</f>
        <v/>
      </c>
      <c r="D10" s="24" t="str">
        <f>IFERROR(--(D4=EOMONTH(Inputs!$F$19,-1)+1),"")</f>
        <v/>
      </c>
      <c r="E10" s="24" t="str">
        <f>IFERROR(--(E4=EOMONTH(Inputs!$F$19,-1)+1),"")</f>
        <v/>
      </c>
      <c r="F10" s="24" t="str">
        <f>IFERROR(--(F4=EOMONTH(Inputs!$F$19,-1)+1),"")</f>
        <v/>
      </c>
      <c r="G10" s="24" t="str">
        <f>IFERROR(--(G4=EOMONTH(Inputs!$F$19,-1)+1),"")</f>
        <v/>
      </c>
      <c r="H10" s="24" t="str">
        <f>IFERROR(--(H4=EOMONTH(Inputs!$F$19,-1)+1),"")</f>
        <v/>
      </c>
      <c r="I10" s="24" t="str">
        <f>IFERROR(--(I4=EOMONTH(Inputs!$F$19,-1)+1),"")</f>
        <v/>
      </c>
      <c r="J10" s="24" t="str">
        <f>IFERROR(--(J4=EOMONTH(Inputs!$F$19,-1)+1),"")</f>
        <v/>
      </c>
      <c r="K10" s="24" t="str">
        <f>IFERROR(--(K4=EOMONTH(Inputs!$F$19,-1)+1),"")</f>
        <v/>
      </c>
      <c r="L10" s="24" t="str">
        <f>IFERROR(--(L4=EOMONTH(Inputs!$F$19,-1)+1),"")</f>
        <v/>
      </c>
      <c r="M10" s="24" t="str">
        <f>IFERROR(--(M4=EOMONTH(Inputs!$F$19,-1)+1),"")</f>
        <v/>
      </c>
      <c r="N10" s="24" t="str">
        <f>IFERROR(--(N4=EOMONTH(Inputs!$F$19,-1)+1),"")</f>
        <v/>
      </c>
      <c r="O10" s="24" t="str">
        <f>IFERROR(--(O4=EOMONTH(Inputs!$F$19,-1)+1),"")</f>
        <v/>
      </c>
      <c r="P10" s="24" t="str">
        <f>IFERROR(--(P4=EOMONTH(Inputs!$F$19,-1)+1),"")</f>
        <v/>
      </c>
      <c r="Q10" s="24" t="str">
        <f>IFERROR(--(Q4=EOMONTH(Inputs!$F$19,-1)+1),"")</f>
        <v/>
      </c>
      <c r="R10" s="223"/>
      <c r="S10" s="223"/>
      <c r="T10" s="223"/>
      <c r="U10" s="223"/>
      <c r="V10" s="223"/>
      <c r="W10" s="223"/>
      <c r="X10" s="223"/>
      <c r="Y10" s="223"/>
      <c r="Z10" s="223"/>
      <c r="AA10" s="223"/>
      <c r="AB10" s="223"/>
      <c r="AC10" s="223"/>
      <c r="AD10" s="223"/>
      <c r="AE10" s="223"/>
      <c r="AF10" s="223"/>
      <c r="AG10" s="223"/>
      <c r="AH10" s="223"/>
      <c r="AI10" s="223"/>
      <c r="AJ10" s="223"/>
      <c r="AK10" s="223"/>
      <c r="AL10" s="223"/>
      <c r="AM10" s="223"/>
      <c r="AN10" s="223"/>
      <c r="AO10" s="223"/>
      <c r="AP10" s="223"/>
      <c r="AQ10" s="223"/>
      <c r="AR10" s="223"/>
      <c r="AS10" s="223"/>
      <c r="AT10" s="223"/>
      <c r="AU10" s="223"/>
      <c r="AV10" s="223"/>
      <c r="AW10" s="223"/>
      <c r="AX10" s="223"/>
      <c r="AY10" s="223"/>
      <c r="AZ10" s="223"/>
      <c r="BA10" s="223"/>
      <c r="BB10" s="223"/>
      <c r="BC10" s="223"/>
      <c r="BD10" s="223"/>
      <c r="BE10" s="223"/>
      <c r="BF10" s="223"/>
      <c r="BG10" s="223"/>
      <c r="BH10" s="223"/>
      <c r="BI10" s="223"/>
      <c r="BJ10" s="223"/>
      <c r="BK10" s="223"/>
      <c r="BL10" s="223"/>
      <c r="BM10" s="223"/>
      <c r="BN10" s="223"/>
      <c r="BO10" s="223"/>
      <c r="BP10" s="223"/>
      <c r="BQ10" s="223"/>
      <c r="BR10" s="223"/>
      <c r="BS10" s="223"/>
      <c r="BT10" s="223"/>
      <c r="BU10" s="223"/>
      <c r="BV10" s="223"/>
      <c r="BW10" s="223"/>
      <c r="BX10" s="223"/>
      <c r="BY10" s="223"/>
      <c r="BZ10" s="223"/>
      <c r="CA10" s="223"/>
      <c r="CB10" s="223"/>
      <c r="CC10" s="223"/>
      <c r="CD10" s="223"/>
      <c r="CE10" s="223"/>
      <c r="CF10" s="223"/>
      <c r="CG10" s="223"/>
      <c r="CH10" s="223"/>
      <c r="CI10" s="223"/>
      <c r="CJ10" s="223"/>
      <c r="CK10" s="223"/>
      <c r="CL10" s="223"/>
      <c r="CM10" s="223"/>
      <c r="CN10" s="223"/>
      <c r="CO10" s="223"/>
      <c r="CP10" s="223"/>
      <c r="CQ10" s="223"/>
      <c r="CR10" s="223"/>
      <c r="CS10" s="223"/>
      <c r="CT10" s="223"/>
      <c r="CU10" s="223"/>
      <c r="CV10" s="223"/>
      <c r="CW10" s="223"/>
      <c r="CX10" s="223"/>
      <c r="CY10" s="223"/>
      <c r="CZ10" s="223"/>
      <c r="DA10" s="223"/>
      <c r="DB10" s="223"/>
      <c r="DC10" s="223"/>
      <c r="DD10" s="223"/>
      <c r="DE10" s="223"/>
      <c r="DF10" s="223"/>
      <c r="DG10" s="223"/>
      <c r="DH10" s="223"/>
      <c r="DI10" s="223"/>
      <c r="DJ10" s="223"/>
      <c r="DK10" s="223"/>
      <c r="DL10" s="223"/>
      <c r="DM10" s="223"/>
      <c r="DN10" s="223"/>
      <c r="DO10" s="223"/>
      <c r="DP10" s="223"/>
      <c r="DQ10" s="223"/>
      <c r="DR10" s="223"/>
      <c r="DS10" s="223"/>
      <c r="DT10" s="223"/>
      <c r="DU10" s="223"/>
      <c r="DV10" s="223"/>
      <c r="DW10" s="223"/>
      <c r="DX10" s="223"/>
      <c r="DY10" s="223"/>
      <c r="DZ10" s="223"/>
      <c r="EA10" s="223"/>
      <c r="EB10" s="223"/>
      <c r="EC10" s="223"/>
      <c r="ED10" s="223"/>
      <c r="EE10" s="223"/>
      <c r="EF10" s="223"/>
      <c r="EG10" s="223"/>
      <c r="EH10" s="223"/>
      <c r="EI10" s="223"/>
      <c r="EJ10" s="223"/>
      <c r="EK10" s="223"/>
      <c r="EL10" s="223"/>
      <c r="EM10" s="223"/>
      <c r="EN10" s="223"/>
    </row>
    <row r="11" spans="1:147" ht="15" customHeight="1">
      <c r="A11" s="24" t="s">
        <v>2037</v>
      </c>
      <c r="B11" s="26"/>
      <c r="C11" s="24" t="str">
        <f>IFERROR(--(AND(C4&gt;=EOMONTH(Inputs!$F$20,-1)+1,C4&lt;=EOMONTH(Inputs!$E$16,-1)+1)),"")</f>
        <v/>
      </c>
      <c r="D11" s="24" t="str">
        <f>IFERROR(--(AND(D4&gt;=EOMONTH(Inputs!$F$20,-1)+1,D4&lt;=EOMONTH(Inputs!$E$16,-1)+1)),"")</f>
        <v/>
      </c>
      <c r="E11" s="24" t="str">
        <f>IFERROR(--(AND(E4&gt;=EOMONTH(Inputs!$F$20,-1)+1,E4&lt;=EOMONTH(Inputs!$E$16,-1)+1)),"")</f>
        <v/>
      </c>
      <c r="F11" s="24" t="str">
        <f>IFERROR(--(AND(F4&gt;=EOMONTH(Inputs!$F$20,-1)+1,F4&lt;=EOMONTH(Inputs!$E$16,-1)+1)),"")</f>
        <v/>
      </c>
      <c r="G11" s="24" t="str">
        <f>IFERROR(--(AND(G4&gt;=EOMONTH(Inputs!$F$20,-1)+1,G4&lt;=EOMONTH(Inputs!$E$16,-1)+1)),"")</f>
        <v/>
      </c>
      <c r="H11" s="24" t="str">
        <f>IFERROR(--(AND(H4&gt;=EOMONTH(Inputs!$F$20,-1)+1,H4&lt;=EOMONTH(Inputs!$E$16,-1)+1)),"")</f>
        <v/>
      </c>
      <c r="I11" s="24" t="str">
        <f>IFERROR(--(AND(I4&gt;=EOMONTH(Inputs!$F$20,-1)+1,I4&lt;=EOMONTH(Inputs!$E$16,-1)+1)),"")</f>
        <v/>
      </c>
      <c r="J11" s="24" t="str">
        <f>IFERROR(--(AND(J4&gt;=EOMONTH(Inputs!$F$20,-1)+1,J4&lt;=EOMONTH(Inputs!$E$16,-1)+1)),"")</f>
        <v/>
      </c>
      <c r="K11" s="24" t="str">
        <f>IFERROR(--(AND(K4&gt;=EOMONTH(Inputs!$F$20,-1)+1,K4&lt;=EOMONTH(Inputs!$E$16,-1)+1)),"")</f>
        <v/>
      </c>
      <c r="L11" s="24" t="str">
        <f>IFERROR(--(AND(L4&gt;=EOMONTH(Inputs!$F$20,-1)+1,L4&lt;=EOMONTH(Inputs!$E$16,-1)+1)),"")</f>
        <v/>
      </c>
      <c r="M11" s="24" t="str">
        <f>IFERROR(--(AND(M4&gt;=EOMONTH(Inputs!$F$20,-1)+1,M4&lt;=EOMONTH(Inputs!$E$16,-1)+1)),"")</f>
        <v/>
      </c>
      <c r="N11" s="24" t="str">
        <f>IFERROR(--(AND(N4&gt;=EOMONTH(Inputs!$F$20,-1)+1,N4&lt;=EOMONTH(Inputs!$E$16,-1)+1)),"")</f>
        <v/>
      </c>
      <c r="O11" s="24" t="str">
        <f>IFERROR(--(AND(O4&gt;=EOMONTH(Inputs!$F$20,-1)+1,O4&lt;=EOMONTH(Inputs!$E$16,-1)+1)),"")</f>
        <v/>
      </c>
      <c r="P11" s="24" t="str">
        <f>IFERROR(--(AND(P4&gt;=EOMONTH(Inputs!$F$20,-1)+1,P4&lt;=EOMONTH(Inputs!$E$16,-1)+1)),"")</f>
        <v/>
      </c>
      <c r="Q11" s="24" t="str">
        <f>IFERROR(--(AND(Q4&gt;=EOMONTH(Inputs!$F$20,-1)+1,Q4&lt;=EOMONTH(Inputs!$E$16,-1)+1)),"")</f>
        <v/>
      </c>
      <c r="R11" s="223"/>
      <c r="S11" s="223"/>
      <c r="T11" s="223"/>
      <c r="U11" s="223"/>
      <c r="V11" s="223"/>
      <c r="W11" s="223"/>
      <c r="X11" s="223"/>
      <c r="Y11" s="223"/>
      <c r="Z11" s="223"/>
      <c r="AA11" s="223"/>
      <c r="AB11" s="223"/>
      <c r="AC11" s="223"/>
      <c r="AD11" s="223"/>
      <c r="AE11" s="223"/>
      <c r="AF11" s="223"/>
      <c r="AG11" s="223"/>
      <c r="AH11" s="223"/>
      <c r="AI11" s="223"/>
      <c r="AJ11" s="223"/>
      <c r="AK11" s="223"/>
      <c r="AL11" s="223"/>
      <c r="AM11" s="223"/>
      <c r="AN11" s="223"/>
      <c r="AO11" s="223"/>
      <c r="AP11" s="223"/>
      <c r="AQ11" s="223"/>
      <c r="AR11" s="223"/>
      <c r="AS11" s="223"/>
      <c r="AT11" s="223"/>
      <c r="AU11" s="223"/>
      <c r="AV11" s="223"/>
      <c r="AW11" s="223"/>
      <c r="AX11" s="223"/>
      <c r="AY11" s="223"/>
      <c r="AZ11" s="223"/>
      <c r="BA11" s="223"/>
      <c r="BB11" s="223"/>
      <c r="BC11" s="223"/>
      <c r="BD11" s="223"/>
      <c r="BE11" s="223"/>
      <c r="BF11" s="223"/>
      <c r="BG11" s="223"/>
      <c r="BH11" s="223"/>
      <c r="BI11" s="223"/>
      <c r="BJ11" s="223"/>
      <c r="BK11" s="223"/>
      <c r="BL11" s="223"/>
      <c r="BM11" s="223"/>
      <c r="BN11" s="223"/>
      <c r="BO11" s="223"/>
      <c r="BP11" s="223"/>
      <c r="BQ11" s="223"/>
      <c r="BR11" s="223"/>
      <c r="BS11" s="223"/>
      <c r="BT11" s="223"/>
      <c r="BU11" s="223"/>
      <c r="BV11" s="223"/>
      <c r="BW11" s="223"/>
      <c r="BX11" s="223"/>
      <c r="BY11" s="223"/>
      <c r="BZ11" s="223"/>
      <c r="CA11" s="223"/>
      <c r="CB11" s="223"/>
      <c r="CC11" s="223"/>
      <c r="CD11" s="223"/>
      <c r="CE11" s="223"/>
      <c r="CF11" s="223"/>
      <c r="CG11" s="223"/>
      <c r="CH11" s="223"/>
      <c r="CI11" s="223"/>
      <c r="CJ11" s="223"/>
      <c r="CK11" s="223"/>
      <c r="CL11" s="223"/>
      <c r="CM11" s="223"/>
      <c r="CN11" s="223"/>
      <c r="CO11" s="223"/>
      <c r="CP11" s="223"/>
      <c r="CQ11" s="223"/>
      <c r="CR11" s="223"/>
      <c r="CS11" s="223"/>
      <c r="CT11" s="223"/>
      <c r="CU11" s="223"/>
      <c r="CV11" s="223"/>
      <c r="CW11" s="223"/>
      <c r="CX11" s="223"/>
      <c r="CY11" s="223"/>
      <c r="CZ11" s="223"/>
      <c r="DA11" s="223"/>
      <c r="DB11" s="223"/>
      <c r="DC11" s="223"/>
      <c r="DD11" s="223"/>
      <c r="DE11" s="223"/>
      <c r="DF11" s="223"/>
      <c r="DG11" s="223"/>
      <c r="DH11" s="223"/>
      <c r="DI11" s="223"/>
      <c r="DJ11" s="223"/>
      <c r="DK11" s="223"/>
      <c r="DL11" s="223"/>
      <c r="DM11" s="223"/>
      <c r="DN11" s="223"/>
      <c r="DO11" s="223"/>
      <c r="DP11" s="223"/>
      <c r="DQ11" s="223"/>
      <c r="DR11" s="223"/>
      <c r="DS11" s="223"/>
      <c r="DT11" s="223"/>
      <c r="DU11" s="223"/>
      <c r="DV11" s="223"/>
      <c r="DW11" s="223"/>
      <c r="DX11" s="223"/>
      <c r="DY11" s="223"/>
      <c r="DZ11" s="223"/>
      <c r="EA11" s="223"/>
      <c r="EB11" s="223"/>
      <c r="EC11" s="223"/>
      <c r="ED11" s="223"/>
      <c r="EE11" s="223"/>
      <c r="EF11" s="223"/>
      <c r="EG11" s="223"/>
      <c r="EH11" s="223"/>
      <c r="EI11" s="223"/>
      <c r="EJ11" s="223"/>
      <c r="EK11" s="223"/>
      <c r="EL11" s="223"/>
      <c r="EM11" s="223"/>
      <c r="EN11" s="223"/>
    </row>
    <row r="12" spans="1:147" ht="15" customHeight="1">
      <c r="A12" s="24" t="s">
        <v>2038</v>
      </c>
      <c r="B12" s="26"/>
      <c r="C12" s="24" t="str">
        <f>IFERROR(--(AND(C4&gt;=EOMONTH(Inputs!$F$23,-1)+1,C4&lt;=EOMONTH(Inputs!$E$22,-1)+1)),"")</f>
        <v/>
      </c>
      <c r="D12" s="24" t="str">
        <f>IFERROR(--(AND(D4&gt;=EOMONTH(Inputs!$F$23,-1)+1,D4&lt;=EOMONTH(Inputs!$E$22,-1)+1)),"")</f>
        <v/>
      </c>
      <c r="E12" s="24" t="str">
        <f>IFERROR(--(AND(E4&gt;=EOMONTH(Inputs!$F$23,-1)+1,E4&lt;=EOMONTH(Inputs!$E$22,-1)+1)),"")</f>
        <v/>
      </c>
      <c r="F12" s="24" t="str">
        <f>IFERROR(--(AND(F4&gt;=EOMONTH(Inputs!$F$23,-1)+1,F4&lt;=EOMONTH(Inputs!$E$22,-1)+1)),"")</f>
        <v/>
      </c>
      <c r="G12" s="24" t="str">
        <f>IFERROR(--(AND(G4&gt;=EOMONTH(Inputs!$F$23,-1)+1,G4&lt;=EOMONTH(Inputs!$E$22,-1)+1)),"")</f>
        <v/>
      </c>
      <c r="H12" s="24" t="str">
        <f>IFERROR(--(AND(H4&gt;=EOMONTH(Inputs!$F$23,-1)+1,H4&lt;=EOMONTH(Inputs!$E$22,-1)+1)),"")</f>
        <v/>
      </c>
      <c r="I12" s="24" t="str">
        <f>IFERROR(--(AND(I4&gt;=EOMONTH(Inputs!$F$23,-1)+1,I4&lt;=EOMONTH(Inputs!$E$22,-1)+1)),"")</f>
        <v/>
      </c>
      <c r="J12" s="24" t="str">
        <f>IFERROR(--(AND(J4&gt;=EOMONTH(Inputs!$F$23,-1)+1,J4&lt;=EOMONTH(Inputs!$E$22,-1)+1)),"")</f>
        <v/>
      </c>
      <c r="K12" s="24" t="str">
        <f>IFERROR(--(AND(K4&gt;=EOMONTH(Inputs!$F$23,-1)+1,K4&lt;=EOMONTH(Inputs!$E$22,-1)+1)),"")</f>
        <v/>
      </c>
      <c r="L12" s="24" t="str">
        <f>IFERROR(--(AND(L4&gt;=EOMONTH(Inputs!$F$23,-1)+1,L4&lt;=EOMONTH(Inputs!$E$22,-1)+1)),"")</f>
        <v/>
      </c>
      <c r="M12" s="24" t="str">
        <f>IFERROR(--(AND(M4&gt;=EOMONTH(Inputs!$F$23,-1)+1,M4&lt;=EOMONTH(Inputs!$E$22,-1)+1)),"")</f>
        <v/>
      </c>
      <c r="N12" s="24" t="str">
        <f>IFERROR(--(AND(N4&gt;=EOMONTH(Inputs!$F$23,-1)+1,N4&lt;=EOMONTH(Inputs!$E$22,-1)+1)),"")</f>
        <v/>
      </c>
      <c r="O12" s="24" t="str">
        <f>IFERROR(--(AND(O4&gt;=EOMONTH(Inputs!$F$23,-1)+1,O4&lt;=EOMONTH(Inputs!$E$22,-1)+1)),"")</f>
        <v/>
      </c>
      <c r="P12" s="24" t="str">
        <f>IFERROR(--(AND(P4&gt;=EOMONTH(Inputs!$F$23,-1)+1,P4&lt;=EOMONTH(Inputs!$E$22,-1)+1)),"")</f>
        <v/>
      </c>
      <c r="Q12" s="24" t="str">
        <f>IFERROR(--(AND(Q4&gt;=EOMONTH(Inputs!$F$23,-1)+1,Q4&lt;=EOMONTH(Inputs!$E$22,-1)+1)),"")</f>
        <v/>
      </c>
      <c r="R12" s="223"/>
      <c r="S12" s="223"/>
      <c r="T12" s="223"/>
      <c r="U12" s="223"/>
      <c r="V12" s="223"/>
      <c r="W12" s="223"/>
      <c r="X12" s="223"/>
      <c r="Y12" s="223"/>
      <c r="Z12" s="223"/>
      <c r="AA12" s="223"/>
      <c r="AB12" s="223"/>
      <c r="AC12" s="223"/>
      <c r="AD12" s="223"/>
      <c r="AE12" s="223"/>
      <c r="AF12" s="223"/>
      <c r="AG12" s="223"/>
      <c r="AH12" s="223"/>
      <c r="AI12" s="223"/>
      <c r="AJ12" s="223"/>
      <c r="AK12" s="223"/>
      <c r="AL12" s="223"/>
      <c r="AM12" s="223"/>
      <c r="AN12" s="223"/>
      <c r="AO12" s="223"/>
      <c r="AP12" s="223"/>
      <c r="AQ12" s="223"/>
      <c r="AR12" s="223"/>
      <c r="AS12" s="223"/>
      <c r="AT12" s="223"/>
      <c r="AU12" s="223"/>
      <c r="AV12" s="223"/>
      <c r="AW12" s="223"/>
      <c r="AX12" s="223"/>
      <c r="AY12" s="223"/>
      <c r="AZ12" s="223"/>
      <c r="BA12" s="223"/>
      <c r="BB12" s="223"/>
      <c r="BC12" s="223"/>
      <c r="BD12" s="223"/>
      <c r="BE12" s="223"/>
      <c r="BF12" s="223"/>
      <c r="BG12" s="223"/>
      <c r="BH12" s="223"/>
      <c r="BI12" s="223"/>
      <c r="BJ12" s="223"/>
      <c r="BK12" s="223"/>
      <c r="BL12" s="223"/>
      <c r="BM12" s="223"/>
      <c r="BN12" s="223"/>
      <c r="BO12" s="223"/>
      <c r="BP12" s="223"/>
      <c r="BQ12" s="223"/>
      <c r="BR12" s="223"/>
      <c r="BS12" s="223"/>
      <c r="BT12" s="223"/>
      <c r="BU12" s="223"/>
      <c r="BV12" s="223"/>
      <c r="BW12" s="223"/>
      <c r="BX12" s="223"/>
      <c r="BY12" s="223"/>
      <c r="BZ12" s="223"/>
      <c r="CA12" s="223"/>
      <c r="CB12" s="223"/>
      <c r="CC12" s="223"/>
      <c r="CD12" s="223"/>
      <c r="CE12" s="223"/>
      <c r="CF12" s="223"/>
      <c r="CG12" s="223"/>
      <c r="CH12" s="223"/>
      <c r="CI12" s="223"/>
      <c r="CJ12" s="223"/>
      <c r="CK12" s="223"/>
      <c r="CL12" s="223"/>
      <c r="CM12" s="223"/>
      <c r="CN12" s="223"/>
      <c r="CO12" s="223"/>
      <c r="CP12" s="223"/>
      <c r="CQ12" s="223"/>
      <c r="CR12" s="223"/>
      <c r="CS12" s="223"/>
      <c r="CT12" s="223"/>
      <c r="CU12" s="223"/>
      <c r="CV12" s="223"/>
      <c r="CW12" s="223"/>
      <c r="CX12" s="223"/>
      <c r="CY12" s="223"/>
      <c r="CZ12" s="223"/>
      <c r="DA12" s="223"/>
      <c r="DB12" s="223"/>
      <c r="DC12" s="223"/>
      <c r="DD12" s="223"/>
      <c r="DE12" s="223"/>
      <c r="DF12" s="223"/>
      <c r="DG12" s="223"/>
      <c r="DH12" s="223"/>
      <c r="DI12" s="223"/>
      <c r="DJ12" s="223"/>
      <c r="DK12" s="223"/>
      <c r="DL12" s="223"/>
      <c r="DM12" s="223"/>
      <c r="DN12" s="223"/>
      <c r="DO12" s="223"/>
      <c r="DP12" s="223"/>
      <c r="DQ12" s="223"/>
      <c r="DR12" s="223"/>
      <c r="DS12" s="223"/>
      <c r="DT12" s="223"/>
      <c r="DU12" s="223"/>
      <c r="DV12" s="223"/>
      <c r="DW12" s="223"/>
      <c r="DX12" s="223"/>
      <c r="DY12" s="223"/>
      <c r="DZ12" s="223"/>
      <c r="EA12" s="223"/>
      <c r="EB12" s="223"/>
      <c r="EC12" s="223"/>
      <c r="ED12" s="223"/>
      <c r="EE12" s="223"/>
      <c r="EF12" s="223"/>
      <c r="EG12" s="223"/>
      <c r="EH12" s="223"/>
      <c r="EI12" s="223"/>
      <c r="EJ12" s="223"/>
      <c r="EK12" s="223"/>
      <c r="EL12" s="223"/>
      <c r="EM12" s="223"/>
      <c r="EN12" s="223"/>
    </row>
    <row r="13" spans="1:147" ht="28.5" customHeight="1">
      <c r="A13" s="230" t="s">
        <v>2039</v>
      </c>
      <c r="B13" s="26"/>
      <c r="C13" s="24" t="str">
        <f>IFERROR(--(AND(C4&gt;=EOMONTH(Inputs!$F$21,-1)+1,C4&lt;=EOMONTH(Inputs!$F$22,-1)+1)),"")</f>
        <v/>
      </c>
      <c r="D13" s="24" t="str">
        <f>IFERROR(--(AND(D4&gt;=EOMONTH(Inputs!$F$21,-1)+1,D4&lt;=EOMONTH(Inputs!$F$22,-1)+1)),"")</f>
        <v/>
      </c>
      <c r="E13" s="24" t="str">
        <f>IFERROR(--(AND(E4&gt;=EOMONTH(Inputs!$F$21,-1)+1,E4&lt;=EOMONTH(Inputs!$F$22,-1)+1)),"")</f>
        <v/>
      </c>
      <c r="F13" s="24" t="str">
        <f>IFERROR(--(AND(F4&gt;=EOMONTH(Inputs!$F$21,-1)+1,F4&lt;=EOMONTH(Inputs!$F$22,-1)+1)),"")</f>
        <v/>
      </c>
      <c r="G13" s="24" t="str">
        <f>IFERROR(--(AND(G4&gt;=EOMONTH(Inputs!$F$21,-1)+1,G4&lt;=EOMONTH(Inputs!$F$22,-1)+1)),"")</f>
        <v/>
      </c>
      <c r="H13" s="24" t="str">
        <f>IFERROR(--(AND(H4&gt;=EOMONTH(Inputs!$F$21,-1)+1,H4&lt;=EOMONTH(Inputs!$F$22,-1)+1)),"")</f>
        <v/>
      </c>
      <c r="I13" s="24" t="str">
        <f>IFERROR(--(AND(I4&gt;=EOMONTH(Inputs!$F$21,-1)+1,I4&lt;=EOMONTH(Inputs!$F$22,-1)+1)),"")</f>
        <v/>
      </c>
      <c r="J13" s="24" t="str">
        <f>IFERROR(--(AND(J4&gt;=EOMONTH(Inputs!$F$21,-1)+1,J4&lt;=EOMONTH(Inputs!$F$22,-1)+1)),"")</f>
        <v/>
      </c>
      <c r="K13" s="24" t="str">
        <f>IFERROR(--(AND(K4&gt;=EOMONTH(Inputs!$F$21,-1)+1,K4&lt;=EOMONTH(Inputs!$F$22,-1)+1)),"")</f>
        <v/>
      </c>
      <c r="L13" s="24" t="str">
        <f>IFERROR(--(AND(L4&gt;=EOMONTH(Inputs!$F$21,-1)+1,L4&lt;=EOMONTH(Inputs!$F$22,-1)+1)),"")</f>
        <v/>
      </c>
      <c r="M13" s="24" t="str">
        <f>IFERROR(--(AND(M4&gt;=EOMONTH(Inputs!$F$21,-1)+1,M4&lt;=EOMONTH(Inputs!$F$22,-1)+1)),"")</f>
        <v/>
      </c>
      <c r="N13" s="24" t="str">
        <f>IFERROR(--(AND(N4&gt;=EOMONTH(Inputs!$F$21,-1)+1,N4&lt;=EOMONTH(Inputs!$F$22,-1)+1)),"")</f>
        <v/>
      </c>
      <c r="O13" s="24" t="str">
        <f>IFERROR(--(AND(O4&gt;=EOMONTH(Inputs!$F$21,-1)+1,O4&lt;=EOMONTH(Inputs!$F$22,-1)+1)),"")</f>
        <v/>
      </c>
      <c r="P13" s="24" t="str">
        <f>IFERROR(--(AND(P4&gt;=EOMONTH(Inputs!$F$21,-1)+1,P4&lt;=EOMONTH(Inputs!$F$22,-1)+1)),"")</f>
        <v/>
      </c>
      <c r="Q13" s="24" t="str">
        <f>IFERROR(--(AND(Q4&gt;=EOMONTH(Inputs!$F$21,-1)+1,Q4&lt;=EOMONTH(Inputs!$F$22,-1)+1)),"")</f>
        <v/>
      </c>
      <c r="R13" s="223"/>
      <c r="S13" s="223"/>
      <c r="T13" s="223"/>
      <c r="U13" s="223"/>
      <c r="V13" s="223"/>
      <c r="W13" s="223"/>
      <c r="X13" s="223"/>
      <c r="Y13" s="223"/>
      <c r="Z13" s="223"/>
      <c r="AA13" s="223"/>
      <c r="AB13" s="223"/>
      <c r="AC13" s="223"/>
      <c r="AD13" s="223"/>
      <c r="AE13" s="223"/>
      <c r="AF13" s="223"/>
      <c r="AG13" s="223"/>
      <c r="AH13" s="223"/>
      <c r="AI13" s="223"/>
      <c r="AJ13" s="223"/>
      <c r="AK13" s="223"/>
      <c r="AL13" s="223"/>
      <c r="AM13" s="223"/>
      <c r="AN13" s="223"/>
      <c r="AO13" s="223"/>
      <c r="AP13" s="223"/>
      <c r="AQ13" s="223"/>
      <c r="AR13" s="223"/>
      <c r="AS13" s="223"/>
      <c r="AT13" s="223"/>
      <c r="AU13" s="223"/>
      <c r="AV13" s="223"/>
      <c r="AW13" s="223"/>
      <c r="AX13" s="223"/>
      <c r="AY13" s="223"/>
      <c r="AZ13" s="223"/>
      <c r="BA13" s="223"/>
      <c r="BB13" s="223"/>
      <c r="BC13" s="223"/>
      <c r="BD13" s="223"/>
      <c r="BE13" s="223"/>
      <c r="BF13" s="223"/>
      <c r="BG13" s="223"/>
      <c r="BH13" s="223"/>
      <c r="BI13" s="223"/>
      <c r="BJ13" s="223"/>
      <c r="BK13" s="223"/>
      <c r="BL13" s="223"/>
      <c r="BM13" s="223"/>
      <c r="BN13" s="223"/>
      <c r="BO13" s="223"/>
      <c r="BP13" s="223"/>
      <c r="BQ13" s="223"/>
      <c r="BR13" s="223"/>
      <c r="BS13" s="223"/>
      <c r="BT13" s="223"/>
      <c r="BU13" s="223"/>
      <c r="BV13" s="223"/>
      <c r="BW13" s="223"/>
      <c r="BX13" s="223"/>
      <c r="BY13" s="223"/>
      <c r="BZ13" s="223"/>
      <c r="CA13" s="223"/>
      <c r="CB13" s="223"/>
      <c r="CC13" s="223"/>
      <c r="CD13" s="223"/>
      <c r="CE13" s="223"/>
      <c r="CF13" s="223"/>
      <c r="CG13" s="223"/>
      <c r="CH13" s="223"/>
      <c r="CI13" s="223"/>
      <c r="CJ13" s="223"/>
      <c r="CK13" s="223"/>
      <c r="CL13" s="223"/>
      <c r="CM13" s="223"/>
      <c r="CN13" s="223"/>
      <c r="CO13" s="223"/>
      <c r="CP13" s="223"/>
      <c r="CQ13" s="223"/>
      <c r="CR13" s="223"/>
      <c r="CS13" s="223"/>
      <c r="CT13" s="223"/>
      <c r="CU13" s="223"/>
      <c r="CV13" s="223"/>
      <c r="CW13" s="223"/>
      <c r="CX13" s="223"/>
      <c r="CY13" s="223"/>
      <c r="CZ13" s="223"/>
      <c r="DA13" s="223"/>
      <c r="DB13" s="223"/>
      <c r="DC13" s="223"/>
      <c r="DD13" s="223"/>
      <c r="DE13" s="223"/>
      <c r="DF13" s="223"/>
      <c r="DG13" s="223"/>
      <c r="DH13" s="223"/>
      <c r="DI13" s="223"/>
      <c r="DJ13" s="223"/>
      <c r="DK13" s="223"/>
      <c r="DL13" s="223"/>
      <c r="DM13" s="223"/>
      <c r="DN13" s="223"/>
      <c r="DO13" s="223"/>
      <c r="DP13" s="223"/>
      <c r="DQ13" s="223"/>
      <c r="DR13" s="223"/>
      <c r="DS13" s="223"/>
      <c r="DT13" s="223"/>
      <c r="DU13" s="223"/>
      <c r="DV13" s="223"/>
      <c r="DW13" s="223"/>
      <c r="DX13" s="223"/>
      <c r="DY13" s="223"/>
      <c r="DZ13" s="223"/>
      <c r="EA13" s="223"/>
      <c r="EB13" s="223"/>
      <c r="EC13" s="223"/>
      <c r="ED13" s="223"/>
      <c r="EE13" s="223"/>
      <c r="EF13" s="223"/>
      <c r="EG13" s="223"/>
      <c r="EH13" s="223"/>
      <c r="EI13" s="223"/>
      <c r="EJ13" s="223"/>
      <c r="EK13" s="223"/>
      <c r="EL13" s="223"/>
      <c r="EM13" s="223"/>
      <c r="EN13" s="223"/>
    </row>
    <row r="14" spans="1:147" ht="15" customHeight="1">
      <c r="A14" s="1052" t="s">
        <v>2040</v>
      </c>
      <c r="B14" s="1057"/>
      <c r="C14" s="233">
        <f t="shared" ref="C14:EQ14" si="4">IFERROR(IF(OR(MONTH(C4)=12,MONTH(C4)=1,MONTH(C4)=2),1.2,IF(OR(MONTH(C4)=6,MONTH(C4)=7,MONTH(C4)=8),0.8,1)),"")</f>
        <v>1.2</v>
      </c>
      <c r="D14" s="233">
        <f t="shared" si="4"/>
        <v>1</v>
      </c>
      <c r="E14" s="233">
        <f t="shared" si="4"/>
        <v>1</v>
      </c>
      <c r="F14" s="233">
        <f t="shared" si="4"/>
        <v>1</v>
      </c>
      <c r="G14" s="233">
        <f t="shared" si="4"/>
        <v>0.8</v>
      </c>
      <c r="H14" s="233">
        <f t="shared" si="4"/>
        <v>0.8</v>
      </c>
      <c r="I14" s="233">
        <f t="shared" si="4"/>
        <v>0.8</v>
      </c>
      <c r="J14" s="233">
        <f t="shared" si="4"/>
        <v>1</v>
      </c>
      <c r="K14" s="233">
        <f t="shared" si="4"/>
        <v>1</v>
      </c>
      <c r="L14" s="233">
        <f t="shared" si="4"/>
        <v>1</v>
      </c>
      <c r="M14" s="233">
        <f t="shared" si="4"/>
        <v>1.2</v>
      </c>
      <c r="N14" s="233">
        <f t="shared" si="4"/>
        <v>1.2</v>
      </c>
      <c r="O14" s="233">
        <f t="shared" si="4"/>
        <v>1.2</v>
      </c>
      <c r="P14" s="233">
        <f t="shared" si="4"/>
        <v>1</v>
      </c>
      <c r="Q14" s="233">
        <f t="shared" si="4"/>
        <v>1</v>
      </c>
      <c r="R14" s="233">
        <f t="shared" si="4"/>
        <v>1</v>
      </c>
      <c r="S14" s="233">
        <f t="shared" si="4"/>
        <v>0.8</v>
      </c>
      <c r="T14" s="233">
        <f t="shared" si="4"/>
        <v>0.8</v>
      </c>
      <c r="U14" s="233">
        <f t="shared" si="4"/>
        <v>0.8</v>
      </c>
      <c r="V14" s="233">
        <f t="shared" si="4"/>
        <v>1</v>
      </c>
      <c r="W14" s="233">
        <f t="shared" si="4"/>
        <v>1</v>
      </c>
      <c r="X14" s="233">
        <f t="shared" si="4"/>
        <v>1</v>
      </c>
      <c r="Y14" s="233">
        <f t="shared" si="4"/>
        <v>1.2</v>
      </c>
      <c r="Z14" s="233">
        <f t="shared" si="4"/>
        <v>1.2</v>
      </c>
      <c r="AA14" s="233">
        <f t="shared" si="4"/>
        <v>1.2</v>
      </c>
      <c r="AB14" s="233">
        <f t="shared" si="4"/>
        <v>1</v>
      </c>
      <c r="AC14" s="233">
        <f t="shared" si="4"/>
        <v>1</v>
      </c>
      <c r="AD14" s="233">
        <f t="shared" si="4"/>
        <v>1</v>
      </c>
      <c r="AE14" s="233">
        <f t="shared" si="4"/>
        <v>0.8</v>
      </c>
      <c r="AF14" s="233">
        <f t="shared" si="4"/>
        <v>0.8</v>
      </c>
      <c r="AG14" s="233">
        <f t="shared" si="4"/>
        <v>0.8</v>
      </c>
      <c r="AH14" s="233">
        <f t="shared" si="4"/>
        <v>1</v>
      </c>
      <c r="AI14" s="233">
        <f t="shared" si="4"/>
        <v>1</v>
      </c>
      <c r="AJ14" s="233">
        <f t="shared" si="4"/>
        <v>1</v>
      </c>
      <c r="AK14" s="233">
        <f t="shared" si="4"/>
        <v>1.2</v>
      </c>
      <c r="AL14" s="233">
        <f t="shared" si="4"/>
        <v>1.2</v>
      </c>
      <c r="AM14" s="233">
        <f t="shared" si="4"/>
        <v>1.2</v>
      </c>
      <c r="AN14" s="233">
        <f t="shared" si="4"/>
        <v>1</v>
      </c>
      <c r="AO14" s="233">
        <f t="shared" si="4"/>
        <v>1</v>
      </c>
      <c r="AP14" s="233">
        <f t="shared" si="4"/>
        <v>1</v>
      </c>
      <c r="AQ14" s="233">
        <f t="shared" si="4"/>
        <v>0.8</v>
      </c>
      <c r="AR14" s="233">
        <f t="shared" si="4"/>
        <v>0.8</v>
      </c>
      <c r="AS14" s="233">
        <f t="shared" si="4"/>
        <v>0.8</v>
      </c>
      <c r="AT14" s="233">
        <f t="shared" si="4"/>
        <v>1</v>
      </c>
      <c r="AU14" s="233">
        <f t="shared" si="4"/>
        <v>1</v>
      </c>
      <c r="AV14" s="233">
        <f t="shared" si="4"/>
        <v>1</v>
      </c>
      <c r="AW14" s="233">
        <f t="shared" si="4"/>
        <v>1.2</v>
      </c>
      <c r="AX14" s="233">
        <f t="shared" si="4"/>
        <v>1.2</v>
      </c>
      <c r="AY14" s="233">
        <f t="shared" si="4"/>
        <v>1.2</v>
      </c>
      <c r="AZ14" s="233">
        <f t="shared" si="4"/>
        <v>1</v>
      </c>
      <c r="BA14" s="233">
        <f t="shared" si="4"/>
        <v>1</v>
      </c>
      <c r="BB14" s="233">
        <f t="shared" si="4"/>
        <v>1</v>
      </c>
      <c r="BC14" s="233">
        <f t="shared" si="4"/>
        <v>0.8</v>
      </c>
      <c r="BD14" s="233">
        <f t="shared" si="4"/>
        <v>0.8</v>
      </c>
      <c r="BE14" s="233">
        <f t="shared" si="4"/>
        <v>0.8</v>
      </c>
      <c r="BF14" s="233">
        <f t="shared" si="4"/>
        <v>1</v>
      </c>
      <c r="BG14" s="233">
        <f t="shared" si="4"/>
        <v>1</v>
      </c>
      <c r="BH14" s="233">
        <f t="shared" si="4"/>
        <v>1</v>
      </c>
      <c r="BI14" s="233">
        <f t="shared" si="4"/>
        <v>1.2</v>
      </c>
      <c r="BJ14" s="233">
        <f t="shared" si="4"/>
        <v>1.2</v>
      </c>
      <c r="BK14" s="233">
        <f t="shared" si="4"/>
        <v>1.2</v>
      </c>
      <c r="BL14" s="233">
        <f t="shared" si="4"/>
        <v>1</v>
      </c>
      <c r="BM14" s="233">
        <f t="shared" si="4"/>
        <v>1</v>
      </c>
      <c r="BN14" s="233">
        <f t="shared" si="4"/>
        <v>1</v>
      </c>
      <c r="BO14" s="233">
        <f t="shared" si="4"/>
        <v>0.8</v>
      </c>
      <c r="BP14" s="233">
        <f t="shared" si="4"/>
        <v>0.8</v>
      </c>
      <c r="BQ14" s="233">
        <f t="shared" si="4"/>
        <v>0.8</v>
      </c>
      <c r="BR14" s="233">
        <f t="shared" si="4"/>
        <v>1</v>
      </c>
      <c r="BS14" s="233">
        <f t="shared" si="4"/>
        <v>1</v>
      </c>
      <c r="BT14" s="233">
        <f t="shared" si="4"/>
        <v>1</v>
      </c>
      <c r="BU14" s="233">
        <f t="shared" si="4"/>
        <v>1.2</v>
      </c>
      <c r="BV14" s="233">
        <f t="shared" si="4"/>
        <v>1.2</v>
      </c>
      <c r="BW14" s="233">
        <f t="shared" si="4"/>
        <v>1.2</v>
      </c>
      <c r="BX14" s="233">
        <f t="shared" si="4"/>
        <v>1</v>
      </c>
      <c r="BY14" s="233">
        <f t="shared" si="4"/>
        <v>1</v>
      </c>
      <c r="BZ14" s="233">
        <f t="shared" si="4"/>
        <v>1</v>
      </c>
      <c r="CA14" s="233">
        <f t="shared" si="4"/>
        <v>0.8</v>
      </c>
      <c r="CB14" s="233">
        <f t="shared" si="4"/>
        <v>0.8</v>
      </c>
      <c r="CC14" s="233">
        <f t="shared" si="4"/>
        <v>0.8</v>
      </c>
      <c r="CD14" s="233">
        <f t="shared" si="4"/>
        <v>1</v>
      </c>
      <c r="CE14" s="233">
        <f t="shared" si="4"/>
        <v>1</v>
      </c>
      <c r="CF14" s="233">
        <f t="shared" si="4"/>
        <v>1</v>
      </c>
      <c r="CG14" s="233">
        <f t="shared" si="4"/>
        <v>1.2</v>
      </c>
      <c r="CH14" s="233">
        <f t="shared" si="4"/>
        <v>1.2</v>
      </c>
      <c r="CI14" s="233">
        <f t="shared" si="4"/>
        <v>1.2</v>
      </c>
      <c r="CJ14" s="233">
        <f t="shared" si="4"/>
        <v>1</v>
      </c>
      <c r="CK14" s="233">
        <f t="shared" si="4"/>
        <v>1</v>
      </c>
      <c r="CL14" s="233">
        <f t="shared" si="4"/>
        <v>1</v>
      </c>
      <c r="CM14" s="233">
        <f t="shared" si="4"/>
        <v>0.8</v>
      </c>
      <c r="CN14" s="233">
        <f t="shared" si="4"/>
        <v>0.8</v>
      </c>
      <c r="CO14" s="233">
        <f t="shared" si="4"/>
        <v>0.8</v>
      </c>
      <c r="CP14" s="233">
        <f t="shared" si="4"/>
        <v>1</v>
      </c>
      <c r="CQ14" s="233">
        <f t="shared" si="4"/>
        <v>1</v>
      </c>
      <c r="CR14" s="233">
        <f t="shared" si="4"/>
        <v>1</v>
      </c>
      <c r="CS14" s="233">
        <f t="shared" si="4"/>
        <v>1.2</v>
      </c>
      <c r="CT14" s="233">
        <f t="shared" si="4"/>
        <v>1.2</v>
      </c>
      <c r="CU14" s="233">
        <f t="shared" si="4"/>
        <v>1.2</v>
      </c>
      <c r="CV14" s="233">
        <f t="shared" si="4"/>
        <v>1</v>
      </c>
      <c r="CW14" s="233">
        <f t="shared" si="4"/>
        <v>1</v>
      </c>
      <c r="CX14" s="233">
        <f t="shared" si="4"/>
        <v>1</v>
      </c>
      <c r="CY14" s="233">
        <f t="shared" si="4"/>
        <v>0.8</v>
      </c>
      <c r="CZ14" s="233">
        <f t="shared" si="4"/>
        <v>0.8</v>
      </c>
      <c r="DA14" s="233">
        <f t="shared" si="4"/>
        <v>0.8</v>
      </c>
      <c r="DB14" s="233">
        <f t="shared" si="4"/>
        <v>1</v>
      </c>
      <c r="DC14" s="233">
        <f t="shared" si="4"/>
        <v>1</v>
      </c>
      <c r="DD14" s="233">
        <f t="shared" si="4"/>
        <v>1</v>
      </c>
      <c r="DE14" s="233">
        <f t="shared" si="4"/>
        <v>1.2</v>
      </c>
      <c r="DF14" s="233">
        <f t="shared" si="4"/>
        <v>1.2</v>
      </c>
      <c r="DG14" s="233">
        <f t="shared" si="4"/>
        <v>1.2</v>
      </c>
      <c r="DH14" s="233">
        <f t="shared" si="4"/>
        <v>1</v>
      </c>
      <c r="DI14" s="233">
        <f t="shared" si="4"/>
        <v>1</v>
      </c>
      <c r="DJ14" s="233">
        <f t="shared" si="4"/>
        <v>1</v>
      </c>
      <c r="DK14" s="233">
        <f t="shared" si="4"/>
        <v>0.8</v>
      </c>
      <c r="DL14" s="233">
        <f t="shared" si="4"/>
        <v>0.8</v>
      </c>
      <c r="DM14" s="233">
        <f t="shared" si="4"/>
        <v>0.8</v>
      </c>
      <c r="DN14" s="233">
        <f t="shared" si="4"/>
        <v>1</v>
      </c>
      <c r="DO14" s="233">
        <f t="shared" si="4"/>
        <v>1</v>
      </c>
      <c r="DP14" s="233">
        <f t="shared" si="4"/>
        <v>1</v>
      </c>
      <c r="DQ14" s="233">
        <f t="shared" si="4"/>
        <v>1.2</v>
      </c>
      <c r="DR14" s="233">
        <f t="shared" si="4"/>
        <v>1.2</v>
      </c>
      <c r="DS14" s="233">
        <f t="shared" si="4"/>
        <v>1.2</v>
      </c>
      <c r="DT14" s="233">
        <f t="shared" si="4"/>
        <v>1</v>
      </c>
      <c r="DU14" s="233">
        <f t="shared" si="4"/>
        <v>1</v>
      </c>
      <c r="DV14" s="233">
        <f t="shared" si="4"/>
        <v>1</v>
      </c>
      <c r="DW14" s="233">
        <f t="shared" si="4"/>
        <v>0.8</v>
      </c>
      <c r="DX14" s="233">
        <f t="shared" si="4"/>
        <v>0.8</v>
      </c>
      <c r="DY14" s="233">
        <f t="shared" si="4"/>
        <v>0.8</v>
      </c>
      <c r="DZ14" s="233">
        <f t="shared" si="4"/>
        <v>1</v>
      </c>
      <c r="EA14" s="233">
        <f t="shared" si="4"/>
        <v>1</v>
      </c>
      <c r="EB14" s="233">
        <f t="shared" si="4"/>
        <v>1</v>
      </c>
      <c r="EC14" s="233">
        <f t="shared" si="4"/>
        <v>1.2</v>
      </c>
      <c r="ED14" s="233">
        <f t="shared" si="4"/>
        <v>1.2</v>
      </c>
      <c r="EE14" s="233">
        <f t="shared" si="4"/>
        <v>1.2</v>
      </c>
      <c r="EF14" s="233">
        <f t="shared" si="4"/>
        <v>1</v>
      </c>
      <c r="EG14" s="233">
        <f t="shared" si="4"/>
        <v>1</v>
      </c>
      <c r="EH14" s="233">
        <f t="shared" si="4"/>
        <v>1</v>
      </c>
      <c r="EI14" s="233">
        <f t="shared" si="4"/>
        <v>0.8</v>
      </c>
      <c r="EJ14" s="233">
        <f t="shared" si="4"/>
        <v>0.8</v>
      </c>
      <c r="EK14" s="233">
        <f t="shared" si="4"/>
        <v>0.8</v>
      </c>
      <c r="EL14" s="233">
        <f t="shared" si="4"/>
        <v>1</v>
      </c>
      <c r="EM14" s="233">
        <f t="shared" si="4"/>
        <v>1</v>
      </c>
      <c r="EN14" s="233">
        <f t="shared" si="4"/>
        <v>1</v>
      </c>
      <c r="EO14" s="233">
        <f t="shared" si="4"/>
        <v>1.2</v>
      </c>
      <c r="EP14" s="233">
        <f t="shared" si="4"/>
        <v>1.2</v>
      </c>
      <c r="EQ14" s="233">
        <f t="shared" si="4"/>
        <v>1.2</v>
      </c>
    </row>
    <row r="15" spans="1:147" ht="15" customHeight="1">
      <c r="A15" s="1052" t="s">
        <v>2041</v>
      </c>
      <c r="B15" s="1057"/>
      <c r="C15" s="1058">
        <f>IFERROR(--(AND(C4&gt;=Inputs!$E$26,C4&lt;Inputs!$E$37)),"")</f>
        <v>0</v>
      </c>
      <c r="D15" s="1058">
        <f>IFERROR(--(AND(D4&gt;=Inputs!$E$26,D4&lt;Inputs!$E$37)),"")</f>
        <v>0</v>
      </c>
      <c r="E15" s="1058">
        <f>IFERROR(--(AND(E4&gt;=Inputs!$E$26,E4&lt;Inputs!$E$37)),"")</f>
        <v>0</v>
      </c>
      <c r="F15" s="1058">
        <f>IFERROR(--(AND(F4&gt;=Inputs!$E$26,F4&lt;Inputs!$E$37)),"")</f>
        <v>0</v>
      </c>
      <c r="G15" s="1058">
        <f>IFERROR(--(AND(G4&gt;=Inputs!$E$26,G4&lt;Inputs!$E$37)),"")</f>
        <v>0</v>
      </c>
      <c r="H15" s="1058">
        <f>IFERROR(--(AND(H4&gt;=Inputs!$E$26,H4&lt;Inputs!$E$37)),"")</f>
        <v>0</v>
      </c>
      <c r="I15" s="1058">
        <f>IFERROR(--(AND(I4&gt;=Inputs!$E$26,I4&lt;Inputs!$E$37)),"")</f>
        <v>0</v>
      </c>
      <c r="J15" s="1058">
        <f>IFERROR(--(AND(J4&gt;=Inputs!$E$26,J4&lt;Inputs!$E$37)),"")</f>
        <v>0</v>
      </c>
      <c r="K15" s="1058">
        <f>IFERROR(--(AND(K4&gt;=Inputs!$E$26,K4&lt;Inputs!$E$37)),"")</f>
        <v>0</v>
      </c>
      <c r="L15" s="1058">
        <f>IFERROR(--(AND(L4&gt;=Inputs!$E$26,L4&lt;Inputs!$E$37)),"")</f>
        <v>0</v>
      </c>
      <c r="M15" s="1058">
        <f>IFERROR(--(AND(M4&gt;=Inputs!$E$26,M4&lt;Inputs!$E$37)),"")</f>
        <v>0</v>
      </c>
      <c r="N15" s="1058">
        <f>IFERROR(--(AND(N4&gt;=Inputs!$E$26,N4&lt;Inputs!$E$37)),"")</f>
        <v>0</v>
      </c>
      <c r="O15" s="1058">
        <f>IFERROR(--(AND(O4&gt;=Inputs!$E$26,O4&lt;Inputs!$E$37)),"")</f>
        <v>1</v>
      </c>
      <c r="P15" s="1058">
        <f>IFERROR(--(AND(P4&gt;=Inputs!$E$26,P4&lt;Inputs!$E$37)),"")</f>
        <v>1</v>
      </c>
      <c r="Q15" s="1058">
        <f>IFERROR(--(AND(Q4&gt;=Inputs!$E$26,Q4&lt;Inputs!$E$37)),"")</f>
        <v>1</v>
      </c>
      <c r="R15" s="1058">
        <f>IFERROR(--(AND(R4&gt;=Inputs!$E$26,R4&lt;Inputs!$E$37)),"")</f>
        <v>1</v>
      </c>
      <c r="S15" s="1058">
        <f>IFERROR(--(AND(S4&gt;=Inputs!$E$26,S4&lt;Inputs!$E$37)),"")</f>
        <v>1</v>
      </c>
      <c r="T15" s="1058">
        <f>IFERROR(--(AND(T4&gt;=Inputs!$E$26,T4&lt;Inputs!$E$37)),"")</f>
        <v>1</v>
      </c>
      <c r="U15" s="1058">
        <f>IFERROR(--(AND(U4&gt;=Inputs!$E$26,U4&lt;Inputs!$E$37)),"")</f>
        <v>1</v>
      </c>
      <c r="V15" s="1058">
        <f>IFERROR(--(AND(V4&gt;=Inputs!$E$26,V4&lt;Inputs!$E$37)),"")</f>
        <v>1</v>
      </c>
      <c r="W15" s="1058">
        <f>IFERROR(--(AND(W4&gt;=Inputs!$E$26,W4&lt;Inputs!$E$37)),"")</f>
        <v>1</v>
      </c>
      <c r="X15" s="1058">
        <f>IFERROR(--(AND(X4&gt;=Inputs!$E$26,X4&lt;Inputs!$E$37)),"")</f>
        <v>1</v>
      </c>
      <c r="Y15" s="1058">
        <f>IFERROR(--(AND(Y4&gt;=Inputs!$E$26,Y4&lt;Inputs!$E$37)),"")</f>
        <v>1</v>
      </c>
      <c r="Z15" s="1058">
        <f>IFERROR(--(AND(Z4&gt;=Inputs!$E$26,Z4&lt;Inputs!$E$37)),"")</f>
        <v>1</v>
      </c>
      <c r="AA15" s="1058">
        <f>IFERROR(--(AND(AA4&gt;=Inputs!$E$26,AA4&lt;Inputs!$E$37)),"")</f>
        <v>1</v>
      </c>
      <c r="AB15" s="1058">
        <f>IFERROR(--(AND(AB4&gt;=Inputs!$E$26,AB4&lt;Inputs!$E$37)),"")</f>
        <v>1</v>
      </c>
      <c r="AC15" s="1058">
        <f>IFERROR(--(AND(AC4&gt;=Inputs!$E$26,AC4&lt;Inputs!$E$37)),"")</f>
        <v>1</v>
      </c>
      <c r="AD15" s="1058">
        <f>IFERROR(--(AND(AD4&gt;=Inputs!$E$26,AD4&lt;Inputs!$E$37)),"")</f>
        <v>1</v>
      </c>
      <c r="AE15" s="1058">
        <f>IFERROR(--(AND(AE4&gt;=Inputs!$E$26,AE4&lt;Inputs!$E$37)),"")</f>
        <v>1</v>
      </c>
      <c r="AF15" s="1058">
        <f>IFERROR(--(AND(AF4&gt;=Inputs!$E$26,AF4&lt;Inputs!$E$37)),"")</f>
        <v>1</v>
      </c>
      <c r="AG15" s="1058">
        <f>IFERROR(--(AND(AG4&gt;=Inputs!$E$26,AG4&lt;Inputs!$E$37)),"")</f>
        <v>0</v>
      </c>
      <c r="AH15" s="1058">
        <f>IFERROR(--(AND(AH4&gt;=Inputs!$E$26,AH4&lt;Inputs!$E$37)),"")</f>
        <v>0</v>
      </c>
      <c r="AI15" s="1058">
        <f>IFERROR(--(AND(AI4&gt;=Inputs!$E$26,AI4&lt;Inputs!$E$37)),"")</f>
        <v>0</v>
      </c>
      <c r="AJ15" s="1058">
        <f>IFERROR(--(AND(AJ4&gt;=Inputs!$E$26,AJ4&lt;Inputs!$E$37)),"")</f>
        <v>0</v>
      </c>
      <c r="AK15" s="1058">
        <f>IFERROR(--(AND(AK4&gt;=Inputs!$E$26,AK4&lt;Inputs!$E$37)),"")</f>
        <v>0</v>
      </c>
      <c r="AL15" s="1058">
        <f>IFERROR(--(AND(AL4&gt;=Inputs!$E$26,AL4&lt;Inputs!$E$37)),"")</f>
        <v>0</v>
      </c>
      <c r="AM15" s="1058">
        <f>IFERROR(--(AND(AM4&gt;=Inputs!$E$26,AM4&lt;Inputs!$E$37)),"")</f>
        <v>0</v>
      </c>
      <c r="AN15" s="1058">
        <f>IFERROR(--(AND(AN4&gt;=Inputs!$E$26,AN4&lt;Inputs!$E$37)),"")</f>
        <v>0</v>
      </c>
      <c r="AO15" s="1058">
        <f>IFERROR(--(AND(AO4&gt;=Inputs!$E$26,AO4&lt;Inputs!$E$37)),"")</f>
        <v>0</v>
      </c>
      <c r="AP15" s="1058">
        <f>IFERROR(--(AND(AP4&gt;=Inputs!$E$26,AP4&lt;Inputs!$E$37)),"")</f>
        <v>0</v>
      </c>
      <c r="AQ15" s="1058">
        <f>IFERROR(--(AND(AQ4&gt;=Inputs!$E$26,AQ4&lt;Inputs!$E$37)),"")</f>
        <v>0</v>
      </c>
      <c r="AR15" s="1058">
        <f>IFERROR(--(AND(AR4&gt;=Inputs!$E$26,AR4&lt;Inputs!$E$37)),"")</f>
        <v>0</v>
      </c>
      <c r="AS15" s="1058">
        <f>IFERROR(--(AND(AS4&gt;=Inputs!$E$26,AS4&lt;Inputs!$E$37)),"")</f>
        <v>0</v>
      </c>
      <c r="AT15" s="1058">
        <f>IFERROR(--(AND(AT4&gt;=Inputs!$E$26,AT4&lt;Inputs!$E$37)),"")</f>
        <v>0</v>
      </c>
      <c r="AU15" s="1058">
        <f>IFERROR(--(AND(AU4&gt;=Inputs!$E$26,AU4&lt;Inputs!$E$37)),"")</f>
        <v>0</v>
      </c>
      <c r="AV15" s="1058">
        <f>IFERROR(--(AND(AV4&gt;=Inputs!$E$26,AV4&lt;Inputs!$E$37)),"")</f>
        <v>0</v>
      </c>
      <c r="AW15" s="1058">
        <f>IFERROR(--(AND(AW4&gt;=Inputs!$E$26,AW4&lt;Inputs!$E$37)),"")</f>
        <v>0</v>
      </c>
      <c r="AX15" s="1058">
        <f>IFERROR(--(AND(AX4&gt;=Inputs!$E$26,AX4&lt;Inputs!$E$37)),"")</f>
        <v>0</v>
      </c>
      <c r="AY15" s="1058">
        <f>IFERROR(--(AND(AY4&gt;=Inputs!$E$26,AY4&lt;Inputs!$E$37)),"")</f>
        <v>0</v>
      </c>
      <c r="AZ15" s="1058">
        <f>IFERROR(--(AND(AZ4&gt;=Inputs!$E$26,AZ4&lt;Inputs!$E$37)),"")</f>
        <v>0</v>
      </c>
      <c r="BA15" s="1058">
        <f>IFERROR(--(AND(BA4&gt;=Inputs!$E$26,BA4&lt;Inputs!$E$37)),"")</f>
        <v>0</v>
      </c>
      <c r="BB15" s="1058">
        <f>IFERROR(--(AND(BB4&gt;=Inputs!$E$26,BB4&lt;Inputs!$E$37)),"")</f>
        <v>0</v>
      </c>
      <c r="BC15" s="1058">
        <f>IFERROR(--(AND(BC4&gt;=Inputs!$E$26,BC4&lt;Inputs!$E$37)),"")</f>
        <v>0</v>
      </c>
      <c r="BD15" s="1058">
        <f>IFERROR(--(AND(BD4&gt;=Inputs!$E$26,BD4&lt;Inputs!$E$37)),"")</f>
        <v>0</v>
      </c>
      <c r="BE15" s="1058">
        <f>IFERROR(--(AND(BE4&gt;=Inputs!$E$26,BE4&lt;Inputs!$E$37)),"")</f>
        <v>0</v>
      </c>
      <c r="BF15" s="1058">
        <f>IFERROR(--(AND(BF4&gt;=Inputs!$E$26,BF4&lt;Inputs!$E$37)),"")</f>
        <v>0</v>
      </c>
      <c r="BG15" s="1058">
        <f>IFERROR(--(AND(BG4&gt;=Inputs!$E$26,BG4&lt;Inputs!$E$37)),"")</f>
        <v>0</v>
      </c>
      <c r="BH15" s="1058">
        <f>IFERROR(--(AND(BH4&gt;=Inputs!$E$26,BH4&lt;Inputs!$E$37)),"")</f>
        <v>0</v>
      </c>
      <c r="BI15" s="1058">
        <f>IFERROR(--(AND(BI4&gt;=Inputs!$E$26,BI4&lt;Inputs!$E$37)),"")</f>
        <v>0</v>
      </c>
      <c r="BJ15" s="1058">
        <f>IFERROR(--(AND(BJ4&gt;=Inputs!$E$26,BJ4&lt;Inputs!$E$37)),"")</f>
        <v>0</v>
      </c>
      <c r="BK15" s="1058">
        <f>IFERROR(--(AND(BK4&gt;=Inputs!$E$26,BK4&lt;Inputs!$E$37)),"")</f>
        <v>0</v>
      </c>
      <c r="BL15" s="1058">
        <f>IFERROR(--(AND(BL4&gt;=Inputs!$E$26,BL4&lt;Inputs!$E$37)),"")</f>
        <v>0</v>
      </c>
      <c r="BM15" s="1058">
        <f>IFERROR(--(AND(BM4&gt;=Inputs!$E$26,BM4&lt;Inputs!$E$37)),"")</f>
        <v>0</v>
      </c>
      <c r="BN15" s="1058">
        <f>IFERROR(--(AND(BN4&gt;=Inputs!$E$26,BN4&lt;Inputs!$E$37)),"")</f>
        <v>0</v>
      </c>
      <c r="BO15" s="1058">
        <f>IFERROR(--(AND(BO4&gt;=Inputs!$E$26,BO4&lt;Inputs!$E$37)),"")</f>
        <v>0</v>
      </c>
      <c r="BP15" s="1058">
        <f>IFERROR(--(AND(BP4&gt;=Inputs!$E$26,BP4&lt;Inputs!$E$37)),"")</f>
        <v>0</v>
      </c>
      <c r="BQ15" s="1058">
        <f>IFERROR(--(AND(BQ4&gt;=Inputs!$E$26,BQ4&lt;Inputs!$E$37)),"")</f>
        <v>0</v>
      </c>
      <c r="BR15" s="1058">
        <f>IFERROR(--(AND(BR4&gt;=Inputs!$E$26,BR4&lt;Inputs!$E$37)),"")</f>
        <v>0</v>
      </c>
      <c r="BS15" s="1058">
        <f>IFERROR(--(AND(BS4&gt;=Inputs!$E$26,BS4&lt;Inputs!$E$37)),"")</f>
        <v>0</v>
      </c>
      <c r="BT15" s="1058">
        <f>IFERROR(--(AND(BT4&gt;=Inputs!$E$26,BT4&lt;Inputs!$E$37)),"")</f>
        <v>0</v>
      </c>
      <c r="BU15" s="1058">
        <f>IFERROR(--(AND(BU4&gt;=Inputs!$E$26,BU4&lt;Inputs!$E$37)),"")</f>
        <v>0</v>
      </c>
      <c r="BV15" s="1058">
        <f>IFERROR(--(AND(BV4&gt;=Inputs!$E$26,BV4&lt;Inputs!$E$37)),"")</f>
        <v>0</v>
      </c>
      <c r="BW15" s="1058">
        <f>IFERROR(--(AND(BW4&gt;=Inputs!$E$26,BW4&lt;Inputs!$E$37)),"")</f>
        <v>0</v>
      </c>
      <c r="BX15" s="1058">
        <f>IFERROR(--(AND(BX4&gt;=Inputs!$E$26,BX4&lt;Inputs!$E$37)),"")</f>
        <v>0</v>
      </c>
      <c r="BY15" s="1058">
        <f>IFERROR(--(AND(BY4&gt;=Inputs!$E$26,BY4&lt;Inputs!$E$37)),"")</f>
        <v>0</v>
      </c>
      <c r="BZ15" s="1058">
        <f>IFERROR(--(AND(BZ4&gt;=Inputs!$E$26,BZ4&lt;Inputs!$E$37)),"")</f>
        <v>0</v>
      </c>
      <c r="CA15" s="1058">
        <f>IFERROR(--(AND(CA4&gt;=Inputs!$E$26,CA4&lt;Inputs!$E$37)),"")</f>
        <v>0</v>
      </c>
      <c r="CB15" s="1058">
        <f>IFERROR(--(AND(CB4&gt;=Inputs!$E$26,CB4&lt;Inputs!$E$37)),"")</f>
        <v>0</v>
      </c>
      <c r="CC15" s="1058">
        <f>IFERROR(--(AND(CC4&gt;=Inputs!$E$26,CC4&lt;Inputs!$E$37)),"")</f>
        <v>0</v>
      </c>
      <c r="CD15" s="1058">
        <f>IFERROR(--(AND(CD4&gt;=Inputs!$E$26,CD4&lt;Inputs!$E$37)),"")</f>
        <v>0</v>
      </c>
      <c r="CE15" s="1058">
        <f>IFERROR(--(AND(CE4&gt;=Inputs!$E$26,CE4&lt;Inputs!$E$37)),"")</f>
        <v>0</v>
      </c>
      <c r="CF15" s="1058">
        <f>IFERROR(--(AND(CF4&gt;=Inputs!$E$26,CF4&lt;Inputs!$E$37)),"")</f>
        <v>0</v>
      </c>
      <c r="CG15" s="1058">
        <f>IFERROR(--(AND(CG4&gt;=Inputs!$E$26,CG4&lt;Inputs!$E$37)),"")</f>
        <v>0</v>
      </c>
      <c r="CH15" s="1058">
        <f>IFERROR(--(AND(CH4&gt;=Inputs!$E$26,CH4&lt;Inputs!$E$37)),"")</f>
        <v>0</v>
      </c>
      <c r="CI15" s="1058">
        <f>IFERROR(--(AND(CI4&gt;=Inputs!$E$26,CI4&lt;Inputs!$E$37)),"")</f>
        <v>0</v>
      </c>
      <c r="CJ15" s="1058">
        <f>IFERROR(--(AND(CJ4&gt;=Inputs!$E$26,CJ4&lt;Inputs!$E$37)),"")</f>
        <v>0</v>
      </c>
      <c r="CK15" s="1058">
        <f>IFERROR(--(AND(CK4&gt;=Inputs!$E$26,CK4&lt;Inputs!$E$37)),"")</f>
        <v>0</v>
      </c>
      <c r="CL15" s="1058">
        <f>IFERROR(--(AND(CL4&gt;=Inputs!$E$26,CL4&lt;Inputs!$E$37)),"")</f>
        <v>0</v>
      </c>
      <c r="CM15" s="1058">
        <f>IFERROR(--(AND(CM4&gt;=Inputs!$E$26,CM4&lt;Inputs!$E$37)),"")</f>
        <v>0</v>
      </c>
      <c r="CN15" s="1058">
        <f>IFERROR(--(AND(CN4&gt;=Inputs!$E$26,CN4&lt;Inputs!$E$37)),"")</f>
        <v>0</v>
      </c>
      <c r="CO15" s="1058">
        <f>IFERROR(--(AND(CO4&gt;=Inputs!$E$26,CO4&lt;Inputs!$E$37)),"")</f>
        <v>0</v>
      </c>
      <c r="CP15" s="1058">
        <f>IFERROR(--(AND(CP4&gt;=Inputs!$E$26,CP4&lt;Inputs!$E$37)),"")</f>
        <v>0</v>
      </c>
      <c r="CQ15" s="1058">
        <f>IFERROR(--(AND(CQ4&gt;=Inputs!$E$26,CQ4&lt;Inputs!$E$37)),"")</f>
        <v>0</v>
      </c>
      <c r="CR15" s="1058">
        <f>IFERROR(--(AND(CR4&gt;=Inputs!$E$26,CR4&lt;Inputs!$E$37)),"")</f>
        <v>0</v>
      </c>
      <c r="CS15" s="1058">
        <f>IFERROR(--(AND(CS4&gt;=Inputs!$E$26,CS4&lt;Inputs!$E$37)),"")</f>
        <v>0</v>
      </c>
      <c r="CT15" s="1058">
        <f>IFERROR(--(AND(CT4&gt;=Inputs!$E$26,CT4&lt;Inputs!$E$37)),"")</f>
        <v>0</v>
      </c>
      <c r="CU15" s="1058">
        <f>IFERROR(--(AND(CU4&gt;=Inputs!$E$26,CU4&lt;Inputs!$E$37)),"")</f>
        <v>0</v>
      </c>
      <c r="CV15" s="1058">
        <f>IFERROR(--(AND(CV4&gt;=Inputs!$E$26,CV4&lt;Inputs!$E$37)),"")</f>
        <v>0</v>
      </c>
      <c r="CW15" s="1058">
        <f>IFERROR(--(AND(CW4&gt;=Inputs!$E$26,CW4&lt;Inputs!$E$37)),"")</f>
        <v>0</v>
      </c>
      <c r="CX15" s="1058">
        <f>IFERROR(--(AND(CX4&gt;=Inputs!$E$26,CX4&lt;Inputs!$E$37)),"")</f>
        <v>0</v>
      </c>
      <c r="CY15" s="1058">
        <f>IFERROR(--(AND(CY4&gt;=Inputs!$E$26,CY4&lt;Inputs!$E$37)),"")</f>
        <v>0</v>
      </c>
      <c r="CZ15" s="1058">
        <f>IFERROR(--(AND(CZ4&gt;=Inputs!$E$26,CZ4&lt;Inputs!$E$37)),"")</f>
        <v>0</v>
      </c>
      <c r="DA15" s="1058">
        <f>IFERROR(--(AND(DA4&gt;=Inputs!$E$26,DA4&lt;Inputs!$E$37)),"")</f>
        <v>0</v>
      </c>
      <c r="DB15" s="1058">
        <f>IFERROR(--(AND(DB4&gt;=Inputs!$E$26,DB4&lt;Inputs!$E$37)),"")</f>
        <v>0</v>
      </c>
      <c r="DC15" s="1058">
        <f>IFERROR(--(AND(DC4&gt;=Inputs!$E$26,DC4&lt;Inputs!$E$37)),"")</f>
        <v>0</v>
      </c>
      <c r="DD15" s="1058">
        <f>IFERROR(--(AND(DD4&gt;=Inputs!$E$26,DD4&lt;Inputs!$E$37)),"")</f>
        <v>0</v>
      </c>
      <c r="DE15" s="1058">
        <f>IFERROR(--(AND(DE4&gt;=Inputs!$E$26,DE4&lt;Inputs!$E$37)),"")</f>
        <v>0</v>
      </c>
      <c r="DF15" s="1058">
        <f>IFERROR(--(AND(DF4&gt;=Inputs!$E$26,DF4&lt;Inputs!$E$37)),"")</f>
        <v>0</v>
      </c>
      <c r="DG15" s="1058">
        <f>IFERROR(--(AND(DG4&gt;=Inputs!$E$26,DG4&lt;Inputs!$E$37)),"")</f>
        <v>0</v>
      </c>
      <c r="DH15" s="1058">
        <f>IFERROR(--(AND(DH4&gt;=Inputs!$E$26,DH4&lt;Inputs!$E$37)),"")</f>
        <v>0</v>
      </c>
      <c r="DI15" s="1058">
        <f>IFERROR(--(AND(DI4&gt;=Inputs!$E$26,DI4&lt;Inputs!$E$37)),"")</f>
        <v>0</v>
      </c>
      <c r="DJ15" s="1058">
        <f>IFERROR(--(AND(DJ4&gt;=Inputs!$E$26,DJ4&lt;Inputs!$E$37)),"")</f>
        <v>0</v>
      </c>
      <c r="DK15" s="1058">
        <f>IFERROR(--(AND(DK4&gt;=Inputs!$E$26,DK4&lt;Inputs!$E$37)),"")</f>
        <v>0</v>
      </c>
      <c r="DL15" s="1058">
        <f>IFERROR(--(AND(DL4&gt;=Inputs!$E$26,DL4&lt;Inputs!$E$37)),"")</f>
        <v>0</v>
      </c>
      <c r="DM15" s="1058">
        <f>IFERROR(--(AND(DM4&gt;=Inputs!$E$26,DM4&lt;Inputs!$E$37)),"")</f>
        <v>0</v>
      </c>
      <c r="DN15" s="1058">
        <f>IFERROR(--(AND(DN4&gt;=Inputs!$E$26,DN4&lt;Inputs!$E$37)),"")</f>
        <v>0</v>
      </c>
      <c r="DO15" s="1058">
        <f>IFERROR(--(AND(DO4&gt;=Inputs!$E$26,DO4&lt;Inputs!$E$37)),"")</f>
        <v>0</v>
      </c>
      <c r="DP15" s="1058">
        <f>IFERROR(--(AND(DP4&gt;=Inputs!$E$26,DP4&lt;Inputs!$E$37)),"")</f>
        <v>0</v>
      </c>
      <c r="DQ15" s="1058">
        <f>IFERROR(--(AND(DQ4&gt;=Inputs!$E$26,DQ4&lt;Inputs!$E$37)),"")</f>
        <v>0</v>
      </c>
      <c r="DR15" s="1058">
        <f>IFERROR(--(AND(DR4&gt;=Inputs!$E$26,DR4&lt;Inputs!$E$37)),"")</f>
        <v>0</v>
      </c>
      <c r="DS15" s="1058">
        <f>IFERROR(--(AND(DS4&gt;=Inputs!$E$26,DS4&lt;Inputs!$E$37)),"")</f>
        <v>0</v>
      </c>
      <c r="DT15" s="1058">
        <f>IFERROR(--(AND(DT4&gt;=Inputs!$E$26,DT4&lt;Inputs!$E$37)),"")</f>
        <v>0</v>
      </c>
      <c r="DU15" s="1058">
        <f>IFERROR(--(AND(DU4&gt;=Inputs!$E$26,DU4&lt;Inputs!$E$37)),"")</f>
        <v>0</v>
      </c>
      <c r="DV15" s="1058">
        <f>IFERROR(--(AND(DV4&gt;=Inputs!$E$26,DV4&lt;Inputs!$E$37)),"")</f>
        <v>0</v>
      </c>
      <c r="DW15" s="1058">
        <f>IFERROR(--(AND(DW4&gt;=Inputs!$E$26,DW4&lt;Inputs!$E$37)),"")</f>
        <v>0</v>
      </c>
      <c r="DX15" s="1058">
        <f>IFERROR(--(AND(DX4&gt;=Inputs!$E$26,DX4&lt;Inputs!$E$37)),"")</f>
        <v>0</v>
      </c>
      <c r="DY15" s="1058">
        <f>IFERROR(--(AND(DY4&gt;=Inputs!$E$26,DY4&lt;Inputs!$E$37)),"")</f>
        <v>0</v>
      </c>
      <c r="DZ15" s="1058">
        <f>IFERROR(--(AND(DZ4&gt;=Inputs!$E$26,DZ4&lt;Inputs!$E$37)),"")</f>
        <v>0</v>
      </c>
      <c r="EA15" s="1058">
        <f>IFERROR(--(AND(EA4&gt;=Inputs!$E$26,EA4&lt;Inputs!$E$37)),"")</f>
        <v>0</v>
      </c>
      <c r="EB15" s="1058">
        <f>IFERROR(--(AND(EB4&gt;=Inputs!$E$26,EB4&lt;Inputs!$E$37)),"")</f>
        <v>0</v>
      </c>
      <c r="EC15" s="1058">
        <f>IFERROR(--(AND(EC4&gt;=Inputs!$E$26,EC4&lt;Inputs!$E$37)),"")</f>
        <v>0</v>
      </c>
      <c r="ED15" s="1058">
        <f>IFERROR(--(AND(ED4&gt;=Inputs!$E$26,ED4&lt;Inputs!$E$37)),"")</f>
        <v>0</v>
      </c>
      <c r="EE15" s="1058">
        <f>IFERROR(--(AND(EE4&gt;=Inputs!$E$26,EE4&lt;Inputs!$E$37)),"")</f>
        <v>0</v>
      </c>
      <c r="EF15" s="1058">
        <f>IFERROR(--(AND(EF4&gt;=Inputs!$E$26,EF4&lt;Inputs!$E$37)),"")</f>
        <v>0</v>
      </c>
      <c r="EG15" s="1058">
        <f>IFERROR(--(AND(EG4&gt;=Inputs!$E$26,EG4&lt;Inputs!$E$37)),"")</f>
        <v>0</v>
      </c>
      <c r="EH15" s="1058">
        <f>IFERROR(--(AND(EH4&gt;=Inputs!$E$26,EH4&lt;Inputs!$E$37)),"")</f>
        <v>0</v>
      </c>
      <c r="EI15" s="1058">
        <f>IFERROR(--(AND(EI4&gt;=Inputs!$E$26,EI4&lt;Inputs!$E$37)),"")</f>
        <v>0</v>
      </c>
      <c r="EJ15" s="1058">
        <f>IFERROR(--(AND(EJ4&gt;=Inputs!$E$26,EJ4&lt;Inputs!$E$37)),"")</f>
        <v>0</v>
      </c>
      <c r="EK15" s="1058">
        <f>IFERROR(--(AND(EK4&gt;=Inputs!$E$26,EK4&lt;Inputs!$E$37)),"")</f>
        <v>0</v>
      </c>
      <c r="EL15" s="1058">
        <f>IFERROR(--(AND(EL4&gt;=Inputs!$E$26,EL4&lt;Inputs!$E$37)),"")</f>
        <v>0</v>
      </c>
      <c r="EM15" s="1058">
        <f>IFERROR(--(AND(EM4&gt;=Inputs!$E$26,EM4&lt;Inputs!$E$37)),"")</f>
        <v>0</v>
      </c>
      <c r="EN15" s="1058">
        <f>IFERROR(--(AND(EN4&gt;=Inputs!$E$26,EN4&lt;Inputs!$E$37)),"")</f>
        <v>0</v>
      </c>
      <c r="EO15" s="1058">
        <f>IFERROR(--(AND(EO4&gt;=Inputs!$E$26,EO4&lt;Inputs!$E$37)),"")</f>
        <v>0</v>
      </c>
      <c r="EP15" s="1058">
        <f>IFERROR(--(AND(EP4&gt;=Inputs!$E$26,EP4&lt;Inputs!$E$37)),"")</f>
        <v>0</v>
      </c>
      <c r="EQ15" s="1058">
        <f>IFERROR(--(AND(EQ4&gt;=Inputs!$E$26,EQ4&lt;Inputs!$E$37)),"")</f>
        <v>0</v>
      </c>
    </row>
    <row r="16" spans="1:147" ht="15" customHeight="1">
      <c r="A16" s="233" t="s">
        <v>2042</v>
      </c>
      <c r="B16" s="765"/>
      <c r="C16" s="1056">
        <f>IF(C4&lt;Inputs!$E$26,0,IF(C4&lt;Inputs!$E$37,0,IF(C4&lt;Inputs!$E$40,Inputs!$E$39,1)))</f>
        <v>0</v>
      </c>
      <c r="D16" s="1056">
        <f>IF(D4&lt;Inputs!$E$26,0,IF(D4&lt;Inputs!$E$37,0,IF(D4&lt;Inputs!$E$40,Inputs!$E$39,1)))</f>
        <v>0</v>
      </c>
      <c r="E16" s="1056">
        <f>IF(E4&lt;Inputs!$E$26,0,IF(E4&lt;Inputs!$E$37,0,IF(E4&lt;Inputs!$E$40,Inputs!$E$39,1)))</f>
        <v>0</v>
      </c>
      <c r="F16" s="1056">
        <f>IF(F4&lt;Inputs!$E$26,0,IF(F4&lt;Inputs!$E$37,0,IF(F4&lt;Inputs!$E$40,Inputs!$E$39,1)))</f>
        <v>0</v>
      </c>
      <c r="G16" s="1056">
        <f>IF(G4&lt;Inputs!$E$26,0,IF(G4&lt;Inputs!$E$37,0,IF(G4&lt;Inputs!$E$40,Inputs!$E$39,1)))</f>
        <v>0</v>
      </c>
      <c r="H16" s="1056">
        <f>IF(H4&lt;Inputs!$E$26,0,IF(H4&lt;Inputs!$E$37,0,IF(H4&lt;Inputs!$E$40,Inputs!$E$39,1)))</f>
        <v>0</v>
      </c>
      <c r="I16" s="1056">
        <f>IF(I4&lt;Inputs!$E$26,0,IF(I4&lt;Inputs!$E$37,0,IF(I4&lt;Inputs!$E$40,Inputs!$E$39,1)))</f>
        <v>0</v>
      </c>
      <c r="J16" s="1056">
        <f>IF(J4&lt;Inputs!$E$26,0,IF(J4&lt;Inputs!$E$37,0,IF(J4&lt;Inputs!$E$40,Inputs!$E$39,1)))</f>
        <v>0</v>
      </c>
      <c r="K16" s="1056">
        <f>IF(K4&lt;Inputs!$E$26,0,IF(K4&lt;Inputs!$E$37,0,IF(K4&lt;Inputs!$E$40,Inputs!$E$39,1)))</f>
        <v>0</v>
      </c>
      <c r="L16" s="1056">
        <f>IF(L4&lt;Inputs!$E$26,0,IF(L4&lt;Inputs!$E$37,0,IF(L4&lt;Inputs!$E$40,Inputs!$E$39,1)))</f>
        <v>0</v>
      </c>
      <c r="M16" s="1056">
        <f>IF(M4&lt;Inputs!$E$26,0,IF(M4&lt;Inputs!$E$37,0,IF(M4&lt;Inputs!$E$40,Inputs!$E$39,1)))</f>
        <v>0</v>
      </c>
      <c r="N16" s="1056">
        <f>IF(N4&lt;Inputs!$E$26,0,IF(N4&lt;Inputs!$E$37,0,IF(N4&lt;Inputs!$E$40,Inputs!$E$39,1)))</f>
        <v>0</v>
      </c>
      <c r="O16" s="1056">
        <f>IF(O4&lt;Inputs!$E$26,0,IF(O4&lt;Inputs!$E$37,0,IF(O4&lt;Inputs!$E$40,Inputs!$E$39,1)))</f>
        <v>0</v>
      </c>
      <c r="P16" s="1056">
        <f>IF(P4&lt;Inputs!$E$26,0,IF(P4&lt;Inputs!$E$37,0,IF(P4&lt;Inputs!$E$40,Inputs!$E$39,1)))</f>
        <v>0</v>
      </c>
      <c r="Q16" s="1056">
        <f>IF(Q4&lt;Inputs!$E$26,0,IF(Q4&lt;Inputs!$E$37,0,IF(Q4&lt;Inputs!$E$40,Inputs!$E$39,1)))</f>
        <v>0</v>
      </c>
      <c r="R16" s="1056">
        <f>IF(R4&lt;Inputs!$E$26,0,IF(R4&lt;Inputs!$E$37,0,IF(R4&lt;Inputs!$E$40,Inputs!$E$39,1)))</f>
        <v>0</v>
      </c>
      <c r="S16" s="1056">
        <f>IF(S4&lt;Inputs!$E$26,0,IF(S4&lt;Inputs!$E$37,0,IF(S4&lt;Inputs!$E$40,Inputs!$E$39,1)))</f>
        <v>0</v>
      </c>
      <c r="T16" s="1056">
        <f>IF(T4&lt;Inputs!$E$26,0,IF(T4&lt;Inputs!$E$37,0,IF(T4&lt;Inputs!$E$40,Inputs!$E$39,1)))</f>
        <v>0</v>
      </c>
      <c r="U16" s="1056">
        <f>IF(U4&lt;Inputs!$E$26,0,IF(U4&lt;Inputs!$E$37,0,IF(U4&lt;Inputs!$E$40,Inputs!$E$39,1)))</f>
        <v>0</v>
      </c>
      <c r="V16" s="1056">
        <f>IF(V4&lt;Inputs!$E$26,0,IF(V4&lt;Inputs!$E$37,0,IF(V4&lt;Inputs!$E$40,Inputs!$E$39,1)))</f>
        <v>0</v>
      </c>
      <c r="W16" s="1056">
        <f>IF(W4&lt;Inputs!$E$26,0,IF(W4&lt;Inputs!$E$37,0,IF(W4&lt;Inputs!$E$40,Inputs!$E$39,1)))</f>
        <v>0</v>
      </c>
      <c r="X16" s="1056">
        <f>IF(X4&lt;Inputs!$E$26,0,IF(X4&lt;Inputs!$E$37,0,IF(X4&lt;Inputs!$E$40,Inputs!$E$39,1)))</f>
        <v>0</v>
      </c>
      <c r="Y16" s="1056">
        <f>IF(Y4&lt;Inputs!$E$26,0,IF(Y4&lt;Inputs!$E$37,0,IF(Y4&lt;Inputs!$E$40,Inputs!$E$39,1)))</f>
        <v>0</v>
      </c>
      <c r="Z16" s="1056">
        <f>IF(Z4&lt;Inputs!$E$26,0,IF(Z4&lt;Inputs!$E$37,0,IF(Z4&lt;Inputs!$E$40,Inputs!$E$39,1)))</f>
        <v>0</v>
      </c>
      <c r="AA16" s="1056">
        <f>IF(AA4&lt;Inputs!$E$26,0,IF(AA4&lt;Inputs!$E$37,0,IF(AA4&lt;Inputs!$E$40,Inputs!$E$39,1)))</f>
        <v>0</v>
      </c>
      <c r="AB16" s="1056">
        <f>IF(AB4&lt;Inputs!$E$26,0,IF(AB4&lt;Inputs!$E$37,0,IF(AB4&lt;Inputs!$E$40,Inputs!$E$39,1)))</f>
        <v>0</v>
      </c>
      <c r="AC16" s="1056">
        <f>IF(AC4&lt;Inputs!$E$26,0,IF(AC4&lt;Inputs!$E$37,0,IF(AC4&lt;Inputs!$E$40,Inputs!$E$39,1)))</f>
        <v>0</v>
      </c>
      <c r="AD16" s="1056">
        <f>IF(AD4&lt;Inputs!$E$26,0,IF(AD4&lt;Inputs!$E$37,0,IF(AD4&lt;Inputs!$E$40,Inputs!$E$39,1)))</f>
        <v>0</v>
      </c>
      <c r="AE16" s="1056">
        <f>IF(AE4&lt;Inputs!$E$26,0,IF(AE4&lt;Inputs!$E$37,0,IF(AE4&lt;Inputs!$E$40,Inputs!$E$39,1)))</f>
        <v>0</v>
      </c>
      <c r="AF16" s="1056">
        <f>IF(AF4&lt;Inputs!$E$26,0,IF(AF4&lt;Inputs!$E$37,0,IF(AF4&lt;Inputs!$E$40,Inputs!$E$39,1)))</f>
        <v>0</v>
      </c>
      <c r="AG16" s="1056">
        <f>IF(AG4&lt;Inputs!$E$26,0,IF(AG4&lt;Inputs!$E$37,0,IF(AG4&lt;Inputs!$E$40,Inputs!$E$39,1)))</f>
        <v>0.5</v>
      </c>
      <c r="AH16" s="1056">
        <f>IF(AH4&lt;Inputs!$E$26,0,IF(AH4&lt;Inputs!$E$37,0,IF(AH4&lt;Inputs!$E$40,Inputs!$E$39,1)))</f>
        <v>0.5</v>
      </c>
      <c r="AI16" s="1056">
        <f>IF(AI4&lt;Inputs!$E$26,0,IF(AI4&lt;Inputs!$E$37,0,IF(AI4&lt;Inputs!$E$40,Inputs!$E$39,1)))</f>
        <v>0.5</v>
      </c>
      <c r="AJ16" s="1056">
        <f>IF(AJ4&lt;Inputs!$E$26,0,IF(AJ4&lt;Inputs!$E$37,0,IF(AJ4&lt;Inputs!$E$40,Inputs!$E$39,1)))</f>
        <v>0.5</v>
      </c>
      <c r="AK16" s="1056">
        <f>IF(AK4&lt;Inputs!$E$26,0,IF(AK4&lt;Inputs!$E$37,0,IF(AK4&lt;Inputs!$E$40,Inputs!$E$39,1)))</f>
        <v>0.5</v>
      </c>
      <c r="AL16" s="1056">
        <f>IF(AL4&lt;Inputs!$E$26,0,IF(AL4&lt;Inputs!$E$37,0,IF(AL4&lt;Inputs!$E$40,Inputs!$E$39,1)))</f>
        <v>0.5</v>
      </c>
      <c r="AM16" s="1056">
        <f>IF(AM4&lt;Inputs!$E$26,0,IF(AM4&lt;Inputs!$E$37,0,IF(AM4&lt;Inputs!$E$40,Inputs!$E$39,1)))</f>
        <v>0.5</v>
      </c>
      <c r="AN16" s="1056">
        <f>IF(AN4&lt;Inputs!$E$26,0,IF(AN4&lt;Inputs!$E$37,0,IF(AN4&lt;Inputs!$E$40,Inputs!$E$39,1)))</f>
        <v>0.5</v>
      </c>
      <c r="AO16" s="1056">
        <f>IF(AO4&lt;Inputs!$E$26,0,IF(AO4&lt;Inputs!$E$37,0,IF(AO4&lt;Inputs!$E$40,Inputs!$E$39,1)))</f>
        <v>0.5</v>
      </c>
      <c r="AP16" s="1056">
        <f>IF(AP4&lt;Inputs!$E$26,0,IF(AP4&lt;Inputs!$E$37,0,IF(AP4&lt;Inputs!$E$40,Inputs!$E$39,1)))</f>
        <v>0.5</v>
      </c>
      <c r="AQ16" s="1056">
        <f>IF(AQ4&lt;Inputs!$E$26,0,IF(AQ4&lt;Inputs!$E$37,0,IF(AQ4&lt;Inputs!$E$40,Inputs!$E$39,1)))</f>
        <v>0.5</v>
      </c>
      <c r="AR16" s="1056">
        <f>IF(AR4&lt;Inputs!$E$26,0,IF(AR4&lt;Inputs!$E$37,0,IF(AR4&lt;Inputs!$E$40,Inputs!$E$39,1)))</f>
        <v>0.5</v>
      </c>
      <c r="AS16" s="1056">
        <f>IF(AS4&lt;Inputs!$E$26,0,IF(AS4&lt;Inputs!$E$37,0,IF(AS4&lt;Inputs!$E$40,Inputs!$E$39,1)))</f>
        <v>0.5</v>
      </c>
      <c r="AT16" s="1056">
        <f>IF(AT4&lt;Inputs!$E$26,0,IF(AT4&lt;Inputs!$E$37,0,IF(AT4&lt;Inputs!$E$40,Inputs!$E$39,1)))</f>
        <v>0.5</v>
      </c>
      <c r="AU16" s="1056">
        <f>IF(AU4&lt;Inputs!$E$26,0,IF(AU4&lt;Inputs!$E$37,0,IF(AU4&lt;Inputs!$E$40,Inputs!$E$39,1)))</f>
        <v>0.5</v>
      </c>
      <c r="AV16" s="1056">
        <f>IF(AV4&lt;Inputs!$E$26,0,IF(AV4&lt;Inputs!$E$37,0,IF(AV4&lt;Inputs!$E$40,Inputs!$E$39,1)))</f>
        <v>0.5</v>
      </c>
      <c r="AW16" s="1056">
        <f>IF(AW4&lt;Inputs!$E$26,0,IF(AW4&lt;Inputs!$E$37,0,IF(AW4&lt;Inputs!$E$40,Inputs!$E$39,1)))</f>
        <v>0.5</v>
      </c>
      <c r="AX16" s="1056">
        <f>IF(AX4&lt;Inputs!$E$26,0,IF(AX4&lt;Inputs!$E$37,0,IF(AX4&lt;Inputs!$E$40,Inputs!$E$39,1)))</f>
        <v>0.5</v>
      </c>
      <c r="AY16" s="1056">
        <f>IF(AY4&lt;Inputs!$E$26,0,IF(AY4&lt;Inputs!$E$37,0,IF(AY4&lt;Inputs!$E$40,Inputs!$E$39,1)))</f>
        <v>0.5</v>
      </c>
      <c r="AZ16" s="1056">
        <f>IF(AZ4&lt;Inputs!$E$26,0,IF(AZ4&lt;Inputs!$E$37,0,IF(AZ4&lt;Inputs!$E$40,Inputs!$E$39,1)))</f>
        <v>0.5</v>
      </c>
      <c r="BA16" s="1056">
        <f>IF(BA4&lt;Inputs!$E$26,0,IF(BA4&lt;Inputs!$E$37,0,IF(BA4&lt;Inputs!$E$40,Inputs!$E$39,1)))</f>
        <v>0.5</v>
      </c>
      <c r="BB16" s="1056">
        <f>IF(BB4&lt;Inputs!$E$26,0,IF(BB4&lt;Inputs!$E$37,0,IF(BB4&lt;Inputs!$E$40,Inputs!$E$39,1)))</f>
        <v>0.5</v>
      </c>
      <c r="BC16" s="1056">
        <f>IF(BC4&lt;Inputs!$E$26,0,IF(BC4&lt;Inputs!$E$37,0,IF(BC4&lt;Inputs!$E$40,Inputs!$E$39,1)))</f>
        <v>0.5</v>
      </c>
      <c r="BD16" s="1056">
        <f>IF(BD4&lt;Inputs!$E$26,0,IF(BD4&lt;Inputs!$E$37,0,IF(BD4&lt;Inputs!$E$40,Inputs!$E$39,1)))</f>
        <v>0.5</v>
      </c>
      <c r="BE16" s="1056">
        <f>IF(BE4&lt;Inputs!$E$26,0,IF(BE4&lt;Inputs!$E$37,0,IF(BE4&lt;Inputs!$E$40,Inputs!$E$39,1)))</f>
        <v>0.5</v>
      </c>
      <c r="BF16" s="1056">
        <f>IF(BF4&lt;Inputs!$E$26,0,IF(BF4&lt;Inputs!$E$37,0,IF(BF4&lt;Inputs!$E$40,Inputs!$E$39,1)))</f>
        <v>0.5</v>
      </c>
      <c r="BG16" s="1056">
        <f>IF(BG4&lt;Inputs!$E$26,0,IF(BG4&lt;Inputs!$E$37,0,IF(BG4&lt;Inputs!$E$40,Inputs!$E$39,1)))</f>
        <v>0.5</v>
      </c>
      <c r="BH16" s="1056">
        <f>IF(BH4&lt;Inputs!$E$26,0,IF(BH4&lt;Inputs!$E$37,0,IF(BH4&lt;Inputs!$E$40,Inputs!$E$39,1)))</f>
        <v>0.5</v>
      </c>
      <c r="BI16" s="1056">
        <f>IF(BI4&lt;Inputs!$E$26,0,IF(BI4&lt;Inputs!$E$37,0,IF(BI4&lt;Inputs!$E$40,Inputs!$E$39,1)))</f>
        <v>0.5</v>
      </c>
      <c r="BJ16" s="1056">
        <f>IF(BJ4&lt;Inputs!$E$26,0,IF(BJ4&lt;Inputs!$E$37,0,IF(BJ4&lt;Inputs!$E$40,Inputs!$E$39,1)))</f>
        <v>0.5</v>
      </c>
      <c r="BK16" s="1056">
        <f>IF(BK4&lt;Inputs!$E$26,0,IF(BK4&lt;Inputs!$E$37,0,IF(BK4&lt;Inputs!$E$40,Inputs!$E$39,1)))</f>
        <v>0.5</v>
      </c>
      <c r="BL16" s="1056">
        <f>IF(BL4&lt;Inputs!$E$26,0,IF(BL4&lt;Inputs!$E$37,0,IF(BL4&lt;Inputs!$E$40,Inputs!$E$39,1)))</f>
        <v>0.5</v>
      </c>
      <c r="BM16" s="1056">
        <f>IF(BM4&lt;Inputs!$E$26,0,IF(BM4&lt;Inputs!$E$37,0,IF(BM4&lt;Inputs!$E$40,Inputs!$E$39,1)))</f>
        <v>0.5</v>
      </c>
      <c r="BN16" s="1056">
        <f>IF(BN4&lt;Inputs!$E$26,0,IF(BN4&lt;Inputs!$E$37,0,IF(BN4&lt;Inputs!$E$40,Inputs!$E$39,1)))</f>
        <v>0.5</v>
      </c>
      <c r="BO16" s="1056">
        <f>IF(BO4&lt;Inputs!$E$26,0,IF(BO4&lt;Inputs!$E$37,0,IF(BO4&lt;Inputs!$E$40,Inputs!$E$39,1)))</f>
        <v>0.5</v>
      </c>
      <c r="BP16" s="1056">
        <f>IF(BP4&lt;Inputs!$E$26,0,IF(BP4&lt;Inputs!$E$37,0,IF(BP4&lt;Inputs!$E$40,Inputs!$E$39,1)))</f>
        <v>0.5</v>
      </c>
      <c r="BQ16" s="1056">
        <f>IF(BQ4&lt;Inputs!$E$26,0,IF(BQ4&lt;Inputs!$E$37,0,IF(BQ4&lt;Inputs!$E$40,Inputs!$E$39,1)))</f>
        <v>0.5</v>
      </c>
      <c r="BR16" s="1056">
        <f>IF(BR4&lt;Inputs!$E$26,0,IF(BR4&lt;Inputs!$E$37,0,IF(BR4&lt;Inputs!$E$40,Inputs!$E$39,1)))</f>
        <v>0.5</v>
      </c>
      <c r="BS16" s="1056">
        <f>IF(BS4&lt;Inputs!$E$26,0,IF(BS4&lt;Inputs!$E$37,0,IF(BS4&lt;Inputs!$E$40,Inputs!$E$39,1)))</f>
        <v>0.5</v>
      </c>
      <c r="BT16" s="1056">
        <f>IF(BT4&lt;Inputs!$E$26,0,IF(BT4&lt;Inputs!$E$37,0,IF(BT4&lt;Inputs!$E$40,Inputs!$E$39,1)))</f>
        <v>0.5</v>
      </c>
      <c r="BU16" s="1056">
        <f>IF(BU4&lt;Inputs!$E$26,0,IF(BU4&lt;Inputs!$E$37,0,IF(BU4&lt;Inputs!$E$40,Inputs!$E$39,1)))</f>
        <v>0.5</v>
      </c>
      <c r="BV16" s="1056">
        <f>IF(BV4&lt;Inputs!$E$26,0,IF(BV4&lt;Inputs!$E$37,0,IF(BV4&lt;Inputs!$E$40,Inputs!$E$39,1)))</f>
        <v>0.5</v>
      </c>
      <c r="BW16" s="1056">
        <f>IF(BW4&lt;Inputs!$E$26,0,IF(BW4&lt;Inputs!$E$37,0,IF(BW4&lt;Inputs!$E$40,Inputs!$E$39,1)))</f>
        <v>0.5</v>
      </c>
      <c r="BX16" s="1056">
        <f>IF(BX4&lt;Inputs!$E$26,0,IF(BX4&lt;Inputs!$E$37,0,IF(BX4&lt;Inputs!$E$40,Inputs!$E$39,1)))</f>
        <v>0.5</v>
      </c>
      <c r="BY16" s="1056">
        <f>IF(BY4&lt;Inputs!$E$26,0,IF(BY4&lt;Inputs!$E$37,0,IF(BY4&lt;Inputs!$E$40,Inputs!$E$39,1)))</f>
        <v>0.5</v>
      </c>
      <c r="BZ16" s="1056">
        <f>IF(BZ4&lt;Inputs!$E$26,0,IF(BZ4&lt;Inputs!$E$37,0,IF(BZ4&lt;Inputs!$E$40,Inputs!$E$39,1)))</f>
        <v>0.5</v>
      </c>
      <c r="CA16" s="1056">
        <f>IF(CA4&lt;Inputs!$E$26,0,IF(CA4&lt;Inputs!$E$37,0,IF(CA4&lt;Inputs!$E$40,Inputs!$E$39,1)))</f>
        <v>0.5</v>
      </c>
      <c r="CB16" s="1056">
        <f>IF(CB4&lt;Inputs!$E$26,0,IF(CB4&lt;Inputs!$E$37,0,IF(CB4&lt;Inputs!$E$40,Inputs!$E$39,1)))</f>
        <v>0.5</v>
      </c>
      <c r="CC16" s="1056">
        <f>IF(CC4&lt;Inputs!$E$26,0,IF(CC4&lt;Inputs!$E$37,0,IF(CC4&lt;Inputs!$E$40,Inputs!$E$39,1)))</f>
        <v>1</v>
      </c>
      <c r="CD16" s="1056">
        <f>IF(CD4&lt;Inputs!$E$26,0,IF(CD4&lt;Inputs!$E$37,0,IF(CD4&lt;Inputs!$E$40,Inputs!$E$39,1)))</f>
        <v>1</v>
      </c>
      <c r="CE16" s="1056">
        <f>IF(CE4&lt;Inputs!$E$26,0,IF(CE4&lt;Inputs!$E$37,0,IF(CE4&lt;Inputs!$E$40,Inputs!$E$39,1)))</f>
        <v>1</v>
      </c>
      <c r="CF16" s="1056">
        <f>IF(CF4&lt;Inputs!$E$26,0,IF(CF4&lt;Inputs!$E$37,0,IF(CF4&lt;Inputs!$E$40,Inputs!$E$39,1)))</f>
        <v>1</v>
      </c>
      <c r="CG16" s="1056">
        <f>IF(CG4&lt;Inputs!$E$26,0,IF(CG4&lt;Inputs!$E$37,0,IF(CG4&lt;Inputs!$E$40,Inputs!$E$39,1)))</f>
        <v>1</v>
      </c>
      <c r="CH16" s="1056">
        <f>IF(CH4&lt;Inputs!$E$26,0,IF(CH4&lt;Inputs!$E$37,0,IF(CH4&lt;Inputs!$E$40,Inputs!$E$39,1)))</f>
        <v>1</v>
      </c>
      <c r="CI16" s="1056">
        <f>IF(CI4&lt;Inputs!$E$26,0,IF(CI4&lt;Inputs!$E$37,0,IF(CI4&lt;Inputs!$E$40,Inputs!$E$39,1)))</f>
        <v>1</v>
      </c>
      <c r="CJ16" s="1056">
        <f>IF(CJ4&lt;Inputs!$E$26,0,IF(CJ4&lt;Inputs!$E$37,0,IF(CJ4&lt;Inputs!$E$40,Inputs!$E$39,1)))</f>
        <v>1</v>
      </c>
      <c r="CK16" s="1056">
        <f>IF(CK4&lt;Inputs!$E$26,0,IF(CK4&lt;Inputs!$E$37,0,IF(CK4&lt;Inputs!$E$40,Inputs!$E$39,1)))</f>
        <v>1</v>
      </c>
      <c r="CL16" s="1056">
        <f>IF(CL4&lt;Inputs!$E$26,0,IF(CL4&lt;Inputs!$E$37,0,IF(CL4&lt;Inputs!$E$40,Inputs!$E$39,1)))</f>
        <v>1</v>
      </c>
      <c r="CM16" s="1056">
        <f>IF(CM4&lt;Inputs!$E$26,0,IF(CM4&lt;Inputs!$E$37,0,IF(CM4&lt;Inputs!$E$40,Inputs!$E$39,1)))</f>
        <v>1</v>
      </c>
      <c r="CN16" s="1056">
        <f>IF(CN4&lt;Inputs!$E$26,0,IF(CN4&lt;Inputs!$E$37,0,IF(CN4&lt;Inputs!$E$40,Inputs!$E$39,1)))</f>
        <v>1</v>
      </c>
      <c r="CO16" s="1056">
        <f>IF(CO4&lt;Inputs!$E$26,0,IF(CO4&lt;Inputs!$E$37,0,IF(CO4&lt;Inputs!$E$40,Inputs!$E$39,1)))</f>
        <v>1</v>
      </c>
      <c r="CP16" s="1056">
        <f>IF(CP4&lt;Inputs!$E$26,0,IF(CP4&lt;Inputs!$E$37,0,IF(CP4&lt;Inputs!$E$40,Inputs!$E$39,1)))</f>
        <v>1</v>
      </c>
      <c r="CQ16" s="1056">
        <f>IF(CQ4&lt;Inputs!$E$26,0,IF(CQ4&lt;Inputs!$E$37,0,IF(CQ4&lt;Inputs!$E$40,Inputs!$E$39,1)))</f>
        <v>1</v>
      </c>
      <c r="CR16" s="1056">
        <f>IF(CR4&lt;Inputs!$E$26,0,IF(CR4&lt;Inputs!$E$37,0,IF(CR4&lt;Inputs!$E$40,Inputs!$E$39,1)))</f>
        <v>1</v>
      </c>
      <c r="CS16" s="1056">
        <f>IF(CS4&lt;Inputs!$E$26,0,IF(CS4&lt;Inputs!$E$37,0,IF(CS4&lt;Inputs!$E$40,Inputs!$E$39,1)))</f>
        <v>1</v>
      </c>
      <c r="CT16" s="1056">
        <f>IF(CT4&lt;Inputs!$E$26,0,IF(CT4&lt;Inputs!$E$37,0,IF(CT4&lt;Inputs!$E$40,Inputs!$E$39,1)))</f>
        <v>1</v>
      </c>
      <c r="CU16" s="1056">
        <f>IF(CU4&lt;Inputs!$E$26,0,IF(CU4&lt;Inputs!$E$37,0,IF(CU4&lt;Inputs!$E$40,Inputs!$E$39,1)))</f>
        <v>1</v>
      </c>
      <c r="CV16" s="1056">
        <f>IF(CV4&lt;Inputs!$E$26,0,IF(CV4&lt;Inputs!$E$37,0,IF(CV4&lt;Inputs!$E$40,Inputs!$E$39,1)))</f>
        <v>1</v>
      </c>
      <c r="CW16" s="1056">
        <f>IF(CW4&lt;Inputs!$E$26,0,IF(CW4&lt;Inputs!$E$37,0,IF(CW4&lt;Inputs!$E$40,Inputs!$E$39,1)))</f>
        <v>1</v>
      </c>
      <c r="CX16" s="1056">
        <f>IF(CX4&lt;Inputs!$E$26,0,IF(CX4&lt;Inputs!$E$37,0,IF(CX4&lt;Inputs!$E$40,Inputs!$E$39,1)))</f>
        <v>1</v>
      </c>
      <c r="CY16" s="1056">
        <f>IF(CY4&lt;Inputs!$E$26,0,IF(CY4&lt;Inputs!$E$37,0,IF(CY4&lt;Inputs!$E$40,Inputs!$E$39,1)))</f>
        <v>1</v>
      </c>
      <c r="CZ16" s="1056">
        <f>IF(CZ4&lt;Inputs!$E$26,0,IF(CZ4&lt;Inputs!$E$37,0,IF(CZ4&lt;Inputs!$E$40,Inputs!$E$39,1)))</f>
        <v>1</v>
      </c>
      <c r="DA16" s="1056">
        <f>IF(DA4&lt;Inputs!$E$26,0,IF(DA4&lt;Inputs!$E$37,0,IF(DA4&lt;Inputs!$E$40,Inputs!$E$39,1)))</f>
        <v>1</v>
      </c>
      <c r="DB16" s="1056">
        <f>IF(DB4&lt;Inputs!$E$26,0,IF(DB4&lt;Inputs!$E$37,0,IF(DB4&lt;Inputs!$E$40,Inputs!$E$39,1)))</f>
        <v>1</v>
      </c>
      <c r="DC16" s="1056">
        <f>IF(DC4&lt;Inputs!$E$26,0,IF(DC4&lt;Inputs!$E$37,0,IF(DC4&lt;Inputs!$E$40,Inputs!$E$39,1)))</f>
        <v>1</v>
      </c>
      <c r="DD16" s="1056">
        <f>IF(DD4&lt;Inputs!$E$26,0,IF(DD4&lt;Inputs!$E$37,0,IF(DD4&lt;Inputs!$E$40,Inputs!$E$39,1)))</f>
        <v>1</v>
      </c>
      <c r="DE16" s="1056">
        <f>IF(DE4&lt;Inputs!$E$26,0,IF(DE4&lt;Inputs!$E$37,0,IF(DE4&lt;Inputs!$E$40,Inputs!$E$39,1)))</f>
        <v>1</v>
      </c>
      <c r="DF16" s="1056">
        <f>IF(DF4&lt;Inputs!$E$26,0,IF(DF4&lt;Inputs!$E$37,0,IF(DF4&lt;Inputs!$E$40,Inputs!$E$39,1)))</f>
        <v>1</v>
      </c>
      <c r="DG16" s="1056">
        <f>IF(DG4&lt;Inputs!$E$26,0,IF(DG4&lt;Inputs!$E$37,0,IF(DG4&lt;Inputs!$E$40,Inputs!$E$39,1)))</f>
        <v>1</v>
      </c>
      <c r="DH16" s="1056">
        <f>IF(DH4&lt;Inputs!$E$26,0,IF(DH4&lt;Inputs!$E$37,0,IF(DH4&lt;Inputs!$E$40,Inputs!$E$39,1)))</f>
        <v>1</v>
      </c>
      <c r="DI16" s="1056">
        <f>IF(DI4&lt;Inputs!$E$26,0,IF(DI4&lt;Inputs!$E$37,0,IF(DI4&lt;Inputs!$E$40,Inputs!$E$39,1)))</f>
        <v>1</v>
      </c>
      <c r="DJ16" s="1056">
        <f>IF(DJ4&lt;Inputs!$E$26,0,IF(DJ4&lt;Inputs!$E$37,0,IF(DJ4&lt;Inputs!$E$40,Inputs!$E$39,1)))</f>
        <v>1</v>
      </c>
      <c r="DK16" s="1056">
        <f>IF(DK4&lt;Inputs!$E$26,0,IF(DK4&lt;Inputs!$E$37,0,IF(DK4&lt;Inputs!$E$40,Inputs!$E$39,1)))</f>
        <v>1</v>
      </c>
      <c r="DL16" s="1056">
        <f>IF(DL4&lt;Inputs!$E$26,0,IF(DL4&lt;Inputs!$E$37,0,IF(DL4&lt;Inputs!$E$40,Inputs!$E$39,1)))</f>
        <v>1</v>
      </c>
      <c r="DM16" s="1056">
        <f>IF(DM4&lt;Inputs!$E$26,0,IF(DM4&lt;Inputs!$E$37,0,IF(DM4&lt;Inputs!$E$40,Inputs!$E$39,1)))</f>
        <v>1</v>
      </c>
      <c r="DN16" s="1056">
        <f>IF(DN4&lt;Inputs!$E$26,0,IF(DN4&lt;Inputs!$E$37,0,IF(DN4&lt;Inputs!$E$40,Inputs!$E$39,1)))</f>
        <v>1</v>
      </c>
      <c r="DO16" s="1056">
        <f>IF(DO4&lt;Inputs!$E$26,0,IF(DO4&lt;Inputs!$E$37,0,IF(DO4&lt;Inputs!$E$40,Inputs!$E$39,1)))</f>
        <v>1</v>
      </c>
      <c r="DP16" s="1056">
        <f>IF(DP4&lt;Inputs!$E$26,0,IF(DP4&lt;Inputs!$E$37,0,IF(DP4&lt;Inputs!$E$40,Inputs!$E$39,1)))</f>
        <v>1</v>
      </c>
      <c r="DQ16" s="1056">
        <f>IF(DQ4&lt;Inputs!$E$26,0,IF(DQ4&lt;Inputs!$E$37,0,IF(DQ4&lt;Inputs!$E$40,Inputs!$E$39,1)))</f>
        <v>1</v>
      </c>
      <c r="DR16" s="1056">
        <f>IF(DR4&lt;Inputs!$E$26,0,IF(DR4&lt;Inputs!$E$37,0,IF(DR4&lt;Inputs!$E$40,Inputs!$E$39,1)))</f>
        <v>1</v>
      </c>
      <c r="DS16" s="1056">
        <f>IF(DS4&lt;Inputs!$E$26,0,IF(DS4&lt;Inputs!$E$37,0,IF(DS4&lt;Inputs!$E$40,Inputs!$E$39,1)))</f>
        <v>1</v>
      </c>
      <c r="DT16" s="1056">
        <f>IF(DT4&lt;Inputs!$E$26,0,IF(DT4&lt;Inputs!$E$37,0,IF(DT4&lt;Inputs!$E$40,Inputs!$E$39,1)))</f>
        <v>1</v>
      </c>
      <c r="DU16" s="1056">
        <f>IF(DU4&lt;Inputs!$E$26,0,IF(DU4&lt;Inputs!$E$37,0,IF(DU4&lt;Inputs!$E$40,Inputs!$E$39,1)))</f>
        <v>1</v>
      </c>
      <c r="DV16" s="1056">
        <f>IF(DV4&lt;Inputs!$E$26,0,IF(DV4&lt;Inputs!$E$37,0,IF(DV4&lt;Inputs!$E$40,Inputs!$E$39,1)))</f>
        <v>1</v>
      </c>
      <c r="DW16" s="1056">
        <f>IF(DW4&lt;Inputs!$E$26,0,IF(DW4&lt;Inputs!$E$37,0,IF(DW4&lt;Inputs!$E$40,Inputs!$E$39,1)))</f>
        <v>1</v>
      </c>
      <c r="DX16" s="1056">
        <f>IF(DX4&lt;Inputs!$E$26,0,IF(DX4&lt;Inputs!$E$37,0,IF(DX4&lt;Inputs!$E$40,Inputs!$E$39,1)))</f>
        <v>1</v>
      </c>
      <c r="DY16" s="1056">
        <f>IF(DY4&lt;Inputs!$E$26,0,IF(DY4&lt;Inputs!$E$37,0,IF(DY4&lt;Inputs!$E$40,Inputs!$E$39,1)))</f>
        <v>1</v>
      </c>
      <c r="DZ16" s="1056">
        <f>IF(DZ4&lt;Inputs!$E$26,0,IF(DZ4&lt;Inputs!$E$37,0,IF(DZ4&lt;Inputs!$E$40,Inputs!$E$39,1)))</f>
        <v>1</v>
      </c>
      <c r="EA16" s="1056">
        <f>IF(EA4&lt;Inputs!$E$26,0,IF(EA4&lt;Inputs!$E$37,0,IF(EA4&lt;Inputs!$E$40,Inputs!$E$39,1)))</f>
        <v>1</v>
      </c>
      <c r="EB16" s="1056">
        <f>IF(EB4&lt;Inputs!$E$26,0,IF(EB4&lt;Inputs!$E$37,0,IF(EB4&lt;Inputs!$E$40,Inputs!$E$39,1)))</f>
        <v>1</v>
      </c>
      <c r="EC16" s="1056">
        <f>IF(EC4&lt;Inputs!$E$26,0,IF(EC4&lt;Inputs!$E$37,0,IF(EC4&lt;Inputs!$E$40,Inputs!$E$39,1)))</f>
        <v>1</v>
      </c>
      <c r="ED16" s="1056">
        <f>IF(ED4&lt;Inputs!$E$26,0,IF(ED4&lt;Inputs!$E$37,0,IF(ED4&lt;Inputs!$E$40,Inputs!$E$39,1)))</f>
        <v>1</v>
      </c>
      <c r="EE16" s="1056">
        <f>IF(EE4&lt;Inputs!$E$26,0,IF(EE4&lt;Inputs!$E$37,0,IF(EE4&lt;Inputs!$E$40,Inputs!$E$39,1)))</f>
        <v>1</v>
      </c>
      <c r="EF16" s="1056">
        <f>IF(EF4&lt;Inputs!$E$26,0,IF(EF4&lt;Inputs!$E$37,0,IF(EF4&lt;Inputs!$E$40,Inputs!$E$39,1)))</f>
        <v>1</v>
      </c>
      <c r="EG16" s="1056">
        <f>IF(EG4&lt;Inputs!$E$26,0,IF(EG4&lt;Inputs!$E$37,0,IF(EG4&lt;Inputs!$E$40,Inputs!$E$39,1)))</f>
        <v>1</v>
      </c>
      <c r="EH16" s="1056">
        <f>IF(EH4&lt;Inputs!$E$26,0,IF(EH4&lt;Inputs!$E$37,0,IF(EH4&lt;Inputs!$E$40,Inputs!$E$39,1)))</f>
        <v>1</v>
      </c>
      <c r="EI16" s="1056">
        <f>IF(EI4&lt;Inputs!$E$26,0,IF(EI4&lt;Inputs!$E$37,0,IF(EI4&lt;Inputs!$E$40,Inputs!$E$39,1)))</f>
        <v>1</v>
      </c>
      <c r="EJ16" s="1056">
        <f>IF(EJ4&lt;Inputs!$E$26,0,IF(EJ4&lt;Inputs!$E$37,0,IF(EJ4&lt;Inputs!$E$40,Inputs!$E$39,1)))</f>
        <v>1</v>
      </c>
      <c r="EK16" s="1056">
        <f>IF(EK4&lt;Inputs!$E$26,0,IF(EK4&lt;Inputs!$E$37,0,IF(EK4&lt;Inputs!$E$40,Inputs!$E$39,1)))</f>
        <v>1</v>
      </c>
      <c r="EL16" s="1056">
        <f>IF(EL4&lt;Inputs!$E$26,0,IF(EL4&lt;Inputs!$E$37,0,IF(EL4&lt;Inputs!$E$40,Inputs!$E$39,1)))</f>
        <v>1</v>
      </c>
      <c r="EM16" s="1056">
        <f>IF(EM4&lt;Inputs!$E$26,0,IF(EM4&lt;Inputs!$E$37,0,IF(EM4&lt;Inputs!$E$40,Inputs!$E$39,1)))</f>
        <v>1</v>
      </c>
      <c r="EN16" s="1056">
        <f>IF(EN4&lt;Inputs!$E$26,0,IF(EN4&lt;Inputs!$E$37,0,IF(EN4&lt;Inputs!$E$40,Inputs!$E$39,1)))</f>
        <v>1</v>
      </c>
      <c r="EO16" s="1056">
        <f>IF(EO4&lt;Inputs!$E$26,0,IF(EO4&lt;Inputs!$E$37,0,IF(EO4&lt;Inputs!$E$40,Inputs!$E$39,1)))</f>
        <v>1</v>
      </c>
      <c r="EP16" s="1056">
        <f>IF(EP4&lt;Inputs!$E$26,0,IF(EP4&lt;Inputs!$E$37,0,IF(EP4&lt;Inputs!$E$40,Inputs!$E$39,1)))</f>
        <v>1</v>
      </c>
      <c r="EQ16" s="1056">
        <f>IF(EQ4&lt;Inputs!$E$26,0,IF(EQ4&lt;Inputs!$E$37,0,IF(EQ4&lt;Inputs!$E$40,Inputs!$E$39,1)))</f>
        <v>1</v>
      </c>
    </row>
    <row r="17" spans="1:147" ht="15" customHeight="1">
      <c r="A17" s="1052" t="s">
        <v>2043</v>
      </c>
      <c r="B17" s="1057"/>
      <c r="C17" s="1059">
        <f>IFERROR(IF(C4&lt;Inputs!$E$37,0,IF(C4&gt;=EDATE(Inputs!$E$26,Inputs!$E$27*12),0,(Inputs!$E$33*(1+Inputs!$E$35)^INT(DATEDIF(Inputs!$E$37,C4,"m")/12))/12)),0)*C16</f>
        <v>0</v>
      </c>
      <c r="D17" s="1059">
        <f>IFERROR(IF(D4&lt;Inputs!$E$37,0,IF(D4&gt;=EDATE(Inputs!$E$26,Inputs!$E$27*12),0,(Inputs!$E$33*(1+Inputs!$E$35)^INT(DATEDIF(Inputs!$E$37,D4,"m")/12))/12)),0)*D16</f>
        <v>0</v>
      </c>
      <c r="E17" s="1059">
        <f>IFERROR(IF(E4&lt;Inputs!$E$37,0,IF(E4&gt;=EDATE(Inputs!$E$26,Inputs!$E$27*12),0,(Inputs!$E$33*(1+Inputs!$E$35)^INT(DATEDIF(Inputs!$E$37,E4,"m")/12))/12)),0)*E16</f>
        <v>0</v>
      </c>
      <c r="F17" s="1059">
        <f>IFERROR(IF(F4&lt;Inputs!$E$37,0,IF(F4&gt;=EDATE(Inputs!$E$26,Inputs!$E$27*12),0,(Inputs!$E$33*(1+Inputs!$E$35)^INT(DATEDIF(Inputs!$E$37,F4,"m")/12))/12)),0)*F16</f>
        <v>0</v>
      </c>
      <c r="G17" s="1059">
        <f>IFERROR(IF(G4&lt;Inputs!$E$37,0,IF(G4&gt;=EDATE(Inputs!$E$26,Inputs!$E$27*12),0,(Inputs!$E$33*(1+Inputs!$E$35)^INT(DATEDIF(Inputs!$E$37,G4,"m")/12))/12)),0)*G16</f>
        <v>0</v>
      </c>
      <c r="H17" s="1059">
        <f>IFERROR(IF(H4&lt;Inputs!$E$37,0,IF(H4&gt;=EDATE(Inputs!$E$26,Inputs!$E$27*12),0,(Inputs!$E$33*(1+Inputs!$E$35)^INT(DATEDIF(Inputs!$E$37,H4,"m")/12))/12)),0)*H16</f>
        <v>0</v>
      </c>
      <c r="I17" s="1059">
        <f>IFERROR(IF(I4&lt;Inputs!$E$37,0,IF(I4&gt;=EDATE(Inputs!$E$26,Inputs!$E$27*12),0,(Inputs!$E$33*(1+Inputs!$E$35)^INT(DATEDIF(Inputs!$E$37,I4,"m")/12))/12)),0)*I16</f>
        <v>0</v>
      </c>
      <c r="J17" s="1059">
        <f>IFERROR(IF(J4&lt;Inputs!$E$37,0,IF(J4&gt;=EDATE(Inputs!$E$26,Inputs!$E$27*12),0,(Inputs!$E$33*(1+Inputs!$E$35)^INT(DATEDIF(Inputs!$E$37,J4,"m")/12))/12)),0)*J16</f>
        <v>0</v>
      </c>
      <c r="K17" s="1059">
        <f>IFERROR(IF(K4&lt;Inputs!$E$37,0,IF(K4&gt;=EDATE(Inputs!$E$26,Inputs!$E$27*12),0,(Inputs!$E$33*(1+Inputs!$E$35)^INT(DATEDIF(Inputs!$E$37,K4,"m")/12))/12)),0)*K16</f>
        <v>0</v>
      </c>
      <c r="L17" s="1059">
        <f>IFERROR(IF(L4&lt;Inputs!$E$37,0,IF(L4&gt;=EDATE(Inputs!$E$26,Inputs!$E$27*12),0,(Inputs!$E$33*(1+Inputs!$E$35)^INT(DATEDIF(Inputs!$E$37,L4,"m")/12))/12)),0)*L16</f>
        <v>0</v>
      </c>
      <c r="M17" s="1059">
        <f>IFERROR(IF(M4&lt;Inputs!$E$37,0,IF(M4&gt;=EDATE(Inputs!$E$26,Inputs!$E$27*12),0,(Inputs!$E$33*(1+Inputs!$E$35)^INT(DATEDIF(Inputs!$E$37,M4,"m")/12))/12)),0)*M16</f>
        <v>0</v>
      </c>
      <c r="N17" s="1059">
        <f>IFERROR(IF(N4&lt;Inputs!$E$37,0,IF(N4&gt;=EDATE(Inputs!$E$26,Inputs!$E$27*12),0,(Inputs!$E$33*(1+Inputs!$E$35)^INT(DATEDIF(Inputs!$E$37,N4,"m")/12))/12)),0)*N16</f>
        <v>0</v>
      </c>
      <c r="O17" s="1059">
        <f>IFERROR(IF(O4&lt;Inputs!$E$37,0,IF(O4&gt;=EDATE(Inputs!$E$26,Inputs!$E$27*12),0,(Inputs!$E$33*(1+Inputs!$E$35)^INT(DATEDIF(Inputs!$E$37,O4,"m")/12))/12)),0)*O16</f>
        <v>0</v>
      </c>
      <c r="P17" s="1059">
        <f>IFERROR(IF(P4&lt;Inputs!$E$37,0,IF(P4&gt;=EDATE(Inputs!$E$26,Inputs!$E$27*12),0,(Inputs!$E$33*(1+Inputs!$E$35)^INT(DATEDIF(Inputs!$E$37,P4,"m")/12))/12)),0)*P16</f>
        <v>0</v>
      </c>
      <c r="Q17" s="1059">
        <f>IFERROR(IF(Q4&lt;Inputs!$E$37,0,IF(Q4&gt;=EDATE(Inputs!$E$26,Inputs!$E$27*12),0,(Inputs!$E$33*(1+Inputs!$E$35)^INT(DATEDIF(Inputs!$E$37,Q4,"m")/12))/12)),0)*Q16</f>
        <v>0</v>
      </c>
      <c r="R17" s="1059">
        <f>IFERROR(IF(R4&lt;Inputs!$E$37,0,IF(R4&gt;=EDATE(Inputs!$E$26,Inputs!$E$27*12),0,(Inputs!$E$33*(1+Inputs!$E$35)^INT(DATEDIF(Inputs!$E$37,R4,"m")/12))/12)),0)*R16</f>
        <v>0</v>
      </c>
      <c r="S17" s="1059">
        <f>IFERROR(IF(S4&lt;Inputs!$E$37,0,IF(S4&gt;=EDATE(Inputs!$E$26,Inputs!$E$27*12),0,(Inputs!$E$33*(1+Inputs!$E$35)^INT(DATEDIF(Inputs!$E$37,S4,"m")/12))/12)),0)*S16</f>
        <v>0</v>
      </c>
      <c r="T17" s="1059">
        <f>IFERROR(IF(T4&lt;Inputs!$E$37,0,IF(T4&gt;=EDATE(Inputs!$E$26,Inputs!$E$27*12),0,(Inputs!$E$33*(1+Inputs!$E$35)^INT(DATEDIF(Inputs!$E$37,T4,"m")/12))/12)),0)*T16</f>
        <v>0</v>
      </c>
      <c r="U17" s="1059">
        <f>IFERROR(IF(U4&lt;Inputs!$E$37,0,IF(U4&gt;=EDATE(Inputs!$E$26,Inputs!$E$27*12),0,(Inputs!$E$33*(1+Inputs!$E$35)^INT(DATEDIF(Inputs!$E$37,U4,"m")/12))/12)),0)*U16</f>
        <v>0</v>
      </c>
      <c r="V17" s="1059">
        <f>IFERROR(IF(V4&lt;Inputs!$E$37,0,IF(V4&gt;=EDATE(Inputs!$E$26,Inputs!$E$27*12),0,(Inputs!$E$33*(1+Inputs!$E$35)^INT(DATEDIF(Inputs!$E$37,V4,"m")/12))/12)),0)*V16</f>
        <v>0</v>
      </c>
      <c r="W17" s="1059">
        <f>IFERROR(IF(W4&lt;Inputs!$E$37,0,IF(W4&gt;=EDATE(Inputs!$E$26,Inputs!$E$27*12),0,(Inputs!$E$33*(1+Inputs!$E$35)^INT(DATEDIF(Inputs!$E$37,W4,"m")/12))/12)),0)*W16</f>
        <v>0</v>
      </c>
      <c r="X17" s="1059">
        <f>IFERROR(IF(X4&lt;Inputs!$E$37,0,IF(X4&gt;=EDATE(Inputs!$E$26,Inputs!$E$27*12),0,(Inputs!$E$33*(1+Inputs!$E$35)^INT(DATEDIF(Inputs!$E$37,X4,"m")/12))/12)),0)*X16</f>
        <v>0</v>
      </c>
      <c r="Y17" s="1059">
        <f>IFERROR(IF(Y4&lt;Inputs!$E$37,0,IF(Y4&gt;=EDATE(Inputs!$E$26,Inputs!$E$27*12),0,(Inputs!$E$33*(1+Inputs!$E$35)^INT(DATEDIF(Inputs!$E$37,Y4,"m")/12))/12)),0)*Y16</f>
        <v>0</v>
      </c>
      <c r="Z17" s="1059">
        <f>IFERROR(IF(Z4&lt;Inputs!$E$37,0,IF(Z4&gt;=EDATE(Inputs!$E$26,Inputs!$E$27*12),0,(Inputs!$E$33*(1+Inputs!$E$35)^INT(DATEDIF(Inputs!$E$37,Z4,"m")/12))/12)),0)*Z16</f>
        <v>0</v>
      </c>
      <c r="AA17" s="1059">
        <f>IFERROR(IF(AA4&lt;Inputs!$E$37,0,IF(AA4&gt;=EDATE(Inputs!$E$26,Inputs!$E$27*12),0,(Inputs!$E$33*(1+Inputs!$E$35)^INT(DATEDIF(Inputs!$E$37,AA4,"m")/12))/12)),0)*AA16</f>
        <v>0</v>
      </c>
      <c r="AB17" s="1059">
        <f>IFERROR(IF(AB4&lt;Inputs!$E$37,0,IF(AB4&gt;=EDATE(Inputs!$E$26,Inputs!$E$27*12),0,(Inputs!$E$33*(1+Inputs!$E$35)^INT(DATEDIF(Inputs!$E$37,AB4,"m")/12))/12)),0)*AB16</f>
        <v>0</v>
      </c>
      <c r="AC17" s="1059">
        <f>IFERROR(IF(AC4&lt;Inputs!$E$37,0,IF(AC4&gt;=EDATE(Inputs!$E$26,Inputs!$E$27*12),0,(Inputs!$E$33*(1+Inputs!$E$35)^INT(DATEDIF(Inputs!$E$37,AC4,"m")/12))/12)),0)*AC16</f>
        <v>0</v>
      </c>
      <c r="AD17" s="1059">
        <f>IFERROR(IF(AD4&lt;Inputs!$E$37,0,IF(AD4&gt;=EDATE(Inputs!$E$26,Inputs!$E$27*12),0,(Inputs!$E$33*(1+Inputs!$E$35)^INT(DATEDIF(Inputs!$E$37,AD4,"m")/12))/12)),0)*AD16</f>
        <v>0</v>
      </c>
      <c r="AE17" s="1059">
        <f>IFERROR(IF(AE4&lt;Inputs!$E$37,0,IF(AE4&gt;=EDATE(Inputs!$E$26,Inputs!$E$27*12),0,(Inputs!$E$33*(1+Inputs!$E$35)^INT(DATEDIF(Inputs!$E$37,AE4,"m")/12))/12)),0)*AE16</f>
        <v>0</v>
      </c>
      <c r="AF17" s="1059">
        <f>IFERROR(IF(AF4&lt;Inputs!$E$37,0,IF(AF4&gt;=EDATE(Inputs!$E$26,Inputs!$E$27*12),0,(Inputs!$E$33*(1+Inputs!$E$35)^INT(DATEDIF(Inputs!$E$37,AF4,"m")/12))/12)),0)*AF16</f>
        <v>0</v>
      </c>
      <c r="AG17" s="1059">
        <f>IFERROR(IF(AG4&lt;Inputs!$E$37,0,IF(AG4&gt;=EDATE(Inputs!$E$26,Inputs!$E$27*12),0,(Inputs!$E$33*(1+Inputs!$E$35)^INT(DATEDIF(Inputs!$E$37,AG4,"m")/12))/12)),0)*AG16</f>
        <v>34125</v>
      </c>
      <c r="AH17" s="1059">
        <f>IFERROR(IF(AH4&lt;Inputs!$E$37,0,IF(AH4&gt;=EDATE(Inputs!$E$26,Inputs!$E$27*12),0,(Inputs!$E$33*(1+Inputs!$E$35)^INT(DATEDIF(Inputs!$E$37,AH4,"m")/12))/12)),0)*AH16</f>
        <v>34125</v>
      </c>
      <c r="AI17" s="1059">
        <f>IFERROR(IF(AI4&lt;Inputs!$E$37,0,IF(AI4&gt;=EDATE(Inputs!$E$26,Inputs!$E$27*12),0,(Inputs!$E$33*(1+Inputs!$E$35)^INT(DATEDIF(Inputs!$E$37,AI4,"m")/12))/12)),0)*AI16</f>
        <v>34125</v>
      </c>
      <c r="AJ17" s="1059">
        <f>IFERROR(IF(AJ4&lt;Inputs!$E$37,0,IF(AJ4&gt;=EDATE(Inputs!$E$26,Inputs!$E$27*12),0,(Inputs!$E$33*(1+Inputs!$E$35)^INT(DATEDIF(Inputs!$E$37,AJ4,"m")/12))/12)),0)*AJ16</f>
        <v>34125</v>
      </c>
      <c r="AK17" s="1059">
        <f>IFERROR(IF(AK4&lt;Inputs!$E$37,0,IF(AK4&gt;=EDATE(Inputs!$E$26,Inputs!$E$27*12),0,(Inputs!$E$33*(1+Inputs!$E$35)^INT(DATEDIF(Inputs!$E$37,AK4,"m")/12))/12)),0)*AK16</f>
        <v>34125</v>
      </c>
      <c r="AL17" s="1059">
        <f>IFERROR(IF(AL4&lt;Inputs!$E$37,0,IF(AL4&gt;=EDATE(Inputs!$E$26,Inputs!$E$27*12),0,(Inputs!$E$33*(1+Inputs!$E$35)^INT(DATEDIF(Inputs!$E$37,AL4,"m")/12))/12)),0)*AL16</f>
        <v>34125</v>
      </c>
      <c r="AM17" s="1059">
        <f>IFERROR(IF(AM4&lt;Inputs!$E$37,0,IF(AM4&gt;=EDATE(Inputs!$E$26,Inputs!$E$27*12),0,(Inputs!$E$33*(1+Inputs!$E$35)^INT(DATEDIF(Inputs!$E$37,AM4,"m")/12))/12)),0)*AM16</f>
        <v>34125</v>
      </c>
      <c r="AN17" s="1059">
        <f>IFERROR(IF(AN4&lt;Inputs!$E$37,0,IF(AN4&gt;=EDATE(Inputs!$E$26,Inputs!$E$27*12),0,(Inputs!$E$33*(1+Inputs!$E$35)^INT(DATEDIF(Inputs!$E$37,AN4,"m")/12))/12)),0)*AN16</f>
        <v>34125</v>
      </c>
      <c r="AO17" s="1059">
        <f>IFERROR(IF(AO4&lt;Inputs!$E$37,0,IF(AO4&gt;=EDATE(Inputs!$E$26,Inputs!$E$27*12),0,(Inputs!$E$33*(1+Inputs!$E$35)^INT(DATEDIF(Inputs!$E$37,AO4,"m")/12))/12)),0)*AO16</f>
        <v>34125</v>
      </c>
      <c r="AP17" s="1059">
        <f>IFERROR(IF(AP4&lt;Inputs!$E$37,0,IF(AP4&gt;=EDATE(Inputs!$E$26,Inputs!$E$27*12),0,(Inputs!$E$33*(1+Inputs!$E$35)^INT(DATEDIF(Inputs!$E$37,AP4,"m")/12))/12)),0)*AP16</f>
        <v>34125</v>
      </c>
      <c r="AQ17" s="1059">
        <f>IFERROR(IF(AQ4&lt;Inputs!$E$37,0,IF(AQ4&gt;=EDATE(Inputs!$E$26,Inputs!$E$27*12),0,(Inputs!$E$33*(1+Inputs!$E$35)^INT(DATEDIF(Inputs!$E$37,AQ4,"m")/12))/12)),0)*AQ16</f>
        <v>34125</v>
      </c>
      <c r="AR17" s="1059">
        <f>IFERROR(IF(AR4&lt;Inputs!$E$37,0,IF(AR4&gt;=EDATE(Inputs!$E$26,Inputs!$E$27*12),0,(Inputs!$E$33*(1+Inputs!$E$35)^INT(DATEDIF(Inputs!$E$37,AR4,"m")/12))/12)),0)*AR16</f>
        <v>34125</v>
      </c>
      <c r="AS17" s="1059">
        <f>IFERROR(IF(AS4&lt;Inputs!$E$37,0,IF(AS4&gt;=EDATE(Inputs!$E$26,Inputs!$E$27*12),0,(Inputs!$E$33*(1+Inputs!$E$35)^INT(DATEDIF(Inputs!$E$37,AS4,"m")/12))/12)),0)*AS16</f>
        <v>35319.374999999993</v>
      </c>
      <c r="AT17" s="1059">
        <f>IFERROR(IF(AT4&lt;Inputs!$E$37,0,IF(AT4&gt;=EDATE(Inputs!$E$26,Inputs!$E$27*12),0,(Inputs!$E$33*(1+Inputs!$E$35)^INT(DATEDIF(Inputs!$E$37,AT4,"m")/12))/12)),0)*AT16</f>
        <v>35319.374999999993</v>
      </c>
      <c r="AU17" s="1059">
        <f>IFERROR(IF(AU4&lt;Inputs!$E$37,0,IF(AU4&gt;=EDATE(Inputs!$E$26,Inputs!$E$27*12),0,(Inputs!$E$33*(1+Inputs!$E$35)^INT(DATEDIF(Inputs!$E$37,AU4,"m")/12))/12)),0)*AU16</f>
        <v>35319.374999999993</v>
      </c>
      <c r="AV17" s="1059">
        <f>IFERROR(IF(AV4&lt;Inputs!$E$37,0,IF(AV4&gt;=EDATE(Inputs!$E$26,Inputs!$E$27*12),0,(Inputs!$E$33*(1+Inputs!$E$35)^INT(DATEDIF(Inputs!$E$37,AV4,"m")/12))/12)),0)*AV16</f>
        <v>35319.374999999993</v>
      </c>
      <c r="AW17" s="1059">
        <f>IFERROR(IF(AW4&lt;Inputs!$E$37,0,IF(AW4&gt;=EDATE(Inputs!$E$26,Inputs!$E$27*12),0,(Inputs!$E$33*(1+Inputs!$E$35)^INT(DATEDIF(Inputs!$E$37,AW4,"m")/12))/12)),0)*AW16</f>
        <v>35319.374999999993</v>
      </c>
      <c r="AX17" s="1059">
        <f>IFERROR(IF(AX4&lt;Inputs!$E$37,0,IF(AX4&gt;=EDATE(Inputs!$E$26,Inputs!$E$27*12),0,(Inputs!$E$33*(1+Inputs!$E$35)^INT(DATEDIF(Inputs!$E$37,AX4,"m")/12))/12)),0)*AX16</f>
        <v>35319.374999999993</v>
      </c>
      <c r="AY17" s="1059">
        <f>IFERROR(IF(AY4&lt;Inputs!$E$37,0,IF(AY4&gt;=EDATE(Inputs!$E$26,Inputs!$E$27*12),0,(Inputs!$E$33*(1+Inputs!$E$35)^INT(DATEDIF(Inputs!$E$37,AY4,"m")/12))/12)),0)*AY16</f>
        <v>35319.374999999993</v>
      </c>
      <c r="AZ17" s="1059">
        <f>IFERROR(IF(AZ4&lt;Inputs!$E$37,0,IF(AZ4&gt;=EDATE(Inputs!$E$26,Inputs!$E$27*12),0,(Inputs!$E$33*(1+Inputs!$E$35)^INT(DATEDIF(Inputs!$E$37,AZ4,"m")/12))/12)),0)*AZ16</f>
        <v>35319.374999999993</v>
      </c>
      <c r="BA17" s="1059">
        <f>IFERROR(IF(BA4&lt;Inputs!$E$37,0,IF(BA4&gt;=EDATE(Inputs!$E$26,Inputs!$E$27*12),0,(Inputs!$E$33*(1+Inputs!$E$35)^INT(DATEDIF(Inputs!$E$37,BA4,"m")/12))/12)),0)*BA16</f>
        <v>35319.374999999993</v>
      </c>
      <c r="BB17" s="1059">
        <f>IFERROR(IF(BB4&lt;Inputs!$E$37,0,IF(BB4&gt;=EDATE(Inputs!$E$26,Inputs!$E$27*12),0,(Inputs!$E$33*(1+Inputs!$E$35)^INT(DATEDIF(Inputs!$E$37,BB4,"m")/12))/12)),0)*BB16</f>
        <v>35319.374999999993</v>
      </c>
      <c r="BC17" s="1059">
        <f>IFERROR(IF(BC4&lt;Inputs!$E$37,0,IF(BC4&gt;=EDATE(Inputs!$E$26,Inputs!$E$27*12),0,(Inputs!$E$33*(1+Inputs!$E$35)^INT(DATEDIF(Inputs!$E$37,BC4,"m")/12))/12)),0)*BC16</f>
        <v>35319.374999999993</v>
      </c>
      <c r="BD17" s="1059">
        <f>IFERROR(IF(BD4&lt;Inputs!$E$37,0,IF(BD4&gt;=EDATE(Inputs!$E$26,Inputs!$E$27*12),0,(Inputs!$E$33*(1+Inputs!$E$35)^INT(DATEDIF(Inputs!$E$37,BD4,"m")/12))/12)),0)*BD16</f>
        <v>35319.374999999993</v>
      </c>
      <c r="BE17" s="1059">
        <f>IFERROR(IF(BE4&lt;Inputs!$E$37,0,IF(BE4&gt;=EDATE(Inputs!$E$26,Inputs!$E$27*12),0,(Inputs!$E$33*(1+Inputs!$E$35)^INT(DATEDIF(Inputs!$E$37,BE4,"m")/12))/12)),0)*BE16</f>
        <v>36555.553124999999</v>
      </c>
      <c r="BF17" s="1059">
        <f>IFERROR(IF(BF4&lt;Inputs!$E$37,0,IF(BF4&gt;=EDATE(Inputs!$E$26,Inputs!$E$27*12),0,(Inputs!$E$33*(1+Inputs!$E$35)^INT(DATEDIF(Inputs!$E$37,BF4,"m")/12))/12)),0)*BF16</f>
        <v>36555.553124999999</v>
      </c>
      <c r="BG17" s="1059">
        <f>IFERROR(IF(BG4&lt;Inputs!$E$37,0,IF(BG4&gt;=EDATE(Inputs!$E$26,Inputs!$E$27*12),0,(Inputs!$E$33*(1+Inputs!$E$35)^INT(DATEDIF(Inputs!$E$37,BG4,"m")/12))/12)),0)*BG16</f>
        <v>36555.553124999999</v>
      </c>
      <c r="BH17" s="1059">
        <f>IFERROR(IF(BH4&lt;Inputs!$E$37,0,IF(BH4&gt;=EDATE(Inputs!$E$26,Inputs!$E$27*12),0,(Inputs!$E$33*(1+Inputs!$E$35)^INT(DATEDIF(Inputs!$E$37,BH4,"m")/12))/12)),0)*BH16</f>
        <v>36555.553124999999</v>
      </c>
      <c r="BI17" s="1059">
        <f>IFERROR(IF(BI4&lt;Inputs!$E$37,0,IF(BI4&gt;=EDATE(Inputs!$E$26,Inputs!$E$27*12),0,(Inputs!$E$33*(1+Inputs!$E$35)^INT(DATEDIF(Inputs!$E$37,BI4,"m")/12))/12)),0)*BI16</f>
        <v>36555.553124999999</v>
      </c>
      <c r="BJ17" s="1059">
        <f>IFERROR(IF(BJ4&lt;Inputs!$E$37,0,IF(BJ4&gt;=EDATE(Inputs!$E$26,Inputs!$E$27*12),0,(Inputs!$E$33*(1+Inputs!$E$35)^INT(DATEDIF(Inputs!$E$37,BJ4,"m")/12))/12)),0)*BJ16</f>
        <v>36555.553124999999</v>
      </c>
      <c r="BK17" s="1059">
        <f>IFERROR(IF(BK4&lt;Inputs!$E$37,0,IF(BK4&gt;=EDATE(Inputs!$E$26,Inputs!$E$27*12),0,(Inputs!$E$33*(1+Inputs!$E$35)^INT(DATEDIF(Inputs!$E$37,BK4,"m")/12))/12)),0)*BK16</f>
        <v>36555.553124999999</v>
      </c>
      <c r="BL17" s="1059">
        <f>IFERROR(IF(BL4&lt;Inputs!$E$37,0,IF(BL4&gt;=EDATE(Inputs!$E$26,Inputs!$E$27*12),0,(Inputs!$E$33*(1+Inputs!$E$35)^INT(DATEDIF(Inputs!$E$37,BL4,"m")/12))/12)),0)*BL16</f>
        <v>36555.553124999999</v>
      </c>
      <c r="BM17" s="1059">
        <f>IFERROR(IF(BM4&lt;Inputs!$E$37,0,IF(BM4&gt;=EDATE(Inputs!$E$26,Inputs!$E$27*12),0,(Inputs!$E$33*(1+Inputs!$E$35)^INT(DATEDIF(Inputs!$E$37,BM4,"m")/12))/12)),0)*BM16</f>
        <v>36555.553124999999</v>
      </c>
      <c r="BN17" s="1059">
        <f>IFERROR(IF(BN4&lt;Inputs!$E$37,0,IF(BN4&gt;=EDATE(Inputs!$E$26,Inputs!$E$27*12),0,(Inputs!$E$33*(1+Inputs!$E$35)^INT(DATEDIF(Inputs!$E$37,BN4,"m")/12))/12)),0)*BN16</f>
        <v>36555.553124999999</v>
      </c>
      <c r="BO17" s="1059">
        <f>IFERROR(IF(BO4&lt;Inputs!$E$37,0,IF(BO4&gt;=EDATE(Inputs!$E$26,Inputs!$E$27*12),0,(Inputs!$E$33*(1+Inputs!$E$35)^INT(DATEDIF(Inputs!$E$37,BO4,"m")/12))/12)),0)*BO16</f>
        <v>36555.553124999999</v>
      </c>
      <c r="BP17" s="1059">
        <f>IFERROR(IF(BP4&lt;Inputs!$E$37,0,IF(BP4&gt;=EDATE(Inputs!$E$26,Inputs!$E$27*12),0,(Inputs!$E$33*(1+Inputs!$E$35)^INT(DATEDIF(Inputs!$E$37,BP4,"m")/12))/12)),0)*BP16</f>
        <v>36555.553124999999</v>
      </c>
      <c r="BQ17" s="1059">
        <f>IFERROR(IF(BQ4&lt;Inputs!$E$37,0,IF(BQ4&gt;=EDATE(Inputs!$E$26,Inputs!$E$27*12),0,(Inputs!$E$33*(1+Inputs!$E$35)^INT(DATEDIF(Inputs!$E$37,BQ4,"m")/12))/12)),0)*BQ16</f>
        <v>37834.997484374988</v>
      </c>
      <c r="BR17" s="1059">
        <f>IFERROR(IF(BR4&lt;Inputs!$E$37,0,IF(BR4&gt;=EDATE(Inputs!$E$26,Inputs!$E$27*12),0,(Inputs!$E$33*(1+Inputs!$E$35)^INT(DATEDIF(Inputs!$E$37,BR4,"m")/12))/12)),0)*BR16</f>
        <v>37834.997484374988</v>
      </c>
      <c r="BS17" s="1059">
        <f>IFERROR(IF(BS4&lt;Inputs!$E$37,0,IF(BS4&gt;=EDATE(Inputs!$E$26,Inputs!$E$27*12),0,(Inputs!$E$33*(1+Inputs!$E$35)^INT(DATEDIF(Inputs!$E$37,BS4,"m")/12))/12)),0)*BS16</f>
        <v>37834.997484374988</v>
      </c>
      <c r="BT17" s="1059">
        <f>IFERROR(IF(BT4&lt;Inputs!$E$37,0,IF(BT4&gt;=EDATE(Inputs!$E$26,Inputs!$E$27*12),0,(Inputs!$E$33*(1+Inputs!$E$35)^INT(DATEDIF(Inputs!$E$37,BT4,"m")/12))/12)),0)*BT16</f>
        <v>37834.997484374988</v>
      </c>
      <c r="BU17" s="1059">
        <f>IFERROR(IF(BU4&lt;Inputs!$E$37,0,IF(BU4&gt;=EDATE(Inputs!$E$26,Inputs!$E$27*12),0,(Inputs!$E$33*(1+Inputs!$E$35)^INT(DATEDIF(Inputs!$E$37,BU4,"m")/12))/12)),0)*BU16</f>
        <v>37834.997484374988</v>
      </c>
      <c r="BV17" s="1059">
        <f>IFERROR(IF(BV4&lt;Inputs!$E$37,0,IF(BV4&gt;=EDATE(Inputs!$E$26,Inputs!$E$27*12),0,(Inputs!$E$33*(1+Inputs!$E$35)^INT(DATEDIF(Inputs!$E$37,BV4,"m")/12))/12)),0)*BV16</f>
        <v>37834.997484374988</v>
      </c>
      <c r="BW17" s="1059">
        <f>IFERROR(IF(BW4&lt;Inputs!$E$37,0,IF(BW4&gt;=EDATE(Inputs!$E$26,Inputs!$E$27*12),0,(Inputs!$E$33*(1+Inputs!$E$35)^INT(DATEDIF(Inputs!$E$37,BW4,"m")/12))/12)),0)*BW16</f>
        <v>37834.997484374988</v>
      </c>
      <c r="BX17" s="1059">
        <f>IFERROR(IF(BX4&lt;Inputs!$E$37,0,IF(BX4&gt;=EDATE(Inputs!$E$26,Inputs!$E$27*12),0,(Inputs!$E$33*(1+Inputs!$E$35)^INT(DATEDIF(Inputs!$E$37,BX4,"m")/12))/12)),0)*BX16</f>
        <v>37834.997484374988</v>
      </c>
      <c r="BY17" s="1059">
        <f>IFERROR(IF(BY4&lt;Inputs!$E$37,0,IF(BY4&gt;=EDATE(Inputs!$E$26,Inputs!$E$27*12),0,(Inputs!$E$33*(1+Inputs!$E$35)^INT(DATEDIF(Inputs!$E$37,BY4,"m")/12))/12)),0)*BY16</f>
        <v>37834.997484374988</v>
      </c>
      <c r="BZ17" s="1059">
        <f>IFERROR(IF(BZ4&lt;Inputs!$E$37,0,IF(BZ4&gt;=EDATE(Inputs!$E$26,Inputs!$E$27*12),0,(Inputs!$E$33*(1+Inputs!$E$35)^INT(DATEDIF(Inputs!$E$37,BZ4,"m")/12))/12)),0)*BZ16</f>
        <v>37834.997484374988</v>
      </c>
      <c r="CA17" s="1059">
        <f>IFERROR(IF(CA4&lt;Inputs!$E$37,0,IF(CA4&gt;=EDATE(Inputs!$E$26,Inputs!$E$27*12),0,(Inputs!$E$33*(1+Inputs!$E$35)^INT(DATEDIF(Inputs!$E$37,CA4,"m")/12))/12)),0)*CA16</f>
        <v>37834.997484374988</v>
      </c>
      <c r="CB17" s="1059">
        <f>IFERROR(IF(CB4&lt;Inputs!$E$37,0,IF(CB4&gt;=EDATE(Inputs!$E$26,Inputs!$E$27*12),0,(Inputs!$E$33*(1+Inputs!$E$35)^INT(DATEDIF(Inputs!$E$37,CB4,"m")/12))/12)),0)*CB16</f>
        <v>37834.997484374988</v>
      </c>
      <c r="CC17" s="1059">
        <f>IFERROR(IF(CC4&lt;Inputs!$E$37,0,IF(CC4&gt;=EDATE(Inputs!$E$26,Inputs!$E$27*12),0,(Inputs!$E$33*(1+Inputs!$E$35)^INT(DATEDIF(Inputs!$E$37,CC4,"m")/12))/12)),0)*CC16</f>
        <v>78318.444792656228</v>
      </c>
      <c r="CD17" s="1059">
        <f>IFERROR(IF(CD4&lt;Inputs!$E$37,0,IF(CD4&gt;=EDATE(Inputs!$E$26,Inputs!$E$27*12),0,(Inputs!$E$33*(1+Inputs!$E$35)^INT(DATEDIF(Inputs!$E$37,CD4,"m")/12))/12)),0)*CD16</f>
        <v>78318.444792656228</v>
      </c>
      <c r="CE17" s="1059">
        <f>IFERROR(IF(CE4&lt;Inputs!$E$37,0,IF(CE4&gt;=EDATE(Inputs!$E$26,Inputs!$E$27*12),0,(Inputs!$E$33*(1+Inputs!$E$35)^INT(DATEDIF(Inputs!$E$37,CE4,"m")/12))/12)),0)*CE16</f>
        <v>78318.444792656228</v>
      </c>
      <c r="CF17" s="1059">
        <f>IFERROR(IF(CF4&lt;Inputs!$E$37,0,IF(CF4&gt;=EDATE(Inputs!$E$26,Inputs!$E$27*12),0,(Inputs!$E$33*(1+Inputs!$E$35)^INT(DATEDIF(Inputs!$E$37,CF4,"m")/12))/12)),0)*CF16</f>
        <v>78318.444792656228</v>
      </c>
      <c r="CG17" s="1059">
        <f>IFERROR(IF(CG4&lt;Inputs!$E$37,0,IF(CG4&gt;=EDATE(Inputs!$E$26,Inputs!$E$27*12),0,(Inputs!$E$33*(1+Inputs!$E$35)^INT(DATEDIF(Inputs!$E$37,CG4,"m")/12))/12)),0)*CG16</f>
        <v>78318.444792656228</v>
      </c>
      <c r="CH17" s="1059">
        <f>IFERROR(IF(CH4&lt;Inputs!$E$37,0,IF(CH4&gt;=EDATE(Inputs!$E$26,Inputs!$E$27*12),0,(Inputs!$E$33*(1+Inputs!$E$35)^INT(DATEDIF(Inputs!$E$37,CH4,"m")/12))/12)),0)*CH16</f>
        <v>78318.444792656228</v>
      </c>
      <c r="CI17" s="1059">
        <f>IFERROR(IF(CI4&lt;Inputs!$E$37,0,IF(CI4&gt;=EDATE(Inputs!$E$26,Inputs!$E$27*12),0,(Inputs!$E$33*(1+Inputs!$E$35)^INT(DATEDIF(Inputs!$E$37,CI4,"m")/12))/12)),0)*CI16</f>
        <v>78318.444792656228</v>
      </c>
      <c r="CJ17" s="1059">
        <f>IFERROR(IF(CJ4&lt;Inputs!$E$37,0,IF(CJ4&gt;=EDATE(Inputs!$E$26,Inputs!$E$27*12),0,(Inputs!$E$33*(1+Inputs!$E$35)^INT(DATEDIF(Inputs!$E$37,CJ4,"m")/12))/12)),0)*CJ16</f>
        <v>78318.444792656228</v>
      </c>
      <c r="CK17" s="1059">
        <f>IFERROR(IF(CK4&lt;Inputs!$E$37,0,IF(CK4&gt;=EDATE(Inputs!$E$26,Inputs!$E$27*12),0,(Inputs!$E$33*(1+Inputs!$E$35)^INT(DATEDIF(Inputs!$E$37,CK4,"m")/12))/12)),0)*CK16</f>
        <v>78318.444792656228</v>
      </c>
      <c r="CL17" s="1059">
        <f>IFERROR(IF(CL4&lt;Inputs!$E$37,0,IF(CL4&gt;=EDATE(Inputs!$E$26,Inputs!$E$27*12),0,(Inputs!$E$33*(1+Inputs!$E$35)^INT(DATEDIF(Inputs!$E$37,CL4,"m")/12))/12)),0)*CL16</f>
        <v>78318.444792656228</v>
      </c>
      <c r="CM17" s="1059">
        <f>IFERROR(IF(CM4&lt;Inputs!$E$37,0,IF(CM4&gt;=EDATE(Inputs!$E$26,Inputs!$E$27*12),0,(Inputs!$E$33*(1+Inputs!$E$35)^INT(DATEDIF(Inputs!$E$37,CM4,"m")/12))/12)),0)*CM16</f>
        <v>78318.444792656228</v>
      </c>
      <c r="CN17" s="1059">
        <f>IFERROR(IF(CN4&lt;Inputs!$E$37,0,IF(CN4&gt;=EDATE(Inputs!$E$26,Inputs!$E$27*12),0,(Inputs!$E$33*(1+Inputs!$E$35)^INT(DATEDIF(Inputs!$E$37,CN4,"m")/12))/12)),0)*CN16</f>
        <v>78318.444792656228</v>
      </c>
      <c r="CO17" s="1059">
        <f>IFERROR(IF(CO4&lt;Inputs!$E$37,0,IF(CO4&gt;=EDATE(Inputs!$E$26,Inputs!$E$27*12),0,(Inputs!$E$33*(1+Inputs!$E$35)^INT(DATEDIF(Inputs!$E$37,CO4,"m")/12))/12)),0)*CO16</f>
        <v>81059.590360399176</v>
      </c>
      <c r="CP17" s="1059">
        <f>IFERROR(IF(CP4&lt;Inputs!$E$37,0,IF(CP4&gt;=EDATE(Inputs!$E$26,Inputs!$E$27*12),0,(Inputs!$E$33*(1+Inputs!$E$35)^INT(DATEDIF(Inputs!$E$37,CP4,"m")/12))/12)),0)*CP16</f>
        <v>81059.590360399176</v>
      </c>
      <c r="CQ17" s="1059">
        <f>IFERROR(IF(CQ4&lt;Inputs!$E$37,0,IF(CQ4&gt;=EDATE(Inputs!$E$26,Inputs!$E$27*12),0,(Inputs!$E$33*(1+Inputs!$E$35)^INT(DATEDIF(Inputs!$E$37,CQ4,"m")/12))/12)),0)*CQ16</f>
        <v>81059.590360399176</v>
      </c>
      <c r="CR17" s="1059">
        <f>IFERROR(IF(CR4&lt;Inputs!$E$37,0,IF(CR4&gt;=EDATE(Inputs!$E$26,Inputs!$E$27*12),0,(Inputs!$E$33*(1+Inputs!$E$35)^INT(DATEDIF(Inputs!$E$37,CR4,"m")/12))/12)),0)*CR16</f>
        <v>81059.590360399176</v>
      </c>
      <c r="CS17" s="1059">
        <f>IFERROR(IF(CS4&lt;Inputs!$E$37,0,IF(CS4&gt;=EDATE(Inputs!$E$26,Inputs!$E$27*12),0,(Inputs!$E$33*(1+Inputs!$E$35)^INT(DATEDIF(Inputs!$E$37,CS4,"m")/12))/12)),0)*CS16</f>
        <v>81059.590360399176</v>
      </c>
      <c r="CT17" s="1059">
        <f>IFERROR(IF(CT4&lt;Inputs!$E$37,0,IF(CT4&gt;=EDATE(Inputs!$E$26,Inputs!$E$27*12),0,(Inputs!$E$33*(1+Inputs!$E$35)^INT(DATEDIF(Inputs!$E$37,CT4,"m")/12))/12)),0)*CT16</f>
        <v>81059.590360399176</v>
      </c>
      <c r="CU17" s="1059">
        <f>IFERROR(IF(CU4&lt;Inputs!$E$37,0,IF(CU4&gt;=EDATE(Inputs!$E$26,Inputs!$E$27*12),0,(Inputs!$E$33*(1+Inputs!$E$35)^INT(DATEDIF(Inputs!$E$37,CU4,"m")/12))/12)),0)*CU16</f>
        <v>81059.590360399176</v>
      </c>
      <c r="CV17" s="1059">
        <f>IFERROR(IF(CV4&lt;Inputs!$E$37,0,IF(CV4&gt;=EDATE(Inputs!$E$26,Inputs!$E$27*12),0,(Inputs!$E$33*(1+Inputs!$E$35)^INT(DATEDIF(Inputs!$E$37,CV4,"m")/12))/12)),0)*CV16</f>
        <v>81059.590360399176</v>
      </c>
      <c r="CW17" s="1059">
        <f>IFERROR(IF(CW4&lt;Inputs!$E$37,0,IF(CW4&gt;=EDATE(Inputs!$E$26,Inputs!$E$27*12),0,(Inputs!$E$33*(1+Inputs!$E$35)^INT(DATEDIF(Inputs!$E$37,CW4,"m")/12))/12)),0)*CW16</f>
        <v>81059.590360399176</v>
      </c>
      <c r="CX17" s="1059">
        <f>IFERROR(IF(CX4&lt;Inputs!$E$37,0,IF(CX4&gt;=EDATE(Inputs!$E$26,Inputs!$E$27*12),0,(Inputs!$E$33*(1+Inputs!$E$35)^INT(DATEDIF(Inputs!$E$37,CX4,"m")/12))/12)),0)*CX16</f>
        <v>81059.590360399176</v>
      </c>
      <c r="CY17" s="1059">
        <f>IFERROR(IF(CY4&lt;Inputs!$E$37,0,IF(CY4&gt;=EDATE(Inputs!$E$26,Inputs!$E$27*12),0,(Inputs!$E$33*(1+Inputs!$E$35)^INT(DATEDIF(Inputs!$E$37,CY4,"m")/12))/12)),0)*CY16</f>
        <v>81059.590360399176</v>
      </c>
      <c r="CZ17" s="1059">
        <f>IFERROR(IF(CZ4&lt;Inputs!$E$37,0,IF(CZ4&gt;=EDATE(Inputs!$E$26,Inputs!$E$27*12),0,(Inputs!$E$33*(1+Inputs!$E$35)^INT(DATEDIF(Inputs!$E$37,CZ4,"m")/12))/12)),0)*CZ16</f>
        <v>81059.590360399176</v>
      </c>
      <c r="DA17" s="1059">
        <f>IFERROR(IF(DA4&lt;Inputs!$E$37,0,IF(DA4&gt;=EDATE(Inputs!$E$26,Inputs!$E$27*12),0,(Inputs!$E$33*(1+Inputs!$E$35)^INT(DATEDIF(Inputs!$E$37,DA4,"m")/12))/12)),0)*DA16</f>
        <v>83896.676023013162</v>
      </c>
      <c r="DB17" s="1059">
        <f>IFERROR(IF(DB4&lt;Inputs!$E$37,0,IF(DB4&gt;=EDATE(Inputs!$E$26,Inputs!$E$27*12),0,(Inputs!$E$33*(1+Inputs!$E$35)^INT(DATEDIF(Inputs!$E$37,DB4,"m")/12))/12)),0)*DB16</f>
        <v>83896.676023013162</v>
      </c>
      <c r="DC17" s="1059">
        <f>IFERROR(IF(DC4&lt;Inputs!$E$37,0,IF(DC4&gt;=EDATE(Inputs!$E$26,Inputs!$E$27*12),0,(Inputs!$E$33*(1+Inputs!$E$35)^INT(DATEDIF(Inputs!$E$37,DC4,"m")/12))/12)),0)*DC16</f>
        <v>83896.676023013162</v>
      </c>
      <c r="DD17" s="1059">
        <f>IFERROR(IF(DD4&lt;Inputs!$E$37,0,IF(DD4&gt;=EDATE(Inputs!$E$26,Inputs!$E$27*12),0,(Inputs!$E$33*(1+Inputs!$E$35)^INT(DATEDIF(Inputs!$E$37,DD4,"m")/12))/12)),0)*DD16</f>
        <v>83896.676023013162</v>
      </c>
      <c r="DE17" s="1059">
        <f>IFERROR(IF(DE4&lt;Inputs!$E$37,0,IF(DE4&gt;=EDATE(Inputs!$E$26,Inputs!$E$27*12),0,(Inputs!$E$33*(1+Inputs!$E$35)^INT(DATEDIF(Inputs!$E$37,DE4,"m")/12))/12)),0)*DE16</f>
        <v>83896.676023013162</v>
      </c>
      <c r="DF17" s="1059">
        <f>IFERROR(IF(DF4&lt;Inputs!$E$37,0,IF(DF4&gt;=EDATE(Inputs!$E$26,Inputs!$E$27*12),0,(Inputs!$E$33*(1+Inputs!$E$35)^INT(DATEDIF(Inputs!$E$37,DF4,"m")/12))/12)),0)*DF16</f>
        <v>83896.676023013162</v>
      </c>
      <c r="DG17" s="1059">
        <f>IFERROR(IF(DG4&lt;Inputs!$E$37,0,IF(DG4&gt;=EDATE(Inputs!$E$26,Inputs!$E$27*12),0,(Inputs!$E$33*(1+Inputs!$E$35)^INT(DATEDIF(Inputs!$E$37,DG4,"m")/12))/12)),0)*DG16</f>
        <v>83896.676023013162</v>
      </c>
      <c r="DH17" s="1059">
        <f>IFERROR(IF(DH4&lt;Inputs!$E$37,0,IF(DH4&gt;=EDATE(Inputs!$E$26,Inputs!$E$27*12),0,(Inputs!$E$33*(1+Inputs!$E$35)^INT(DATEDIF(Inputs!$E$37,DH4,"m")/12))/12)),0)*DH16</f>
        <v>83896.676023013162</v>
      </c>
      <c r="DI17" s="1059">
        <f>IFERROR(IF(DI4&lt;Inputs!$E$37,0,IF(DI4&gt;=EDATE(Inputs!$E$26,Inputs!$E$27*12),0,(Inputs!$E$33*(1+Inputs!$E$35)^INT(DATEDIF(Inputs!$E$37,DI4,"m")/12))/12)),0)*DI16</f>
        <v>83896.676023013162</v>
      </c>
      <c r="DJ17" s="1059">
        <f>IFERROR(IF(DJ4&lt;Inputs!$E$37,0,IF(DJ4&gt;=EDATE(Inputs!$E$26,Inputs!$E$27*12),0,(Inputs!$E$33*(1+Inputs!$E$35)^INT(DATEDIF(Inputs!$E$37,DJ4,"m")/12))/12)),0)*DJ16</f>
        <v>83896.676023013162</v>
      </c>
      <c r="DK17" s="1059">
        <f>IFERROR(IF(DK4&lt;Inputs!$E$37,0,IF(DK4&gt;=EDATE(Inputs!$E$26,Inputs!$E$27*12),0,(Inputs!$E$33*(1+Inputs!$E$35)^INT(DATEDIF(Inputs!$E$37,DK4,"m")/12))/12)),0)*DK16</f>
        <v>83896.676023013162</v>
      </c>
      <c r="DL17" s="1059">
        <f>IFERROR(IF(DL4&lt;Inputs!$E$37,0,IF(DL4&gt;=EDATE(Inputs!$E$26,Inputs!$E$27*12),0,(Inputs!$E$33*(1+Inputs!$E$35)^INT(DATEDIF(Inputs!$E$37,DL4,"m")/12))/12)),0)*DL16</f>
        <v>83896.676023013162</v>
      </c>
      <c r="DM17" s="1059">
        <f>IFERROR(IF(DM4&lt;Inputs!$E$37,0,IF(DM4&gt;=EDATE(Inputs!$E$26,Inputs!$E$27*12),0,(Inputs!$E$33*(1+Inputs!$E$35)^INT(DATEDIF(Inputs!$E$37,DM4,"m")/12))/12)),0)*DM16</f>
        <v>86833.059683818617</v>
      </c>
      <c r="DN17" s="1059">
        <f>IFERROR(IF(DN4&lt;Inputs!$E$37,0,IF(DN4&gt;=EDATE(Inputs!$E$26,Inputs!$E$27*12),0,(Inputs!$E$33*(1+Inputs!$E$35)^INT(DATEDIF(Inputs!$E$37,DN4,"m")/12))/12)),0)*DN16</f>
        <v>86833.059683818617</v>
      </c>
      <c r="DO17" s="1059">
        <f>IFERROR(IF(DO4&lt;Inputs!$E$37,0,IF(DO4&gt;=EDATE(Inputs!$E$26,Inputs!$E$27*12),0,(Inputs!$E$33*(1+Inputs!$E$35)^INT(DATEDIF(Inputs!$E$37,DO4,"m")/12))/12)),0)*DO16</f>
        <v>86833.059683818617</v>
      </c>
      <c r="DP17" s="1059">
        <f>IFERROR(IF(DP4&lt;Inputs!$E$37,0,IF(DP4&gt;=EDATE(Inputs!$E$26,Inputs!$E$27*12),0,(Inputs!$E$33*(1+Inputs!$E$35)^INT(DATEDIF(Inputs!$E$37,DP4,"m")/12))/12)),0)*DP16</f>
        <v>86833.059683818617</v>
      </c>
      <c r="DQ17" s="1059">
        <f>IFERROR(IF(DQ4&lt;Inputs!$E$37,0,IF(DQ4&gt;=EDATE(Inputs!$E$26,Inputs!$E$27*12),0,(Inputs!$E$33*(1+Inputs!$E$35)^INT(DATEDIF(Inputs!$E$37,DQ4,"m")/12))/12)),0)*DQ16</f>
        <v>86833.059683818617</v>
      </c>
      <c r="DR17" s="1059">
        <f>IFERROR(IF(DR4&lt;Inputs!$E$37,0,IF(DR4&gt;=EDATE(Inputs!$E$26,Inputs!$E$27*12),0,(Inputs!$E$33*(1+Inputs!$E$35)^INT(DATEDIF(Inputs!$E$37,DR4,"m")/12))/12)),0)*DR16</f>
        <v>86833.059683818617</v>
      </c>
      <c r="DS17" s="1059">
        <f>IFERROR(IF(DS4&lt;Inputs!$E$37,0,IF(DS4&gt;=EDATE(Inputs!$E$26,Inputs!$E$27*12),0,(Inputs!$E$33*(1+Inputs!$E$35)^INT(DATEDIF(Inputs!$E$37,DS4,"m")/12))/12)),0)*DS16</f>
        <v>86833.059683818617</v>
      </c>
      <c r="DT17" s="1059">
        <f>IFERROR(IF(DT4&lt;Inputs!$E$37,0,IF(DT4&gt;=EDATE(Inputs!$E$26,Inputs!$E$27*12),0,(Inputs!$E$33*(1+Inputs!$E$35)^INT(DATEDIF(Inputs!$E$37,DT4,"m")/12))/12)),0)*DT16</f>
        <v>86833.059683818617</v>
      </c>
      <c r="DU17" s="1059">
        <f>IFERROR(IF(DU4&lt;Inputs!$E$37,0,IF(DU4&gt;=EDATE(Inputs!$E$26,Inputs!$E$27*12),0,(Inputs!$E$33*(1+Inputs!$E$35)^INT(DATEDIF(Inputs!$E$37,DU4,"m")/12))/12)),0)*DU16</f>
        <v>86833.059683818617</v>
      </c>
      <c r="DV17" s="1059">
        <f>IFERROR(IF(DV4&lt;Inputs!$E$37,0,IF(DV4&gt;=EDATE(Inputs!$E$26,Inputs!$E$27*12),0,(Inputs!$E$33*(1+Inputs!$E$35)^INT(DATEDIF(Inputs!$E$37,DV4,"m")/12))/12)),0)*DV16</f>
        <v>86833.059683818617</v>
      </c>
      <c r="DW17" s="1059">
        <f>IFERROR(IF(DW4&lt;Inputs!$E$37,0,IF(DW4&gt;=EDATE(Inputs!$E$26,Inputs!$E$27*12),0,(Inputs!$E$33*(1+Inputs!$E$35)^INT(DATEDIF(Inputs!$E$37,DW4,"m")/12))/12)),0)*DW16</f>
        <v>86833.059683818617</v>
      </c>
      <c r="DX17" s="1059">
        <f>IFERROR(IF(DX4&lt;Inputs!$E$37,0,IF(DX4&gt;=EDATE(Inputs!$E$26,Inputs!$E$27*12),0,(Inputs!$E$33*(1+Inputs!$E$35)^INT(DATEDIF(Inputs!$E$37,DX4,"m")/12))/12)),0)*DX16</f>
        <v>86833.059683818617</v>
      </c>
      <c r="DY17" s="1059">
        <f>IFERROR(IF(DY4&lt;Inputs!$E$37,0,IF(DY4&gt;=EDATE(Inputs!$E$26,Inputs!$E$27*12),0,(Inputs!$E$33*(1+Inputs!$E$35)^INT(DATEDIF(Inputs!$E$37,DY4,"m")/12))/12)),0)*DY16</f>
        <v>89872.216772752246</v>
      </c>
      <c r="DZ17" s="1059">
        <f>IFERROR(IF(DZ4&lt;Inputs!$E$37,0,IF(DZ4&gt;=EDATE(Inputs!$E$26,Inputs!$E$27*12),0,(Inputs!$E$33*(1+Inputs!$E$35)^INT(DATEDIF(Inputs!$E$37,DZ4,"m")/12))/12)),0)*DZ16</f>
        <v>89872.216772752246</v>
      </c>
      <c r="EA17" s="1059">
        <f>IFERROR(IF(EA4&lt;Inputs!$E$37,0,IF(EA4&gt;=EDATE(Inputs!$E$26,Inputs!$E$27*12),0,(Inputs!$E$33*(1+Inputs!$E$35)^INT(DATEDIF(Inputs!$E$37,EA4,"m")/12))/12)),0)*EA16</f>
        <v>89872.216772752246</v>
      </c>
      <c r="EB17" s="1059">
        <f>IFERROR(IF(EB4&lt;Inputs!$E$37,0,IF(EB4&gt;=EDATE(Inputs!$E$26,Inputs!$E$27*12),0,(Inputs!$E$33*(1+Inputs!$E$35)^INT(DATEDIF(Inputs!$E$37,EB4,"m")/12))/12)),0)*EB16</f>
        <v>89872.216772752246</v>
      </c>
      <c r="EC17" s="1059">
        <f>IFERROR(IF(EC4&lt;Inputs!$E$37,0,IF(EC4&gt;=EDATE(Inputs!$E$26,Inputs!$E$27*12),0,(Inputs!$E$33*(1+Inputs!$E$35)^INT(DATEDIF(Inputs!$E$37,EC4,"m")/12))/12)),0)*EC16</f>
        <v>89872.216772752246</v>
      </c>
      <c r="ED17" s="1059">
        <f>IFERROR(IF(ED4&lt;Inputs!$E$37,0,IF(ED4&gt;=EDATE(Inputs!$E$26,Inputs!$E$27*12),0,(Inputs!$E$33*(1+Inputs!$E$35)^INT(DATEDIF(Inputs!$E$37,ED4,"m")/12))/12)),0)*ED16</f>
        <v>89872.216772752246</v>
      </c>
      <c r="EE17" s="1059">
        <f>IFERROR(IF(EE4&lt;Inputs!$E$37,0,IF(EE4&gt;=EDATE(Inputs!$E$26,Inputs!$E$27*12),0,(Inputs!$E$33*(1+Inputs!$E$35)^INT(DATEDIF(Inputs!$E$37,EE4,"m")/12))/12)),0)*EE16</f>
        <v>89872.216772752246</v>
      </c>
      <c r="EF17" s="1059">
        <f>IFERROR(IF(EF4&lt;Inputs!$E$37,0,IF(EF4&gt;=EDATE(Inputs!$E$26,Inputs!$E$27*12),0,(Inputs!$E$33*(1+Inputs!$E$35)^INT(DATEDIF(Inputs!$E$37,EF4,"m")/12))/12)),0)*EF16</f>
        <v>89872.216772752246</v>
      </c>
      <c r="EG17" s="1059">
        <f>IFERROR(IF(EG4&lt;Inputs!$E$37,0,IF(EG4&gt;=EDATE(Inputs!$E$26,Inputs!$E$27*12),0,(Inputs!$E$33*(1+Inputs!$E$35)^INT(DATEDIF(Inputs!$E$37,EG4,"m")/12))/12)),0)*EG16</f>
        <v>89872.216772752246</v>
      </c>
      <c r="EH17" s="1059">
        <f>IFERROR(IF(EH4&lt;Inputs!$E$37,0,IF(EH4&gt;=EDATE(Inputs!$E$26,Inputs!$E$27*12),0,(Inputs!$E$33*(1+Inputs!$E$35)^INT(DATEDIF(Inputs!$E$37,EH4,"m")/12))/12)),0)*EH16</f>
        <v>89872.216772752246</v>
      </c>
      <c r="EI17" s="1059">
        <f>IFERROR(IF(EI4&lt;Inputs!$E$37,0,IF(EI4&gt;=EDATE(Inputs!$E$26,Inputs!$E$27*12),0,(Inputs!$E$33*(1+Inputs!$E$35)^INT(DATEDIF(Inputs!$E$37,EI4,"m")/12))/12)),0)*EI16</f>
        <v>89872.216772752246</v>
      </c>
      <c r="EJ17" s="1059">
        <f>IFERROR(IF(EJ4&lt;Inputs!$E$37,0,IF(EJ4&gt;=EDATE(Inputs!$E$26,Inputs!$E$27*12),0,(Inputs!$E$33*(1+Inputs!$E$35)^INT(DATEDIF(Inputs!$E$37,EJ4,"m")/12))/12)),0)*EJ16</f>
        <v>89872.216772752246</v>
      </c>
      <c r="EK17" s="1059">
        <f>IFERROR(IF(EK4&lt;Inputs!$E$37,0,IF(EK4&gt;=EDATE(Inputs!$E$26,Inputs!$E$27*12),0,(Inputs!$E$33*(1+Inputs!$E$35)^INT(DATEDIF(Inputs!$E$37,EK4,"m")/12))/12)),0)*EK16</f>
        <v>93017.744359798555</v>
      </c>
      <c r="EL17" s="1059">
        <f>IFERROR(IF(EL4&lt;Inputs!$E$37,0,IF(EL4&gt;=EDATE(Inputs!$E$26,Inputs!$E$27*12),0,(Inputs!$E$33*(1+Inputs!$E$35)^INT(DATEDIF(Inputs!$E$37,EL4,"m")/12))/12)),0)*EL16</f>
        <v>93017.744359798555</v>
      </c>
      <c r="EM17" s="1059">
        <f>IFERROR(IF(EM4&lt;Inputs!$E$37,0,IF(EM4&gt;=EDATE(Inputs!$E$26,Inputs!$E$27*12),0,(Inputs!$E$33*(1+Inputs!$E$35)^INT(DATEDIF(Inputs!$E$37,EM4,"m")/12))/12)),0)*EM16</f>
        <v>93017.744359798555</v>
      </c>
      <c r="EN17" s="1059">
        <f>IFERROR(IF(EN4&lt;Inputs!$E$37,0,IF(EN4&gt;=EDATE(Inputs!$E$26,Inputs!$E$27*12),0,(Inputs!$E$33*(1+Inputs!$E$35)^INT(DATEDIF(Inputs!$E$37,EN4,"m")/12))/12)),0)*EN16</f>
        <v>93017.744359798555</v>
      </c>
      <c r="EO17" s="1059">
        <f>IFERROR(IF(EO4&lt;Inputs!$E$37,0,IF(EO4&gt;=EDATE(Inputs!$E$26,Inputs!$E$27*12),0,(Inputs!$E$33*(1+Inputs!$E$35)^INT(DATEDIF(Inputs!$E$37,EO4,"m")/12))/12)),0)*EO16</f>
        <v>93017.744359798555</v>
      </c>
      <c r="EP17" s="1059">
        <f>IFERROR(IF(EP4&lt;Inputs!$E$37,0,IF(EP4&gt;=EDATE(Inputs!$E$26,Inputs!$E$27*12),0,(Inputs!$E$33*(1+Inputs!$E$35)^INT(DATEDIF(Inputs!$E$37,EP4,"m")/12))/12)),0)*EP16</f>
        <v>93017.744359798555</v>
      </c>
      <c r="EQ17" s="1059">
        <f>IFERROR(IF(EQ4&lt;Inputs!$E$37,0,IF(EQ4&gt;=EDATE(Inputs!$E$26,Inputs!$E$27*12),0,(Inputs!$E$33*(1+Inputs!$E$35)^INT(DATEDIF(Inputs!$E$37,EQ4,"m")/12))/12)),0)*EQ16</f>
        <v>93017.744359798555</v>
      </c>
    </row>
    <row r="18" spans="1:147" ht="15" customHeight="1">
      <c r="A18" s="1052" t="s">
        <v>2044</v>
      </c>
      <c r="B18" s="1057"/>
      <c r="C18" s="1059"/>
      <c r="D18" s="1059"/>
      <c r="E18" s="1059"/>
      <c r="F18" s="1059"/>
      <c r="G18" s="1059"/>
      <c r="H18" s="1059"/>
      <c r="I18" s="1059"/>
      <c r="J18" s="1059"/>
      <c r="K18" s="1059"/>
      <c r="L18" s="1059"/>
      <c r="M18" s="1059"/>
      <c r="N18" s="1059"/>
      <c r="O18" s="1059"/>
      <c r="P18" s="1059"/>
      <c r="Q18" s="1059"/>
      <c r="R18" s="1059"/>
      <c r="S18" s="1059"/>
      <c r="T18" s="1059"/>
      <c r="U18" s="1059"/>
      <c r="V18" s="1059"/>
      <c r="W18" s="1059"/>
      <c r="X18" s="1059"/>
      <c r="Y18" s="1059"/>
      <c r="Z18" s="1059"/>
      <c r="AA18" s="1059"/>
      <c r="AB18" s="1059"/>
      <c r="AC18" s="1059"/>
      <c r="AD18" s="1059"/>
      <c r="AE18" s="1059"/>
      <c r="AF18" s="1059"/>
      <c r="AG18" s="1059"/>
      <c r="AH18" s="1059"/>
      <c r="AI18" s="1059"/>
      <c r="AJ18" s="1059"/>
      <c r="AK18" s="1059"/>
      <c r="AL18" s="1059"/>
      <c r="AM18" s="1059"/>
      <c r="AN18" s="1059"/>
      <c r="AO18" s="1059"/>
      <c r="AP18" s="1059"/>
      <c r="AQ18" s="1059"/>
      <c r="AR18" s="1059"/>
      <c r="AS18" s="1059"/>
      <c r="AT18" s="1059"/>
      <c r="AU18" s="1059"/>
      <c r="AV18" s="1059"/>
      <c r="AW18" s="1059"/>
      <c r="AX18" s="1059"/>
      <c r="AY18" s="1059"/>
      <c r="AZ18" s="1059"/>
      <c r="BA18" s="1059"/>
      <c r="BB18" s="1059"/>
      <c r="BC18" s="1059"/>
      <c r="BD18" s="1059"/>
      <c r="BE18" s="1059"/>
      <c r="BF18" s="1059"/>
      <c r="BG18" s="1059"/>
      <c r="BH18" s="1059"/>
      <c r="BI18" s="1059"/>
      <c r="BJ18" s="1059"/>
      <c r="BK18" s="1059"/>
      <c r="BL18" s="1059"/>
      <c r="BM18" s="1059"/>
      <c r="BN18" s="1059"/>
      <c r="BO18" s="1059"/>
      <c r="BP18" s="1059"/>
      <c r="BQ18" s="1059"/>
      <c r="BR18" s="1059"/>
      <c r="BS18" s="1059"/>
      <c r="BT18" s="1059"/>
      <c r="BU18" s="1059"/>
      <c r="BV18" s="1059"/>
      <c r="BW18" s="1059"/>
      <c r="BX18" s="1059"/>
      <c r="BY18" s="1059"/>
      <c r="BZ18" s="1059"/>
      <c r="CA18" s="1059"/>
      <c r="CB18" s="1059"/>
      <c r="CC18" s="1059"/>
      <c r="CD18" s="1059"/>
      <c r="CE18" s="1059"/>
      <c r="CF18" s="1059"/>
      <c r="CG18" s="1059"/>
      <c r="CH18" s="1059"/>
      <c r="CI18" s="1059"/>
      <c r="CJ18" s="1059"/>
      <c r="CK18" s="1059"/>
      <c r="CL18" s="1059"/>
      <c r="CM18" s="1059"/>
      <c r="CN18" s="1059"/>
      <c r="CO18" s="1059"/>
      <c r="CP18" s="1059"/>
      <c r="CQ18" s="1059"/>
      <c r="CR18" s="1059"/>
      <c r="CS18" s="1059"/>
      <c r="CT18" s="1059"/>
      <c r="CU18" s="1059"/>
      <c r="CV18" s="1059"/>
      <c r="CW18" s="1059"/>
      <c r="CX18" s="1059"/>
      <c r="CY18" s="1059"/>
      <c r="CZ18" s="1059"/>
      <c r="DA18" s="1059"/>
      <c r="DB18" s="1059"/>
      <c r="DC18" s="1059"/>
      <c r="DD18" s="1059"/>
      <c r="DE18" s="1059"/>
      <c r="DF18" s="1059"/>
      <c r="DG18" s="1059"/>
      <c r="DH18" s="1059"/>
      <c r="DI18" s="1059"/>
      <c r="DJ18" s="1059"/>
      <c r="DK18" s="1059"/>
      <c r="DL18" s="1059"/>
      <c r="DM18" s="1059"/>
      <c r="DN18" s="1059"/>
      <c r="DO18" s="1059"/>
      <c r="DP18" s="1059"/>
      <c r="DQ18" s="1059"/>
      <c r="DR18" s="1059"/>
      <c r="DS18" s="1059"/>
      <c r="DT18" s="1059"/>
      <c r="DU18" s="1059"/>
      <c r="DV18" s="1059"/>
      <c r="DW18" s="1059"/>
      <c r="DX18" s="1059"/>
      <c r="DY18" s="1059"/>
      <c r="DZ18" s="1059"/>
      <c r="EA18" s="1059"/>
      <c r="EB18" s="1059"/>
      <c r="EC18" s="1059"/>
      <c r="ED18" s="1059"/>
      <c r="EE18" s="1059"/>
      <c r="EF18" s="1059"/>
      <c r="EG18" s="1059"/>
      <c r="EH18" s="1059"/>
      <c r="EI18" s="1059"/>
      <c r="EJ18" s="1059"/>
      <c r="EK18" s="1059"/>
      <c r="EL18" s="1059"/>
      <c r="EM18" s="1059"/>
      <c r="EN18" s="1059"/>
      <c r="EO18" s="1059"/>
      <c r="EP18" s="1059"/>
      <c r="EQ18" s="1059"/>
    </row>
    <row r="19" spans="1:147" ht="15" customHeight="1">
      <c r="A19" s="1052" t="s">
        <v>2045</v>
      </c>
      <c r="B19" s="1057"/>
      <c r="C19" s="1059">
        <f t="shared" ref="C19:EQ19" si="5">IFERROR(C17+C18,"")</f>
        <v>0</v>
      </c>
      <c r="D19" s="1059">
        <f t="shared" si="5"/>
        <v>0</v>
      </c>
      <c r="E19" s="1059">
        <f t="shared" si="5"/>
        <v>0</v>
      </c>
      <c r="F19" s="1059">
        <f t="shared" si="5"/>
        <v>0</v>
      </c>
      <c r="G19" s="1059">
        <f t="shared" si="5"/>
        <v>0</v>
      </c>
      <c r="H19" s="1059">
        <f t="shared" si="5"/>
        <v>0</v>
      </c>
      <c r="I19" s="1059">
        <f t="shared" si="5"/>
        <v>0</v>
      </c>
      <c r="J19" s="1059">
        <f t="shared" si="5"/>
        <v>0</v>
      </c>
      <c r="K19" s="1059">
        <f t="shared" si="5"/>
        <v>0</v>
      </c>
      <c r="L19" s="1059">
        <f t="shared" si="5"/>
        <v>0</v>
      </c>
      <c r="M19" s="1059">
        <f t="shared" si="5"/>
        <v>0</v>
      </c>
      <c r="N19" s="1059">
        <f t="shared" si="5"/>
        <v>0</v>
      </c>
      <c r="O19" s="1059">
        <f t="shared" si="5"/>
        <v>0</v>
      </c>
      <c r="P19" s="1059">
        <f t="shared" si="5"/>
        <v>0</v>
      </c>
      <c r="Q19" s="1059">
        <f t="shared" si="5"/>
        <v>0</v>
      </c>
      <c r="R19" s="1059">
        <f t="shared" si="5"/>
        <v>0</v>
      </c>
      <c r="S19" s="1059">
        <f t="shared" si="5"/>
        <v>0</v>
      </c>
      <c r="T19" s="1059">
        <f t="shared" si="5"/>
        <v>0</v>
      </c>
      <c r="U19" s="1059">
        <f t="shared" si="5"/>
        <v>0</v>
      </c>
      <c r="V19" s="1059">
        <f t="shared" si="5"/>
        <v>0</v>
      </c>
      <c r="W19" s="1059">
        <f t="shared" si="5"/>
        <v>0</v>
      </c>
      <c r="X19" s="1059">
        <f t="shared" si="5"/>
        <v>0</v>
      </c>
      <c r="Y19" s="1059">
        <f t="shared" si="5"/>
        <v>0</v>
      </c>
      <c r="Z19" s="1059">
        <f t="shared" si="5"/>
        <v>0</v>
      </c>
      <c r="AA19" s="1059">
        <f t="shared" si="5"/>
        <v>0</v>
      </c>
      <c r="AB19" s="1059">
        <f t="shared" si="5"/>
        <v>0</v>
      </c>
      <c r="AC19" s="1059">
        <f t="shared" si="5"/>
        <v>0</v>
      </c>
      <c r="AD19" s="1059">
        <f t="shared" si="5"/>
        <v>0</v>
      </c>
      <c r="AE19" s="1059">
        <f t="shared" si="5"/>
        <v>0</v>
      </c>
      <c r="AF19" s="1059">
        <f t="shared" si="5"/>
        <v>0</v>
      </c>
      <c r="AG19" s="1059">
        <f t="shared" si="5"/>
        <v>34125</v>
      </c>
      <c r="AH19" s="1059">
        <f t="shared" si="5"/>
        <v>34125</v>
      </c>
      <c r="AI19" s="1059">
        <f t="shared" si="5"/>
        <v>34125</v>
      </c>
      <c r="AJ19" s="1059">
        <f t="shared" si="5"/>
        <v>34125</v>
      </c>
      <c r="AK19" s="1059">
        <f t="shared" si="5"/>
        <v>34125</v>
      </c>
      <c r="AL19" s="1059">
        <f t="shared" si="5"/>
        <v>34125</v>
      </c>
      <c r="AM19" s="1059">
        <f t="shared" si="5"/>
        <v>34125</v>
      </c>
      <c r="AN19" s="1059">
        <f t="shared" si="5"/>
        <v>34125</v>
      </c>
      <c r="AO19" s="1059">
        <f t="shared" si="5"/>
        <v>34125</v>
      </c>
      <c r="AP19" s="1059">
        <f t="shared" si="5"/>
        <v>34125</v>
      </c>
      <c r="AQ19" s="1059">
        <f t="shared" si="5"/>
        <v>34125</v>
      </c>
      <c r="AR19" s="1059">
        <f t="shared" si="5"/>
        <v>34125</v>
      </c>
      <c r="AS19" s="1059">
        <f t="shared" si="5"/>
        <v>35319.374999999993</v>
      </c>
      <c r="AT19" s="1059">
        <f t="shared" si="5"/>
        <v>35319.374999999993</v>
      </c>
      <c r="AU19" s="1059">
        <f t="shared" si="5"/>
        <v>35319.374999999993</v>
      </c>
      <c r="AV19" s="1059">
        <f t="shared" si="5"/>
        <v>35319.374999999993</v>
      </c>
      <c r="AW19" s="1059">
        <f t="shared" si="5"/>
        <v>35319.374999999993</v>
      </c>
      <c r="AX19" s="1059">
        <f t="shared" si="5"/>
        <v>35319.374999999993</v>
      </c>
      <c r="AY19" s="1059">
        <f t="shared" si="5"/>
        <v>35319.374999999993</v>
      </c>
      <c r="AZ19" s="1059">
        <f t="shared" si="5"/>
        <v>35319.374999999993</v>
      </c>
      <c r="BA19" s="1059">
        <f t="shared" si="5"/>
        <v>35319.374999999993</v>
      </c>
      <c r="BB19" s="1059">
        <f t="shared" si="5"/>
        <v>35319.374999999993</v>
      </c>
      <c r="BC19" s="1059">
        <f t="shared" si="5"/>
        <v>35319.374999999993</v>
      </c>
      <c r="BD19" s="1059">
        <f t="shared" si="5"/>
        <v>35319.374999999993</v>
      </c>
      <c r="BE19" s="1059">
        <f t="shared" si="5"/>
        <v>36555.553124999999</v>
      </c>
      <c r="BF19" s="1059">
        <f t="shared" si="5"/>
        <v>36555.553124999999</v>
      </c>
      <c r="BG19" s="1059">
        <f t="shared" si="5"/>
        <v>36555.553124999999</v>
      </c>
      <c r="BH19" s="1059">
        <f t="shared" si="5"/>
        <v>36555.553124999999</v>
      </c>
      <c r="BI19" s="1059">
        <f t="shared" si="5"/>
        <v>36555.553124999999</v>
      </c>
      <c r="BJ19" s="1059">
        <f t="shared" si="5"/>
        <v>36555.553124999999</v>
      </c>
      <c r="BK19" s="1059">
        <f t="shared" si="5"/>
        <v>36555.553124999999</v>
      </c>
      <c r="BL19" s="1059">
        <f t="shared" si="5"/>
        <v>36555.553124999999</v>
      </c>
      <c r="BM19" s="1059">
        <f t="shared" si="5"/>
        <v>36555.553124999999</v>
      </c>
      <c r="BN19" s="1059">
        <f t="shared" si="5"/>
        <v>36555.553124999999</v>
      </c>
      <c r="BO19" s="1059">
        <f t="shared" si="5"/>
        <v>36555.553124999999</v>
      </c>
      <c r="BP19" s="1059">
        <f t="shared" si="5"/>
        <v>36555.553124999999</v>
      </c>
      <c r="BQ19" s="1059">
        <f t="shared" si="5"/>
        <v>37834.997484374988</v>
      </c>
      <c r="BR19" s="1059">
        <f t="shared" si="5"/>
        <v>37834.997484374988</v>
      </c>
      <c r="BS19" s="1059">
        <f t="shared" si="5"/>
        <v>37834.997484374988</v>
      </c>
      <c r="BT19" s="1059">
        <f t="shared" si="5"/>
        <v>37834.997484374988</v>
      </c>
      <c r="BU19" s="1059">
        <f t="shared" si="5"/>
        <v>37834.997484374988</v>
      </c>
      <c r="BV19" s="1059">
        <f t="shared" si="5"/>
        <v>37834.997484374988</v>
      </c>
      <c r="BW19" s="1059">
        <f t="shared" si="5"/>
        <v>37834.997484374988</v>
      </c>
      <c r="BX19" s="1059">
        <f t="shared" si="5"/>
        <v>37834.997484374988</v>
      </c>
      <c r="BY19" s="1059">
        <f t="shared" si="5"/>
        <v>37834.997484374988</v>
      </c>
      <c r="BZ19" s="1059">
        <f t="shared" si="5"/>
        <v>37834.997484374988</v>
      </c>
      <c r="CA19" s="1059">
        <f t="shared" si="5"/>
        <v>37834.997484374988</v>
      </c>
      <c r="CB19" s="1059">
        <f t="shared" si="5"/>
        <v>37834.997484374988</v>
      </c>
      <c r="CC19" s="1059">
        <f t="shared" si="5"/>
        <v>78318.444792656228</v>
      </c>
      <c r="CD19" s="1059">
        <f t="shared" si="5"/>
        <v>78318.444792656228</v>
      </c>
      <c r="CE19" s="1059">
        <f t="shared" si="5"/>
        <v>78318.444792656228</v>
      </c>
      <c r="CF19" s="1059">
        <f t="shared" si="5"/>
        <v>78318.444792656228</v>
      </c>
      <c r="CG19" s="1059">
        <f t="shared" si="5"/>
        <v>78318.444792656228</v>
      </c>
      <c r="CH19" s="1059">
        <f t="shared" si="5"/>
        <v>78318.444792656228</v>
      </c>
      <c r="CI19" s="1059">
        <f t="shared" si="5"/>
        <v>78318.444792656228</v>
      </c>
      <c r="CJ19" s="1059">
        <f t="shared" si="5"/>
        <v>78318.444792656228</v>
      </c>
      <c r="CK19" s="1059">
        <f t="shared" si="5"/>
        <v>78318.444792656228</v>
      </c>
      <c r="CL19" s="1059">
        <f t="shared" si="5"/>
        <v>78318.444792656228</v>
      </c>
      <c r="CM19" s="1059">
        <f t="shared" si="5"/>
        <v>78318.444792656228</v>
      </c>
      <c r="CN19" s="1059">
        <f t="shared" si="5"/>
        <v>78318.444792656228</v>
      </c>
      <c r="CO19" s="1059">
        <f t="shared" si="5"/>
        <v>81059.590360399176</v>
      </c>
      <c r="CP19" s="1059">
        <f t="shared" si="5"/>
        <v>81059.590360399176</v>
      </c>
      <c r="CQ19" s="1059">
        <f t="shared" si="5"/>
        <v>81059.590360399176</v>
      </c>
      <c r="CR19" s="1059">
        <f t="shared" si="5"/>
        <v>81059.590360399176</v>
      </c>
      <c r="CS19" s="1059">
        <f t="shared" si="5"/>
        <v>81059.590360399176</v>
      </c>
      <c r="CT19" s="1059">
        <f t="shared" si="5"/>
        <v>81059.590360399176</v>
      </c>
      <c r="CU19" s="1059">
        <f t="shared" si="5"/>
        <v>81059.590360399176</v>
      </c>
      <c r="CV19" s="1059">
        <f t="shared" si="5"/>
        <v>81059.590360399176</v>
      </c>
      <c r="CW19" s="1059">
        <f t="shared" si="5"/>
        <v>81059.590360399176</v>
      </c>
      <c r="CX19" s="1059">
        <f t="shared" si="5"/>
        <v>81059.590360399176</v>
      </c>
      <c r="CY19" s="1059">
        <f t="shared" si="5"/>
        <v>81059.590360399176</v>
      </c>
      <c r="CZ19" s="1059">
        <f t="shared" si="5"/>
        <v>81059.590360399176</v>
      </c>
      <c r="DA19" s="1059">
        <f t="shared" si="5"/>
        <v>83896.676023013162</v>
      </c>
      <c r="DB19" s="1059">
        <f t="shared" si="5"/>
        <v>83896.676023013162</v>
      </c>
      <c r="DC19" s="1059">
        <f t="shared" si="5"/>
        <v>83896.676023013162</v>
      </c>
      <c r="DD19" s="1059">
        <f t="shared" si="5"/>
        <v>83896.676023013162</v>
      </c>
      <c r="DE19" s="1059">
        <f t="shared" si="5"/>
        <v>83896.676023013162</v>
      </c>
      <c r="DF19" s="1059">
        <f t="shared" si="5"/>
        <v>83896.676023013162</v>
      </c>
      <c r="DG19" s="1059">
        <f t="shared" si="5"/>
        <v>83896.676023013162</v>
      </c>
      <c r="DH19" s="1059">
        <f t="shared" si="5"/>
        <v>83896.676023013162</v>
      </c>
      <c r="DI19" s="1059">
        <f t="shared" si="5"/>
        <v>83896.676023013162</v>
      </c>
      <c r="DJ19" s="1059">
        <f t="shared" si="5"/>
        <v>83896.676023013162</v>
      </c>
      <c r="DK19" s="1059">
        <f t="shared" si="5"/>
        <v>83896.676023013162</v>
      </c>
      <c r="DL19" s="1059">
        <f t="shared" si="5"/>
        <v>83896.676023013162</v>
      </c>
      <c r="DM19" s="1059">
        <f t="shared" si="5"/>
        <v>86833.059683818617</v>
      </c>
      <c r="DN19" s="1059">
        <f t="shared" si="5"/>
        <v>86833.059683818617</v>
      </c>
      <c r="DO19" s="1059">
        <f t="shared" si="5"/>
        <v>86833.059683818617</v>
      </c>
      <c r="DP19" s="1059">
        <f t="shared" si="5"/>
        <v>86833.059683818617</v>
      </c>
      <c r="DQ19" s="1059">
        <f t="shared" si="5"/>
        <v>86833.059683818617</v>
      </c>
      <c r="DR19" s="1059">
        <f t="shared" si="5"/>
        <v>86833.059683818617</v>
      </c>
      <c r="DS19" s="1059">
        <f t="shared" si="5"/>
        <v>86833.059683818617</v>
      </c>
      <c r="DT19" s="1059">
        <f t="shared" si="5"/>
        <v>86833.059683818617</v>
      </c>
      <c r="DU19" s="1059">
        <f t="shared" si="5"/>
        <v>86833.059683818617</v>
      </c>
      <c r="DV19" s="1059">
        <f t="shared" si="5"/>
        <v>86833.059683818617</v>
      </c>
      <c r="DW19" s="1059">
        <f t="shared" si="5"/>
        <v>86833.059683818617</v>
      </c>
      <c r="DX19" s="1059">
        <f t="shared" si="5"/>
        <v>86833.059683818617</v>
      </c>
      <c r="DY19" s="1059">
        <f t="shared" si="5"/>
        <v>89872.216772752246</v>
      </c>
      <c r="DZ19" s="1059">
        <f t="shared" si="5"/>
        <v>89872.216772752246</v>
      </c>
      <c r="EA19" s="1059">
        <f t="shared" si="5"/>
        <v>89872.216772752246</v>
      </c>
      <c r="EB19" s="1059">
        <f t="shared" si="5"/>
        <v>89872.216772752246</v>
      </c>
      <c r="EC19" s="1059">
        <f t="shared" si="5"/>
        <v>89872.216772752246</v>
      </c>
      <c r="ED19" s="1059">
        <f t="shared" si="5"/>
        <v>89872.216772752246</v>
      </c>
      <c r="EE19" s="1059">
        <f t="shared" si="5"/>
        <v>89872.216772752246</v>
      </c>
      <c r="EF19" s="1059">
        <f t="shared" si="5"/>
        <v>89872.216772752246</v>
      </c>
      <c r="EG19" s="1059">
        <f t="shared" si="5"/>
        <v>89872.216772752246</v>
      </c>
      <c r="EH19" s="1059">
        <f t="shared" si="5"/>
        <v>89872.216772752246</v>
      </c>
      <c r="EI19" s="1059">
        <f t="shared" si="5"/>
        <v>89872.216772752246</v>
      </c>
      <c r="EJ19" s="1059">
        <f t="shared" si="5"/>
        <v>89872.216772752246</v>
      </c>
      <c r="EK19" s="1059">
        <f t="shared" si="5"/>
        <v>93017.744359798555</v>
      </c>
      <c r="EL19" s="1059">
        <f t="shared" si="5"/>
        <v>93017.744359798555</v>
      </c>
      <c r="EM19" s="1059">
        <f t="shared" si="5"/>
        <v>93017.744359798555</v>
      </c>
      <c r="EN19" s="1059">
        <f t="shared" si="5"/>
        <v>93017.744359798555</v>
      </c>
      <c r="EO19" s="1059">
        <f t="shared" si="5"/>
        <v>93017.744359798555</v>
      </c>
      <c r="EP19" s="1059">
        <f t="shared" si="5"/>
        <v>93017.744359798555</v>
      </c>
      <c r="EQ19" s="1059">
        <f t="shared" si="5"/>
        <v>93017.744359798555</v>
      </c>
    </row>
    <row r="21" spans="1:147" ht="15" customHeight="1">
      <c r="G21" s="873"/>
    </row>
    <row r="22" spans="1:147" ht="15.75" customHeight="1"/>
    <row r="23" spans="1:147" ht="15.75" customHeight="1"/>
    <row r="24" spans="1:147" ht="15.75" customHeight="1"/>
    <row r="25" spans="1:147" ht="15.75" customHeight="1"/>
    <row r="26" spans="1:147" ht="15.75" customHeight="1"/>
    <row r="27" spans="1:147" ht="15.75" customHeight="1"/>
    <row r="28" spans="1:147" ht="15.75" customHeight="1"/>
    <row r="29" spans="1:147" ht="15.75" customHeight="1"/>
    <row r="30" spans="1:147" ht="15.75" customHeight="1"/>
    <row r="31" spans="1:147" ht="15.75" customHeight="1"/>
    <row r="32" spans="1:14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sheetData>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E699"/>
  </sheetPr>
  <dimension ref="A1:X1000"/>
  <sheetViews>
    <sheetView showGridLines="0" workbookViewId="0"/>
  </sheetViews>
  <sheetFormatPr defaultColWidth="12.6328125" defaultRowHeight="15" customHeight="1"/>
  <cols>
    <col min="1" max="1" width="8.6328125" customWidth="1"/>
    <col min="2" max="2" width="25.6328125" customWidth="1"/>
    <col min="3" max="3" width="18.7265625" customWidth="1"/>
    <col min="4" max="4" width="1.08984375" customWidth="1"/>
    <col min="5" max="12" width="12" customWidth="1"/>
    <col min="13" max="13" width="11.08984375" customWidth="1"/>
    <col min="14" max="17" width="12.08984375" customWidth="1"/>
    <col min="18" max="18" width="11.36328125" customWidth="1"/>
    <col min="19" max="19" width="34.453125" customWidth="1"/>
    <col min="20" max="23" width="8.90625" customWidth="1"/>
    <col min="24" max="24" width="17.08984375" customWidth="1"/>
  </cols>
  <sheetData>
    <row r="1" spans="1:24" ht="15" customHeight="1">
      <c r="A1" s="1060" t="s">
        <v>2046</v>
      </c>
      <c r="B1" s="1060" t="s">
        <v>2047</v>
      </c>
      <c r="C1" s="1060" t="s">
        <v>2047</v>
      </c>
      <c r="D1" s="1060" t="s">
        <v>2047</v>
      </c>
      <c r="E1" s="26"/>
      <c r="F1" s="26"/>
      <c r="G1" s="26"/>
      <c r="H1" s="26"/>
      <c r="I1" s="26"/>
      <c r="J1" s="26"/>
      <c r="K1" s="26"/>
      <c r="L1" s="26"/>
      <c r="M1" s="26"/>
      <c r="N1" s="26"/>
      <c r="O1" s="26"/>
      <c r="P1" s="26"/>
      <c r="Q1" s="26"/>
      <c r="R1" s="26"/>
      <c r="S1" s="26"/>
      <c r="T1" s="26"/>
      <c r="U1" s="26"/>
      <c r="V1" s="26"/>
      <c r="W1" s="26"/>
      <c r="X1" s="26"/>
    </row>
    <row r="2" spans="1:24" ht="15" customHeight="1">
      <c r="A2" s="26"/>
      <c r="B2" s="26"/>
      <c r="C2" s="26"/>
      <c r="D2" s="26"/>
      <c r="E2" s="26"/>
      <c r="F2" s="26"/>
      <c r="G2" s="26"/>
      <c r="H2" s="26"/>
      <c r="I2" s="26"/>
      <c r="J2" s="26"/>
      <c r="K2" s="26"/>
      <c r="L2" s="26"/>
      <c r="M2" s="26"/>
      <c r="N2" s="26"/>
      <c r="O2" s="26"/>
      <c r="P2" s="26"/>
      <c r="Q2" s="26"/>
      <c r="R2" s="26"/>
      <c r="S2" s="26"/>
      <c r="T2" s="26"/>
      <c r="U2" s="26"/>
      <c r="V2" s="26"/>
      <c r="W2" s="26"/>
      <c r="X2" s="26"/>
    </row>
    <row r="3" spans="1:24" ht="15" customHeight="1">
      <c r="A3" s="26"/>
      <c r="B3" s="26"/>
      <c r="C3" s="26"/>
      <c r="D3" s="26"/>
      <c r="E3" s="26"/>
      <c r="F3" s="26"/>
      <c r="G3" s="26"/>
      <c r="H3" s="26"/>
      <c r="I3" s="26"/>
      <c r="J3" s="26"/>
      <c r="K3" s="26"/>
      <c r="L3" s="1434" t="s">
        <v>2048</v>
      </c>
      <c r="M3" s="1305"/>
      <c r="N3" s="1305"/>
      <c r="O3" s="1305"/>
      <c r="P3" s="1305"/>
      <c r="Q3" s="1305"/>
      <c r="R3" s="26"/>
      <c r="S3" s="26"/>
      <c r="T3" s="26"/>
      <c r="U3" s="26"/>
      <c r="V3" s="26"/>
      <c r="W3" s="26"/>
      <c r="X3" s="26"/>
    </row>
    <row r="4" spans="1:24" ht="15.75" customHeight="1">
      <c r="A4" s="26"/>
      <c r="B4" s="1061" t="s">
        <v>2049</v>
      </c>
      <c r="C4" s="1062"/>
      <c r="D4" s="1062"/>
      <c r="E4" s="1063" t="s">
        <v>2050</v>
      </c>
      <c r="F4" s="1063" t="s">
        <v>2051</v>
      </c>
      <c r="G4" s="1063" t="s">
        <v>2052</v>
      </c>
      <c r="H4" s="1063" t="s">
        <v>2053</v>
      </c>
      <c r="I4" s="1063" t="s">
        <v>2054</v>
      </c>
      <c r="J4" s="1063" t="s">
        <v>2055</v>
      </c>
      <c r="K4" s="1063" t="s">
        <v>2056</v>
      </c>
      <c r="L4" s="1063" t="s">
        <v>2057</v>
      </c>
      <c r="M4" s="1063" t="s">
        <v>2058</v>
      </c>
      <c r="N4" s="1063" t="s">
        <v>2059</v>
      </c>
      <c r="O4" s="1063" t="s">
        <v>2060</v>
      </c>
      <c r="P4" s="1063" t="s">
        <v>2061</v>
      </c>
      <c r="Q4" s="1063" t="s">
        <v>2062</v>
      </c>
      <c r="R4" s="1064" t="s">
        <v>1648</v>
      </c>
      <c r="S4" s="26"/>
      <c r="T4" s="188"/>
      <c r="U4" s="26"/>
      <c r="V4" s="26"/>
      <c r="W4" s="26"/>
      <c r="X4" s="26"/>
    </row>
    <row r="5" spans="1:24" ht="15" customHeight="1">
      <c r="A5" s="26"/>
      <c r="B5" s="125"/>
      <c r="C5" s="26"/>
      <c r="D5" s="26"/>
      <c r="E5" s="180"/>
      <c r="F5" s="180"/>
      <c r="G5" s="180"/>
      <c r="H5" s="180"/>
      <c r="I5" s="180"/>
      <c r="J5" s="180"/>
      <c r="K5" s="180"/>
      <c r="L5" s="180"/>
      <c r="M5" s="180"/>
      <c r="N5" s="180"/>
      <c r="O5" s="180"/>
      <c r="P5" s="180"/>
      <c r="Q5" s="180"/>
      <c r="R5" s="171"/>
      <c r="S5" s="26"/>
      <c r="T5" s="26"/>
      <c r="U5" s="26"/>
      <c r="V5" s="26"/>
      <c r="W5" s="26"/>
      <c r="X5" s="26"/>
    </row>
    <row r="6" spans="1:24" ht="15" customHeight="1">
      <c r="A6" s="26"/>
      <c r="B6" s="1065" t="s">
        <v>563</v>
      </c>
      <c r="C6" s="1066"/>
      <c r="D6" s="1066"/>
      <c r="E6" s="180"/>
      <c r="F6" s="180"/>
      <c r="G6" s="180"/>
      <c r="H6" s="180"/>
      <c r="I6" s="180"/>
      <c r="J6" s="180"/>
      <c r="K6" s="180"/>
      <c r="L6" s="180"/>
      <c r="M6" s="180"/>
      <c r="N6" s="180"/>
      <c r="O6" s="180"/>
      <c r="P6" s="180"/>
      <c r="Q6" s="180"/>
      <c r="R6" s="171"/>
      <c r="S6" s="26"/>
      <c r="T6" s="26"/>
      <c r="U6" s="26"/>
      <c r="V6" s="26"/>
      <c r="W6" s="26"/>
      <c r="X6" s="26" t="s">
        <v>2063</v>
      </c>
    </row>
    <row r="7" spans="1:24" ht="15" customHeight="1">
      <c r="A7" s="26"/>
      <c r="B7" s="125" t="s">
        <v>2064</v>
      </c>
      <c r="C7" s="26"/>
      <c r="D7" s="26"/>
      <c r="E7" s="180" t="s">
        <v>2065</v>
      </c>
      <c r="F7" s="180" t="s">
        <v>2065</v>
      </c>
      <c r="G7" s="180" t="s">
        <v>2065</v>
      </c>
      <c r="H7" s="180" t="s">
        <v>2065</v>
      </c>
      <c r="I7" s="180" t="s">
        <v>2065</v>
      </c>
      <c r="J7" s="180" t="s">
        <v>2065</v>
      </c>
      <c r="K7" s="180" t="s">
        <v>2065</v>
      </c>
      <c r="L7" s="180">
        <v>300000</v>
      </c>
      <c r="M7" s="180" t="s">
        <v>2065</v>
      </c>
      <c r="N7" s="180" t="s">
        <v>2065</v>
      </c>
      <c r="O7" s="180" t="s">
        <v>2065</v>
      </c>
      <c r="P7" s="180" t="s">
        <v>2065</v>
      </c>
      <c r="Q7" s="180" t="s">
        <v>2065</v>
      </c>
      <c r="R7" s="171">
        <f t="shared" ref="R7:R10" si="0">SUM(E7:Q7)</f>
        <v>300000</v>
      </c>
      <c r="S7" s="26"/>
      <c r="T7" s="26"/>
      <c r="U7" s="26"/>
      <c r="V7" s="26"/>
      <c r="W7" s="26"/>
      <c r="X7" s="26" t="s">
        <v>2063</v>
      </c>
    </row>
    <row r="8" spans="1:24" ht="15" customHeight="1">
      <c r="A8" s="26"/>
      <c r="B8" s="125" t="s">
        <v>2066</v>
      </c>
      <c r="C8" s="26"/>
      <c r="D8" s="26"/>
      <c r="E8" s="180">
        <v>666667</v>
      </c>
      <c r="F8" s="180" t="s">
        <v>2065</v>
      </c>
      <c r="G8" s="180">
        <v>666667</v>
      </c>
      <c r="H8" s="180"/>
      <c r="I8" s="180">
        <v>666667</v>
      </c>
      <c r="J8" s="180"/>
      <c r="K8" s="180"/>
      <c r="L8" s="180" t="s">
        <v>2065</v>
      </c>
      <c r="M8" s="180" t="s">
        <v>2065</v>
      </c>
      <c r="N8" s="180" t="s">
        <v>2065</v>
      </c>
      <c r="O8" s="180" t="s">
        <v>2065</v>
      </c>
      <c r="P8" s="180" t="s">
        <v>2065</v>
      </c>
      <c r="Q8" s="180" t="s">
        <v>2065</v>
      </c>
      <c r="R8" s="171">
        <f t="shared" si="0"/>
        <v>2000001</v>
      </c>
      <c r="S8" s="26"/>
      <c r="T8" s="26"/>
      <c r="U8" s="26"/>
      <c r="V8" s="26"/>
      <c r="W8" s="26"/>
      <c r="X8" s="26"/>
    </row>
    <row r="9" spans="1:24" ht="15" customHeight="1">
      <c r="A9" s="26"/>
      <c r="B9" s="125" t="s">
        <v>2067</v>
      </c>
      <c r="C9" s="26"/>
      <c r="D9" s="26"/>
      <c r="E9" s="180" t="s">
        <v>2065</v>
      </c>
      <c r="F9" s="180">
        <v>750000</v>
      </c>
      <c r="G9" s="180" t="s">
        <v>2065</v>
      </c>
      <c r="H9" s="180">
        <v>750000</v>
      </c>
      <c r="I9" s="180" t="s">
        <v>2065</v>
      </c>
      <c r="J9" s="180">
        <v>750000</v>
      </c>
      <c r="K9" s="180">
        <v>750000</v>
      </c>
      <c r="L9" s="180" t="s">
        <v>2065</v>
      </c>
      <c r="M9" s="180" t="s">
        <v>2065</v>
      </c>
      <c r="N9" s="180" t="s">
        <v>2065</v>
      </c>
      <c r="O9" s="180" t="s">
        <v>2065</v>
      </c>
      <c r="P9" s="180" t="s">
        <v>2065</v>
      </c>
      <c r="Q9" s="180" t="s">
        <v>2065</v>
      </c>
      <c r="R9" s="171">
        <f t="shared" si="0"/>
        <v>3000000</v>
      </c>
      <c r="S9" s="26"/>
      <c r="T9" s="26"/>
      <c r="U9" s="26"/>
      <c r="V9" s="26"/>
      <c r="W9" s="26"/>
      <c r="X9" s="26"/>
    </row>
    <row r="10" spans="1:24" ht="15" customHeight="1">
      <c r="A10" s="26"/>
      <c r="B10" s="125"/>
      <c r="C10" s="1067" t="s">
        <v>2068</v>
      </c>
      <c r="D10" s="1067"/>
      <c r="E10" s="1068">
        <f t="shared" ref="E10:Q10" si="1">SUM(E7:E9)</f>
        <v>666667</v>
      </c>
      <c r="F10" s="1068">
        <f t="shared" si="1"/>
        <v>750000</v>
      </c>
      <c r="G10" s="1068">
        <f t="shared" si="1"/>
        <v>666667</v>
      </c>
      <c r="H10" s="1068">
        <f t="shared" si="1"/>
        <v>750000</v>
      </c>
      <c r="I10" s="1068">
        <f t="shared" si="1"/>
        <v>666667</v>
      </c>
      <c r="J10" s="1068">
        <f t="shared" si="1"/>
        <v>750000</v>
      </c>
      <c r="K10" s="1068">
        <f t="shared" si="1"/>
        <v>750000</v>
      </c>
      <c r="L10" s="1068">
        <f t="shared" si="1"/>
        <v>300000</v>
      </c>
      <c r="M10" s="1068">
        <f t="shared" si="1"/>
        <v>0</v>
      </c>
      <c r="N10" s="1068">
        <f t="shared" si="1"/>
        <v>0</v>
      </c>
      <c r="O10" s="1068">
        <f t="shared" si="1"/>
        <v>0</v>
      </c>
      <c r="P10" s="1068">
        <f t="shared" si="1"/>
        <v>0</v>
      </c>
      <c r="Q10" s="1068">
        <f t="shared" si="1"/>
        <v>0</v>
      </c>
      <c r="R10" s="1069">
        <f t="shared" si="0"/>
        <v>5300001</v>
      </c>
      <c r="S10" s="26"/>
      <c r="T10" s="26"/>
      <c r="U10" s="26"/>
      <c r="V10" s="26"/>
      <c r="W10" s="26"/>
      <c r="X10" s="26"/>
    </row>
    <row r="11" spans="1:24" ht="15" customHeight="1">
      <c r="A11" s="26"/>
      <c r="B11" s="125"/>
      <c r="C11" s="26"/>
      <c r="D11" s="26"/>
      <c r="E11" s="180"/>
      <c r="F11" s="180"/>
      <c r="G11" s="180"/>
      <c r="H11" s="180"/>
      <c r="I11" s="180"/>
      <c r="J11" s="180"/>
      <c r="K11" s="180"/>
      <c r="L11" s="180"/>
      <c r="M11" s="180"/>
      <c r="N11" s="180"/>
      <c r="O11" s="180"/>
      <c r="P11" s="180"/>
      <c r="Q11" s="180"/>
      <c r="R11" s="171"/>
      <c r="S11" s="26"/>
      <c r="T11" s="26"/>
      <c r="U11" s="26"/>
      <c r="V11" s="26"/>
      <c r="W11" s="26"/>
      <c r="X11" s="26"/>
    </row>
    <row r="12" spans="1:24" ht="15" customHeight="1">
      <c r="A12" s="26"/>
      <c r="B12" s="1065" t="s">
        <v>29</v>
      </c>
      <c r="C12" s="1066"/>
      <c r="D12" s="26"/>
      <c r="E12" s="180"/>
      <c r="F12" s="180"/>
      <c r="G12" s="180"/>
      <c r="H12" s="180"/>
      <c r="I12" s="180"/>
      <c r="J12" s="180"/>
      <c r="K12" s="180"/>
      <c r="L12" s="180"/>
      <c r="M12" s="180"/>
      <c r="N12" s="180"/>
      <c r="O12" s="180"/>
      <c r="P12" s="180"/>
      <c r="Q12" s="180"/>
      <c r="R12" s="171"/>
      <c r="S12" s="26"/>
      <c r="T12" s="188"/>
      <c r="U12" s="26"/>
      <c r="V12" s="188"/>
      <c r="W12" s="26"/>
      <c r="X12" s="26"/>
    </row>
    <row r="13" spans="1:24" ht="15" customHeight="1">
      <c r="A13" s="26"/>
      <c r="B13" s="125" t="s">
        <v>2069</v>
      </c>
      <c r="C13" s="26"/>
      <c r="D13" s="26"/>
      <c r="E13" s="180">
        <v>0</v>
      </c>
      <c r="F13" s="180">
        <v>0</v>
      </c>
      <c r="G13" s="180">
        <v>0</v>
      </c>
      <c r="H13" s="180">
        <v>0</v>
      </c>
      <c r="I13" s="180">
        <v>0</v>
      </c>
      <c r="J13" s="180">
        <v>0</v>
      </c>
      <c r="K13" s="180">
        <v>0</v>
      </c>
      <c r="L13" s="180">
        <v>0</v>
      </c>
      <c r="M13" s="180">
        <v>0</v>
      </c>
      <c r="N13" s="180">
        <v>0</v>
      </c>
      <c r="O13" s="180">
        <v>0</v>
      </c>
      <c r="P13" s="180">
        <v>0</v>
      </c>
      <c r="Q13" s="180">
        <v>0</v>
      </c>
      <c r="R13" s="171">
        <f>SUM(E13:Q13)</f>
        <v>0</v>
      </c>
      <c r="S13" s="26"/>
      <c r="T13" s="26"/>
      <c r="U13" s="26"/>
      <c r="V13" s="26"/>
      <c r="W13" s="26"/>
      <c r="X13" s="26"/>
    </row>
    <row r="14" spans="1:24" ht="15" customHeight="1">
      <c r="A14" s="26"/>
      <c r="B14" s="125"/>
      <c r="C14" s="1067" t="s">
        <v>2070</v>
      </c>
      <c r="D14" s="1067"/>
      <c r="E14" s="1068">
        <f t="shared" ref="E14:R14" si="2">E13</f>
        <v>0</v>
      </c>
      <c r="F14" s="1068">
        <f t="shared" si="2"/>
        <v>0</v>
      </c>
      <c r="G14" s="1068">
        <f t="shared" si="2"/>
        <v>0</v>
      </c>
      <c r="H14" s="1068">
        <f t="shared" si="2"/>
        <v>0</v>
      </c>
      <c r="I14" s="1068">
        <f t="shared" si="2"/>
        <v>0</v>
      </c>
      <c r="J14" s="1068">
        <f t="shared" si="2"/>
        <v>0</v>
      </c>
      <c r="K14" s="1068">
        <f t="shared" si="2"/>
        <v>0</v>
      </c>
      <c r="L14" s="1068">
        <f t="shared" si="2"/>
        <v>0</v>
      </c>
      <c r="M14" s="1068">
        <f t="shared" si="2"/>
        <v>0</v>
      </c>
      <c r="N14" s="1068">
        <f t="shared" si="2"/>
        <v>0</v>
      </c>
      <c r="O14" s="1068">
        <f t="shared" si="2"/>
        <v>0</v>
      </c>
      <c r="P14" s="1068">
        <f t="shared" si="2"/>
        <v>0</v>
      </c>
      <c r="Q14" s="1068">
        <f t="shared" si="2"/>
        <v>0</v>
      </c>
      <c r="R14" s="1069">
        <f t="shared" si="2"/>
        <v>0</v>
      </c>
      <c r="S14" s="26"/>
      <c r="T14" s="26"/>
      <c r="U14" s="26"/>
      <c r="V14" s="26"/>
      <c r="W14" s="26"/>
      <c r="X14" s="26"/>
    </row>
    <row r="15" spans="1:24" ht="15" customHeight="1">
      <c r="A15" s="26"/>
      <c r="B15" s="135"/>
      <c r="C15" s="1070"/>
      <c r="D15" s="1070"/>
      <c r="E15" s="181"/>
      <c r="F15" s="181"/>
      <c r="G15" s="181"/>
      <c r="H15" s="181"/>
      <c r="I15" s="181"/>
      <c r="J15" s="181"/>
      <c r="K15" s="181"/>
      <c r="L15" s="181"/>
      <c r="M15" s="181"/>
      <c r="N15" s="181"/>
      <c r="O15" s="181"/>
      <c r="P15" s="181"/>
      <c r="Q15" s="181"/>
      <c r="R15" s="175"/>
      <c r="S15" s="26"/>
      <c r="T15" s="26"/>
      <c r="U15" s="26"/>
      <c r="V15" s="26"/>
      <c r="W15" s="26"/>
      <c r="X15" s="26"/>
    </row>
    <row r="16" spans="1:24" ht="15" customHeight="1">
      <c r="A16" s="26"/>
      <c r="B16" s="26"/>
      <c r="C16" s="26"/>
      <c r="D16" s="26"/>
      <c r="E16" s="180"/>
      <c r="F16" s="180"/>
      <c r="G16" s="180"/>
      <c r="H16" s="180"/>
      <c r="I16" s="180"/>
      <c r="J16" s="180"/>
      <c r="K16" s="180"/>
      <c r="L16" s="180"/>
      <c r="M16" s="180"/>
      <c r="N16" s="180"/>
      <c r="O16" s="180"/>
      <c r="P16" s="180"/>
      <c r="Q16" s="180"/>
      <c r="R16" s="180"/>
      <c r="S16" s="26"/>
      <c r="T16" s="26"/>
      <c r="U16" s="26"/>
      <c r="V16" s="26"/>
      <c r="W16" s="26"/>
      <c r="X16" s="26"/>
    </row>
    <row r="17" spans="1:24" ht="15" customHeight="1">
      <c r="A17" s="26"/>
      <c r="B17" s="26"/>
      <c r="C17" s="26"/>
      <c r="D17" s="26"/>
      <c r="E17" s="180"/>
      <c r="F17" s="180"/>
      <c r="G17" s="180"/>
      <c r="H17" s="180"/>
      <c r="I17" s="180"/>
      <c r="J17" s="180"/>
      <c r="K17" s="180"/>
      <c r="L17" s="180"/>
      <c r="M17" s="180"/>
      <c r="N17" s="180"/>
      <c r="O17" s="180"/>
      <c r="P17" s="180"/>
      <c r="Q17" s="180"/>
      <c r="R17" s="180"/>
      <c r="S17" s="26"/>
      <c r="T17" s="26"/>
      <c r="U17" s="26"/>
      <c r="V17" s="26"/>
      <c r="W17" s="26"/>
      <c r="X17" s="26"/>
    </row>
    <row r="18" spans="1:24" ht="15" customHeight="1">
      <c r="A18" s="26"/>
      <c r="B18" s="26"/>
      <c r="C18" s="26"/>
      <c r="D18" s="26"/>
      <c r="E18" s="180"/>
      <c r="F18" s="180"/>
      <c r="G18" s="180"/>
      <c r="H18" s="180"/>
      <c r="I18" s="180"/>
      <c r="J18" s="180"/>
      <c r="K18" s="180"/>
      <c r="L18" s="180"/>
      <c r="M18" s="180"/>
      <c r="N18" s="180"/>
      <c r="O18" s="180"/>
      <c r="P18" s="180"/>
      <c r="Q18" s="180"/>
      <c r="R18" s="180"/>
      <c r="S18" s="26"/>
      <c r="T18" s="26"/>
      <c r="U18" s="26"/>
      <c r="V18" s="26"/>
      <c r="W18" s="26"/>
      <c r="X18" s="26"/>
    </row>
    <row r="19" spans="1:24" ht="15" customHeight="1">
      <c r="A19" s="26"/>
      <c r="B19" s="26"/>
      <c r="C19" s="26"/>
      <c r="D19" s="26"/>
      <c r="E19" s="180"/>
      <c r="F19" s="180"/>
      <c r="G19" s="180"/>
      <c r="H19" s="180"/>
      <c r="I19" s="180"/>
      <c r="J19" s="180"/>
      <c r="K19" s="180"/>
      <c r="L19" s="180"/>
      <c r="M19" s="180"/>
      <c r="N19" s="180"/>
      <c r="O19" s="180"/>
      <c r="P19" s="180"/>
      <c r="Q19" s="180"/>
      <c r="R19" s="180"/>
      <c r="S19" s="26"/>
      <c r="T19" s="26"/>
      <c r="U19" s="26"/>
      <c r="V19" s="26"/>
      <c r="W19" s="26"/>
      <c r="X19" s="26"/>
    </row>
    <row r="20" spans="1:24" ht="15" customHeight="1">
      <c r="A20" s="26"/>
      <c r="B20" s="1071" t="s">
        <v>2071</v>
      </c>
      <c r="C20" s="1072"/>
      <c r="D20" s="122"/>
      <c r="E20" s="1073"/>
      <c r="F20" s="1073"/>
      <c r="G20" s="1073"/>
      <c r="H20" s="1073"/>
      <c r="I20" s="1073"/>
      <c r="J20" s="1073"/>
      <c r="K20" s="1073"/>
      <c r="L20" s="1073"/>
      <c r="M20" s="1073"/>
      <c r="N20" s="1073"/>
      <c r="O20" s="1073"/>
      <c r="P20" s="1073"/>
      <c r="Q20" s="1073"/>
      <c r="R20" s="1074"/>
      <c r="S20" s="26"/>
      <c r="T20" s="26"/>
      <c r="U20" s="26"/>
      <c r="V20" s="26"/>
      <c r="W20" s="26"/>
      <c r="X20" s="26"/>
    </row>
    <row r="21" spans="1:24" ht="15.75" customHeight="1">
      <c r="A21" s="26"/>
      <c r="B21" s="125" t="s">
        <v>2072</v>
      </c>
      <c r="C21" s="26"/>
      <c r="D21" s="26"/>
      <c r="E21" s="180" t="s">
        <v>2065</v>
      </c>
      <c r="F21" s="180" t="s">
        <v>2065</v>
      </c>
      <c r="G21" s="180" t="s">
        <v>2065</v>
      </c>
      <c r="H21" s="180" t="s">
        <v>2065</v>
      </c>
      <c r="I21" s="180" t="s">
        <v>2065</v>
      </c>
      <c r="J21" s="180" t="s">
        <v>2065</v>
      </c>
      <c r="K21" s="180" t="s">
        <v>2065</v>
      </c>
      <c r="L21" s="180" t="s">
        <v>2065</v>
      </c>
      <c r="M21" s="180" t="s">
        <v>2065</v>
      </c>
      <c r="N21" s="180">
        <v>173748</v>
      </c>
      <c r="O21" s="180">
        <v>173748</v>
      </c>
      <c r="P21" s="180">
        <v>173748</v>
      </c>
      <c r="Q21" s="180" t="s">
        <v>2065</v>
      </c>
      <c r="R21" s="171">
        <f t="shared" ref="R21:R25" si="3">SUM(E21:Q21)</f>
        <v>521244</v>
      </c>
      <c r="S21" s="26"/>
      <c r="T21" s="26"/>
      <c r="U21" s="26"/>
      <c r="V21" s="26"/>
      <c r="W21" s="26"/>
      <c r="X21" s="26"/>
    </row>
    <row r="22" spans="1:24" ht="15.75" customHeight="1">
      <c r="A22" s="26"/>
      <c r="B22" s="125" t="s">
        <v>2073</v>
      </c>
      <c r="C22" s="26"/>
      <c r="D22" s="26"/>
      <c r="E22" s="180" t="s">
        <v>2065</v>
      </c>
      <c r="F22" s="180" t="s">
        <v>2065</v>
      </c>
      <c r="G22" s="180" t="s">
        <v>2065</v>
      </c>
      <c r="H22" s="180" t="s">
        <v>2065</v>
      </c>
      <c r="I22" s="180" t="s">
        <v>2065</v>
      </c>
      <c r="J22" s="180" t="s">
        <v>2065</v>
      </c>
      <c r="K22" s="180"/>
      <c r="L22" s="180" t="s">
        <v>2065</v>
      </c>
      <c r="M22" s="180" t="s">
        <v>2065</v>
      </c>
      <c r="N22" s="180" t="s">
        <v>2065</v>
      </c>
      <c r="O22" s="180" t="s">
        <v>2065</v>
      </c>
      <c r="P22" s="180" t="s">
        <v>2065</v>
      </c>
      <c r="Q22" s="180">
        <v>450000</v>
      </c>
      <c r="R22" s="171">
        <f t="shared" si="3"/>
        <v>450000</v>
      </c>
      <c r="S22" s="26"/>
      <c r="T22" s="26"/>
      <c r="U22" s="26"/>
      <c r="V22" s="26"/>
      <c r="W22" s="26"/>
      <c r="X22" s="26"/>
    </row>
    <row r="23" spans="1:24" ht="15.75" customHeight="1">
      <c r="A23" s="26"/>
      <c r="B23" s="125" t="s">
        <v>2074</v>
      </c>
      <c r="C23" s="26"/>
      <c r="D23" s="26"/>
      <c r="E23" s="180" t="s">
        <v>2065</v>
      </c>
      <c r="F23" s="180" t="s">
        <v>2065</v>
      </c>
      <c r="G23" s="180" t="s">
        <v>2065</v>
      </c>
      <c r="H23" s="180" t="s">
        <v>2065</v>
      </c>
      <c r="I23" s="180" t="s">
        <v>2065</v>
      </c>
      <c r="J23" s="180" t="s">
        <v>2065</v>
      </c>
      <c r="K23" s="180" t="s">
        <v>2065</v>
      </c>
      <c r="L23" s="180" t="s">
        <v>2065</v>
      </c>
      <c r="M23" s="180" t="s">
        <v>2065</v>
      </c>
      <c r="N23" s="180" t="s">
        <v>2065</v>
      </c>
      <c r="O23" s="180">
        <v>119743</v>
      </c>
      <c r="P23" s="180">
        <v>119743</v>
      </c>
      <c r="Q23" s="180">
        <v>119743</v>
      </c>
      <c r="R23" s="171">
        <f t="shared" si="3"/>
        <v>359229</v>
      </c>
      <c r="S23" s="26"/>
      <c r="T23" s="26"/>
      <c r="U23" s="26"/>
      <c r="V23" s="26"/>
      <c r="W23" s="26"/>
      <c r="X23" s="26"/>
    </row>
    <row r="24" spans="1:24" ht="15.75" customHeight="1">
      <c r="A24" s="26"/>
      <c r="B24" s="125" t="s">
        <v>2075</v>
      </c>
      <c r="C24" s="26"/>
      <c r="D24" s="26"/>
      <c r="E24" s="180" t="s">
        <v>2065</v>
      </c>
      <c r="F24" s="180" t="s">
        <v>2065</v>
      </c>
      <c r="G24" s="180" t="s">
        <v>2065</v>
      </c>
      <c r="H24" s="180" t="s">
        <v>2065</v>
      </c>
      <c r="I24" s="180" t="s">
        <v>2065</v>
      </c>
      <c r="J24" s="180" t="s">
        <v>2065</v>
      </c>
      <c r="K24" s="180" t="s">
        <v>2065</v>
      </c>
      <c r="L24" s="180" t="s">
        <v>2065</v>
      </c>
      <c r="M24" s="180">
        <v>31250</v>
      </c>
      <c r="N24" s="180">
        <v>31250</v>
      </c>
      <c r="O24" s="180">
        <v>31250</v>
      </c>
      <c r="P24" s="180">
        <v>31250</v>
      </c>
      <c r="Q24" s="180">
        <v>31250</v>
      </c>
      <c r="R24" s="171">
        <f t="shared" si="3"/>
        <v>156250</v>
      </c>
      <c r="S24" s="26"/>
      <c r="T24" s="26"/>
      <c r="U24" s="26"/>
      <c r="V24" s="26"/>
      <c r="W24" s="26"/>
      <c r="X24" s="26"/>
    </row>
    <row r="25" spans="1:24" ht="15.75" customHeight="1">
      <c r="A25" s="26"/>
      <c r="B25" s="125"/>
      <c r="C25" s="1067" t="s">
        <v>2076</v>
      </c>
      <c r="D25" s="1067"/>
      <c r="E25" s="1075">
        <f t="shared" ref="E25:Q25" si="4">SUM(E21:E24)</f>
        <v>0</v>
      </c>
      <c r="F25" s="1075">
        <f t="shared" si="4"/>
        <v>0</v>
      </c>
      <c r="G25" s="1075">
        <f t="shared" si="4"/>
        <v>0</v>
      </c>
      <c r="H25" s="1075">
        <f t="shared" si="4"/>
        <v>0</v>
      </c>
      <c r="I25" s="1075">
        <f t="shared" si="4"/>
        <v>0</v>
      </c>
      <c r="J25" s="1075">
        <f t="shared" si="4"/>
        <v>0</v>
      </c>
      <c r="K25" s="1075">
        <f t="shared" si="4"/>
        <v>0</v>
      </c>
      <c r="L25" s="1075">
        <f t="shared" si="4"/>
        <v>0</v>
      </c>
      <c r="M25" s="1075">
        <f t="shared" si="4"/>
        <v>31250</v>
      </c>
      <c r="N25" s="1075">
        <f t="shared" si="4"/>
        <v>204998</v>
      </c>
      <c r="O25" s="1075">
        <f t="shared" si="4"/>
        <v>324741</v>
      </c>
      <c r="P25" s="1075">
        <f t="shared" si="4"/>
        <v>324741</v>
      </c>
      <c r="Q25" s="1075">
        <f t="shared" si="4"/>
        <v>600993</v>
      </c>
      <c r="R25" s="1076">
        <f t="shared" si="3"/>
        <v>1486723</v>
      </c>
      <c r="S25" s="26"/>
      <c r="T25" s="26"/>
      <c r="U25" s="26"/>
      <c r="V25" s="26"/>
      <c r="W25" s="26"/>
      <c r="X25" s="26"/>
    </row>
    <row r="26" spans="1:24" ht="15.75" customHeight="1">
      <c r="A26" s="26"/>
      <c r="B26" s="125"/>
      <c r="C26" s="26"/>
      <c r="D26" s="26"/>
      <c r="E26" s="180"/>
      <c r="F26" s="180"/>
      <c r="G26" s="180"/>
      <c r="H26" s="180"/>
      <c r="I26" s="180"/>
      <c r="J26" s="180"/>
      <c r="K26" s="180"/>
      <c r="L26" s="180"/>
      <c r="M26" s="180"/>
      <c r="N26" s="180"/>
      <c r="O26" s="180"/>
      <c r="P26" s="180"/>
      <c r="Q26" s="180"/>
      <c r="R26" s="171"/>
      <c r="S26" s="26"/>
      <c r="T26" s="26"/>
      <c r="U26" s="26"/>
      <c r="V26" s="26"/>
      <c r="W26" s="26"/>
      <c r="X26" s="26"/>
    </row>
    <row r="27" spans="1:24" ht="15.75" customHeight="1">
      <c r="A27" s="26"/>
      <c r="B27" s="135"/>
      <c r="C27" s="1077" t="s">
        <v>2077</v>
      </c>
      <c r="D27" s="1077"/>
      <c r="E27" s="1078">
        <f t="shared" ref="E27:R27" si="5">E10+E14+E25</f>
        <v>666667</v>
      </c>
      <c r="F27" s="1078">
        <f t="shared" si="5"/>
        <v>750000</v>
      </c>
      <c r="G27" s="1078">
        <f t="shared" si="5"/>
        <v>666667</v>
      </c>
      <c r="H27" s="1078">
        <f t="shared" si="5"/>
        <v>750000</v>
      </c>
      <c r="I27" s="1078">
        <f t="shared" si="5"/>
        <v>666667</v>
      </c>
      <c r="J27" s="1078">
        <f t="shared" si="5"/>
        <v>750000</v>
      </c>
      <c r="K27" s="1078">
        <f t="shared" si="5"/>
        <v>750000</v>
      </c>
      <c r="L27" s="1078">
        <f t="shared" si="5"/>
        <v>300000</v>
      </c>
      <c r="M27" s="1078">
        <f t="shared" si="5"/>
        <v>31250</v>
      </c>
      <c r="N27" s="1078">
        <f t="shared" si="5"/>
        <v>204998</v>
      </c>
      <c r="O27" s="1078">
        <f t="shared" si="5"/>
        <v>324741</v>
      </c>
      <c r="P27" s="1078">
        <f t="shared" si="5"/>
        <v>324741</v>
      </c>
      <c r="Q27" s="1078">
        <f t="shared" si="5"/>
        <v>600993</v>
      </c>
      <c r="R27" s="1079">
        <f t="shared" si="5"/>
        <v>6786724</v>
      </c>
      <c r="S27" s="26"/>
      <c r="T27" s="26"/>
      <c r="U27" s="26"/>
      <c r="V27" s="26"/>
      <c r="W27" s="26"/>
      <c r="X27" s="26"/>
    </row>
    <row r="28" spans="1:24" ht="15.75" customHeight="1">
      <c r="A28" s="26"/>
      <c r="B28" s="26"/>
      <c r="C28" s="26"/>
      <c r="D28" s="26"/>
      <c r="E28" s="180"/>
      <c r="F28" s="180"/>
      <c r="G28" s="180"/>
      <c r="H28" s="180"/>
      <c r="I28" s="180"/>
      <c r="J28" s="180"/>
      <c r="K28" s="180"/>
      <c r="L28" s="180"/>
      <c r="M28" s="180"/>
      <c r="N28" s="180"/>
      <c r="O28" s="180"/>
      <c r="P28" s="180"/>
      <c r="Q28" s="180"/>
      <c r="R28" s="180"/>
      <c r="S28" s="26"/>
      <c r="T28" s="26"/>
      <c r="U28" s="26"/>
      <c r="V28" s="26"/>
      <c r="W28" s="26"/>
      <c r="X28" s="26"/>
    </row>
    <row r="29" spans="1:24" ht="15.75" customHeight="1">
      <c r="A29" s="26"/>
      <c r="B29" s="26"/>
      <c r="C29" s="26"/>
      <c r="D29" s="26"/>
      <c r="E29" s="180"/>
      <c r="F29" s="180"/>
      <c r="G29" s="180"/>
      <c r="H29" s="180"/>
      <c r="I29" s="180"/>
      <c r="J29" s="180"/>
      <c r="K29" s="180"/>
      <c r="L29" s="180"/>
      <c r="M29" s="180"/>
      <c r="N29" s="180"/>
      <c r="O29" s="180"/>
      <c r="P29" s="180"/>
      <c r="Q29" s="180"/>
      <c r="R29" s="180"/>
      <c r="S29" s="26"/>
      <c r="T29" s="26"/>
      <c r="U29" s="26"/>
      <c r="V29" s="26"/>
      <c r="W29" s="26"/>
      <c r="X29" s="26"/>
    </row>
    <row r="30" spans="1:24" ht="15.75" customHeight="1">
      <c r="A30" s="26"/>
      <c r="B30" s="26"/>
      <c r="C30" s="26"/>
      <c r="D30" s="26"/>
      <c r="E30" s="180"/>
      <c r="F30" s="180"/>
      <c r="G30" s="180"/>
      <c r="H30" s="180"/>
      <c r="I30" s="180"/>
      <c r="J30" s="180"/>
      <c r="K30" s="180"/>
      <c r="L30" s="1428" t="s">
        <v>2048</v>
      </c>
      <c r="M30" s="1305"/>
      <c r="N30" s="1305"/>
      <c r="O30" s="1305"/>
      <c r="P30" s="1305"/>
      <c r="Q30" s="1305"/>
      <c r="R30" s="180"/>
      <c r="S30" s="26"/>
      <c r="T30" s="26"/>
      <c r="U30" s="26"/>
      <c r="V30" s="26"/>
      <c r="W30" s="26"/>
      <c r="X30" s="26"/>
    </row>
    <row r="31" spans="1:24" ht="15.75" customHeight="1">
      <c r="A31" s="26"/>
      <c r="B31" s="1080" t="s">
        <v>2078</v>
      </c>
      <c r="C31" s="1081"/>
      <c r="D31" s="1081"/>
      <c r="E31" s="1063" t="s">
        <v>2050</v>
      </c>
      <c r="F31" s="1063" t="s">
        <v>2051</v>
      </c>
      <c r="G31" s="1063" t="s">
        <v>2052</v>
      </c>
      <c r="H31" s="1063" t="s">
        <v>2053</v>
      </c>
      <c r="I31" s="1063" t="s">
        <v>2054</v>
      </c>
      <c r="J31" s="1063" t="s">
        <v>2055</v>
      </c>
      <c r="K31" s="1063" t="s">
        <v>2056</v>
      </c>
      <c r="L31" s="1063" t="s">
        <v>2057</v>
      </c>
      <c r="M31" s="1063" t="s">
        <v>2058</v>
      </c>
      <c r="N31" s="1063" t="s">
        <v>2059</v>
      </c>
      <c r="O31" s="1063" t="s">
        <v>2060</v>
      </c>
      <c r="P31" s="1063" t="s">
        <v>2061</v>
      </c>
      <c r="Q31" s="1063" t="s">
        <v>2062</v>
      </c>
      <c r="R31" s="1064" t="s">
        <v>1648</v>
      </c>
      <c r="S31" s="26"/>
      <c r="T31" s="26"/>
      <c r="U31" s="26"/>
      <c r="V31" s="26"/>
      <c r="W31" s="26"/>
      <c r="X31" s="26"/>
    </row>
    <row r="32" spans="1:24" ht="15.75" customHeight="1">
      <c r="A32" s="26"/>
      <c r="B32" s="1082" t="s">
        <v>1589</v>
      </c>
      <c r="C32" s="26"/>
      <c r="D32" s="26"/>
      <c r="E32" s="180"/>
      <c r="F32" s="180"/>
      <c r="G32" s="180"/>
      <c r="H32" s="180"/>
      <c r="I32" s="180"/>
      <c r="J32" s="180"/>
      <c r="K32" s="180"/>
      <c r="L32" s="180"/>
      <c r="M32" s="180"/>
      <c r="N32" s="180"/>
      <c r="O32" s="180"/>
      <c r="P32" s="180"/>
      <c r="Q32" s="180"/>
      <c r="R32" s="171"/>
      <c r="S32" s="26"/>
      <c r="T32" s="26"/>
      <c r="U32" s="26"/>
      <c r="V32" s="26"/>
      <c r="W32" s="26"/>
      <c r="X32" s="26"/>
    </row>
    <row r="33" spans="1:24" ht="15.75" customHeight="1">
      <c r="A33" s="26"/>
      <c r="B33" s="125" t="s">
        <v>2079</v>
      </c>
      <c r="C33" s="26"/>
      <c r="D33" s="26"/>
      <c r="E33" s="180">
        <v>780000</v>
      </c>
      <c r="F33" s="180">
        <v>0</v>
      </c>
      <c r="G33" s="180">
        <v>0</v>
      </c>
      <c r="H33" s="180">
        <v>0</v>
      </c>
      <c r="I33" s="180">
        <v>0</v>
      </c>
      <c r="J33" s="180">
        <v>0</v>
      </c>
      <c r="K33" s="180">
        <v>0</v>
      </c>
      <c r="L33" s="180">
        <v>0</v>
      </c>
      <c r="M33" s="180">
        <v>0</v>
      </c>
      <c r="N33" s="180">
        <v>0</v>
      </c>
      <c r="O33" s="180">
        <v>0</v>
      </c>
      <c r="P33" s="180">
        <v>0</v>
      </c>
      <c r="Q33" s="180">
        <v>0</v>
      </c>
      <c r="R33" s="171">
        <f>SUM(E33:Q33)</f>
        <v>780000</v>
      </c>
      <c r="S33" s="26"/>
      <c r="T33" s="26"/>
      <c r="U33" s="26"/>
      <c r="V33" s="26"/>
      <c r="W33" s="26"/>
      <c r="X33" s="26"/>
    </row>
    <row r="34" spans="1:24" ht="15.75" customHeight="1">
      <c r="A34" s="26"/>
      <c r="B34" s="125" t="s">
        <v>2080</v>
      </c>
      <c r="C34" s="26"/>
      <c r="D34" s="26"/>
      <c r="E34" s="180"/>
      <c r="F34" s="180"/>
      <c r="G34" s="180"/>
      <c r="H34" s="180"/>
      <c r="I34" s="180"/>
      <c r="J34" s="180"/>
      <c r="K34" s="180"/>
      <c r="L34" s="180">
        <v>14565</v>
      </c>
      <c r="M34" s="180">
        <v>14565</v>
      </c>
      <c r="N34" s="180">
        <v>14565</v>
      </c>
      <c r="O34" s="180">
        <v>14565</v>
      </c>
      <c r="P34" s="180">
        <v>14565</v>
      </c>
      <c r="Q34" s="180">
        <v>14565</v>
      </c>
      <c r="R34" s="171"/>
      <c r="S34" s="26"/>
      <c r="T34" s="26"/>
      <c r="U34" s="26"/>
      <c r="V34" s="26"/>
      <c r="W34" s="26"/>
      <c r="X34" s="26"/>
    </row>
    <row r="35" spans="1:24" ht="15.75" customHeight="1">
      <c r="A35" s="26"/>
      <c r="B35" s="125" t="s">
        <v>2081</v>
      </c>
      <c r="C35" s="26"/>
      <c r="D35" s="26"/>
      <c r="E35" s="180"/>
      <c r="F35" s="180"/>
      <c r="G35" s="180"/>
      <c r="H35" s="180"/>
      <c r="I35" s="180"/>
      <c r="J35" s="180"/>
      <c r="K35" s="180"/>
      <c r="L35" s="180">
        <v>0</v>
      </c>
      <c r="M35" s="180">
        <v>0</v>
      </c>
      <c r="N35" s="180">
        <v>0</v>
      </c>
      <c r="O35" s="180">
        <v>0</v>
      </c>
      <c r="P35" s="180">
        <v>0</v>
      </c>
      <c r="Q35" s="180">
        <v>0</v>
      </c>
      <c r="R35" s="171">
        <f>SUM(E35:Q35)</f>
        <v>0</v>
      </c>
      <c r="S35" s="26" t="s">
        <v>2082</v>
      </c>
      <c r="T35" s="26"/>
      <c r="U35" s="26"/>
      <c r="V35" s="26"/>
      <c r="W35" s="26"/>
      <c r="X35" s="26"/>
    </row>
    <row r="36" spans="1:24" ht="15.75" customHeight="1">
      <c r="A36" s="26"/>
      <c r="B36" s="125"/>
      <c r="C36" s="26"/>
      <c r="D36" s="26"/>
      <c r="E36" s="180"/>
      <c r="F36" s="180"/>
      <c r="G36" s="180"/>
      <c r="H36" s="180"/>
      <c r="I36" s="180"/>
      <c r="J36" s="180"/>
      <c r="K36" s="180"/>
      <c r="L36" s="180"/>
      <c r="M36" s="180"/>
      <c r="N36" s="180"/>
      <c r="O36" s="180"/>
      <c r="P36" s="180"/>
      <c r="Q36" s="180"/>
      <c r="R36" s="1076">
        <v>780000</v>
      </c>
      <c r="S36" s="26"/>
      <c r="T36" s="26"/>
      <c r="U36" s="26"/>
      <c r="V36" s="26"/>
      <c r="W36" s="26"/>
      <c r="X36" s="26"/>
    </row>
    <row r="37" spans="1:24" ht="15.75" customHeight="1">
      <c r="A37" s="26"/>
      <c r="B37" s="125"/>
      <c r="C37" s="26"/>
      <c r="D37" s="26"/>
      <c r="E37" s="180"/>
      <c r="F37" s="180"/>
      <c r="G37" s="180"/>
      <c r="H37" s="180"/>
      <c r="I37" s="180"/>
      <c r="J37" s="180"/>
      <c r="K37" s="180"/>
      <c r="L37" s="180"/>
      <c r="M37" s="180"/>
      <c r="N37" s="180"/>
      <c r="O37" s="180"/>
      <c r="P37" s="180"/>
      <c r="Q37" s="180"/>
      <c r="R37" s="171"/>
      <c r="S37" s="26"/>
      <c r="T37" s="26"/>
      <c r="U37" s="26"/>
      <c r="V37" s="26"/>
      <c r="W37" s="26"/>
      <c r="X37" s="26"/>
    </row>
    <row r="38" spans="1:24" ht="15.75" customHeight="1">
      <c r="A38" s="26"/>
      <c r="B38" s="1082" t="s">
        <v>383</v>
      </c>
      <c r="C38" s="26"/>
      <c r="D38" s="26"/>
      <c r="E38" s="180"/>
      <c r="F38" s="180"/>
      <c r="G38" s="180"/>
      <c r="H38" s="180"/>
      <c r="I38" s="180"/>
      <c r="J38" s="180"/>
      <c r="K38" s="180"/>
      <c r="L38" s="180"/>
      <c r="M38" s="180"/>
      <c r="N38" s="180"/>
      <c r="O38" s="180"/>
      <c r="P38" s="180"/>
      <c r="Q38" s="180"/>
      <c r="R38" s="171"/>
      <c r="S38" s="26"/>
      <c r="T38" s="26"/>
      <c r="U38" s="26"/>
      <c r="V38" s="26"/>
      <c r="W38" s="26"/>
      <c r="X38" s="26"/>
    </row>
    <row r="39" spans="1:24" ht="15.75" customHeight="1">
      <c r="A39" s="26"/>
      <c r="B39" s="125" t="s">
        <v>941</v>
      </c>
      <c r="C39" s="26"/>
      <c r="D39" s="26"/>
      <c r="E39" s="180">
        <v>116538</v>
      </c>
      <c r="F39" s="180">
        <v>216538</v>
      </c>
      <c r="G39" s="180">
        <v>86538</v>
      </c>
      <c r="H39" s="180">
        <v>81538</v>
      </c>
      <c r="I39" s="180">
        <v>91538</v>
      </c>
      <c r="J39" s="180">
        <v>61538</v>
      </c>
      <c r="K39" s="180">
        <v>86538</v>
      </c>
      <c r="L39" s="180">
        <v>86538</v>
      </c>
      <c r="M39" s="180">
        <v>81538</v>
      </c>
      <c r="N39" s="180">
        <v>61538</v>
      </c>
      <c r="O39" s="180">
        <v>66538</v>
      </c>
      <c r="P39" s="180">
        <v>81538</v>
      </c>
      <c r="Q39" s="180">
        <v>151538</v>
      </c>
      <c r="R39" s="171">
        <f t="shared" ref="R39:R45" si="6">SUM(E39:Q39)</f>
        <v>1269994</v>
      </c>
      <c r="S39" s="26"/>
      <c r="T39" s="26"/>
      <c r="U39" s="26"/>
      <c r="V39" s="26"/>
      <c r="W39" s="26"/>
      <c r="X39" s="26"/>
    </row>
    <row r="40" spans="1:24" ht="15.75" customHeight="1">
      <c r="A40" s="26"/>
      <c r="B40" s="125" t="s">
        <v>944</v>
      </c>
      <c r="C40" s="26"/>
      <c r="D40" s="26"/>
      <c r="E40" s="180" t="s">
        <v>2065</v>
      </c>
      <c r="F40" s="180" t="s">
        <v>2065</v>
      </c>
      <c r="G40" s="180" t="s">
        <v>2065</v>
      </c>
      <c r="H40" s="180">
        <v>680000</v>
      </c>
      <c r="I40" s="180">
        <v>680000</v>
      </c>
      <c r="J40" s="180">
        <v>1811000</v>
      </c>
      <c r="K40" s="180">
        <v>2472000</v>
      </c>
      <c r="L40" s="180">
        <v>730000</v>
      </c>
      <c r="M40" s="180">
        <v>109500</v>
      </c>
      <c r="N40" s="180" t="s">
        <v>2065</v>
      </c>
      <c r="O40" s="180" t="s">
        <v>2065</v>
      </c>
      <c r="P40" s="180">
        <v>165000</v>
      </c>
      <c r="Q40" s="180">
        <v>632500</v>
      </c>
      <c r="R40" s="171">
        <f t="shared" si="6"/>
        <v>7280000</v>
      </c>
      <c r="S40" s="26"/>
      <c r="T40" s="26"/>
      <c r="U40" s="26"/>
      <c r="V40" s="26"/>
      <c r="W40" s="26"/>
      <c r="X40" s="26"/>
    </row>
    <row r="41" spans="1:24" ht="15.75" customHeight="1">
      <c r="A41" s="26"/>
      <c r="B41" s="125" t="s">
        <v>946</v>
      </c>
      <c r="C41" s="26"/>
      <c r="D41" s="26"/>
      <c r="E41" s="180" t="s">
        <v>2065</v>
      </c>
      <c r="F41" s="180" t="s">
        <v>2065</v>
      </c>
      <c r="G41" s="180" t="s">
        <v>2065</v>
      </c>
      <c r="H41" s="180" t="s">
        <v>2065</v>
      </c>
      <c r="I41" s="180" t="s">
        <v>2065</v>
      </c>
      <c r="J41" s="180" t="s">
        <v>2065</v>
      </c>
      <c r="K41" s="180" t="s">
        <v>2065</v>
      </c>
      <c r="L41" s="180" t="s">
        <v>2065</v>
      </c>
      <c r="M41" s="180">
        <v>600000</v>
      </c>
      <c r="N41" s="180">
        <v>130000</v>
      </c>
      <c r="O41" s="180" t="s">
        <v>2065</v>
      </c>
      <c r="P41" s="180">
        <v>375000</v>
      </c>
      <c r="Q41" s="180" t="s">
        <v>2065</v>
      </c>
      <c r="R41" s="171">
        <f t="shared" si="6"/>
        <v>1105000</v>
      </c>
      <c r="S41" s="26"/>
      <c r="T41" s="26"/>
      <c r="U41" s="26"/>
      <c r="V41" s="26"/>
      <c r="W41" s="26"/>
      <c r="X41" s="26"/>
    </row>
    <row r="42" spans="1:24" ht="15.75" customHeight="1">
      <c r="A42" s="26"/>
      <c r="B42" s="125" t="s">
        <v>948</v>
      </c>
      <c r="C42" s="26"/>
      <c r="D42" s="26"/>
      <c r="E42" s="180" t="s">
        <v>2065</v>
      </c>
      <c r="F42" s="180" t="s">
        <v>2065</v>
      </c>
      <c r="G42" s="180" t="s">
        <v>2065</v>
      </c>
      <c r="H42" s="180">
        <v>45000</v>
      </c>
      <c r="I42" s="180" t="s">
        <v>2065</v>
      </c>
      <c r="J42" s="180" t="s">
        <v>2065</v>
      </c>
      <c r="K42" s="180" t="s">
        <v>2065</v>
      </c>
      <c r="L42" s="180" t="s">
        <v>2065</v>
      </c>
      <c r="M42" s="180" t="s">
        <v>2065</v>
      </c>
      <c r="N42" s="180" t="s">
        <v>2065</v>
      </c>
      <c r="O42" s="180">
        <v>225000</v>
      </c>
      <c r="P42" s="180">
        <v>150000</v>
      </c>
      <c r="Q42" s="180" t="s">
        <v>2065</v>
      </c>
      <c r="R42" s="171">
        <f t="shared" si="6"/>
        <v>420000</v>
      </c>
      <c r="S42" s="26"/>
      <c r="T42" s="26"/>
      <c r="U42" s="26"/>
      <c r="V42" s="26"/>
      <c r="W42" s="26"/>
      <c r="X42" s="26"/>
    </row>
    <row r="43" spans="1:24" ht="15.75" customHeight="1">
      <c r="A43" s="26"/>
      <c r="B43" s="125" t="s">
        <v>950</v>
      </c>
      <c r="C43" s="26"/>
      <c r="D43" s="26"/>
      <c r="E43" s="180" t="s">
        <v>2065</v>
      </c>
      <c r="F43" s="180" t="s">
        <v>2065</v>
      </c>
      <c r="G43" s="180" t="s">
        <v>2065</v>
      </c>
      <c r="H43" s="180" t="s">
        <v>2065</v>
      </c>
      <c r="I43" s="180" t="s">
        <v>2065</v>
      </c>
      <c r="J43" s="180" t="s">
        <v>2065</v>
      </c>
      <c r="K43" s="180">
        <v>60000</v>
      </c>
      <c r="L43" s="180">
        <v>20000</v>
      </c>
      <c r="M43" s="180">
        <v>82000</v>
      </c>
      <c r="N43" s="180">
        <v>102000</v>
      </c>
      <c r="O43" s="180">
        <v>676000</v>
      </c>
      <c r="P43" s="180">
        <v>160000</v>
      </c>
      <c r="Q43" s="180">
        <v>100000</v>
      </c>
      <c r="R43" s="171">
        <f t="shared" si="6"/>
        <v>1200000</v>
      </c>
      <c r="S43" s="26"/>
      <c r="T43" s="26"/>
      <c r="U43" s="26"/>
      <c r="V43" s="26"/>
      <c r="W43" s="26"/>
      <c r="X43" s="26"/>
    </row>
    <row r="44" spans="1:24" ht="15.75" customHeight="1">
      <c r="A44" s="26"/>
      <c r="B44" s="125" t="s">
        <v>952</v>
      </c>
      <c r="C44" s="26"/>
      <c r="D44" s="26"/>
      <c r="E44" s="180" t="s">
        <v>2065</v>
      </c>
      <c r="F44" s="180" t="s">
        <v>2065</v>
      </c>
      <c r="G44" s="180" t="s">
        <v>2065</v>
      </c>
      <c r="H44" s="180" t="s">
        <v>2065</v>
      </c>
      <c r="I44" s="180" t="s">
        <v>2065</v>
      </c>
      <c r="J44" s="180">
        <v>620000</v>
      </c>
      <c r="K44" s="180" t="s">
        <v>2065</v>
      </c>
      <c r="L44" s="180" t="s">
        <v>2065</v>
      </c>
      <c r="M44" s="180">
        <v>900000</v>
      </c>
      <c r="N44" s="180">
        <v>1440000</v>
      </c>
      <c r="O44" s="180">
        <v>1990000</v>
      </c>
      <c r="P44" s="180" t="s">
        <v>2065</v>
      </c>
      <c r="Q44" s="180" t="s">
        <v>2065</v>
      </c>
      <c r="R44" s="171">
        <f t="shared" si="6"/>
        <v>4950000</v>
      </c>
      <c r="S44" s="26"/>
      <c r="T44" s="26"/>
      <c r="U44" s="26"/>
      <c r="V44" s="26"/>
      <c r="W44" s="26"/>
      <c r="X44" s="26"/>
    </row>
    <row r="45" spans="1:24" ht="15.75" customHeight="1">
      <c r="A45" s="26"/>
      <c r="B45" s="125" t="s">
        <v>954</v>
      </c>
      <c r="C45" s="26"/>
      <c r="D45" s="26"/>
      <c r="E45" s="180" t="s">
        <v>2065</v>
      </c>
      <c r="F45" s="180" t="s">
        <v>2065</v>
      </c>
      <c r="G45" s="180" t="s">
        <v>2065</v>
      </c>
      <c r="H45" s="180" t="s">
        <v>2065</v>
      </c>
      <c r="I45" s="180" t="s">
        <v>2065</v>
      </c>
      <c r="J45" s="180" t="s">
        <v>2065</v>
      </c>
      <c r="K45" s="180" t="s">
        <v>2065</v>
      </c>
      <c r="L45" s="180" t="s">
        <v>2065</v>
      </c>
      <c r="M45" s="180">
        <v>20000</v>
      </c>
      <c r="N45" s="180" t="s">
        <v>2065</v>
      </c>
      <c r="O45" s="180">
        <v>200000</v>
      </c>
      <c r="P45" s="180" t="s">
        <v>2065</v>
      </c>
      <c r="Q45" s="180" t="s">
        <v>2065</v>
      </c>
      <c r="R45" s="171">
        <f t="shared" si="6"/>
        <v>220000</v>
      </c>
      <c r="S45" s="26"/>
      <c r="T45" s="26"/>
      <c r="U45" s="26"/>
      <c r="V45" s="26"/>
      <c r="W45" s="26"/>
      <c r="X45" s="26"/>
    </row>
    <row r="46" spans="1:24" ht="15.75" customHeight="1">
      <c r="A46" s="26"/>
      <c r="B46" s="1082"/>
      <c r="C46" s="26"/>
      <c r="D46" s="26"/>
      <c r="E46" s="180"/>
      <c r="F46" s="180"/>
      <c r="G46" s="180"/>
      <c r="H46" s="180"/>
      <c r="I46" s="180"/>
      <c r="J46" s="180"/>
      <c r="K46" s="180"/>
      <c r="L46" s="180"/>
      <c r="M46" s="180"/>
      <c r="N46" s="180"/>
      <c r="O46" s="180"/>
      <c r="P46" s="180"/>
      <c r="Q46" s="180"/>
      <c r="R46" s="1076">
        <f>SUM(R39:R45)</f>
        <v>16444994</v>
      </c>
      <c r="S46" s="26"/>
      <c r="T46" s="26"/>
      <c r="U46" s="26"/>
      <c r="V46" s="26"/>
      <c r="W46" s="26"/>
      <c r="X46" s="26"/>
    </row>
    <row r="47" spans="1:24" ht="15.75" customHeight="1">
      <c r="A47" s="26"/>
      <c r="B47" s="1082"/>
      <c r="C47" s="26"/>
      <c r="D47" s="26"/>
      <c r="E47" s="180"/>
      <c r="F47" s="180"/>
      <c r="G47" s="180"/>
      <c r="H47" s="180"/>
      <c r="I47" s="180"/>
      <c r="J47" s="180"/>
      <c r="K47" s="180"/>
      <c r="L47" s="180"/>
      <c r="M47" s="180"/>
      <c r="N47" s="180"/>
      <c r="O47" s="180"/>
      <c r="P47" s="180"/>
      <c r="Q47" s="180"/>
      <c r="R47" s="171"/>
      <c r="S47" s="26"/>
      <c r="T47" s="26"/>
      <c r="U47" s="26"/>
      <c r="V47" s="26"/>
      <c r="W47" s="26"/>
      <c r="X47" s="26"/>
    </row>
    <row r="48" spans="1:24" ht="15.75" customHeight="1">
      <c r="A48" s="26"/>
      <c r="B48" s="1082" t="s">
        <v>1617</v>
      </c>
      <c r="C48" s="26"/>
      <c r="D48" s="26"/>
      <c r="E48" s="180"/>
      <c r="F48" s="180"/>
      <c r="G48" s="180"/>
      <c r="H48" s="180"/>
      <c r="I48" s="180"/>
      <c r="J48" s="180"/>
      <c r="K48" s="180"/>
      <c r="L48" s="180"/>
      <c r="M48" s="180"/>
      <c r="N48" s="180"/>
      <c r="O48" s="180"/>
      <c r="P48" s="180"/>
      <c r="Q48" s="180"/>
      <c r="R48" s="171"/>
      <c r="S48" s="26"/>
      <c r="T48" s="26"/>
      <c r="U48" s="26"/>
      <c r="V48" s="26"/>
      <c r="W48" s="26"/>
      <c r="X48" s="26"/>
    </row>
    <row r="49" spans="1:24" ht="15.75" customHeight="1">
      <c r="A49" s="26"/>
      <c r="B49" s="125" t="s">
        <v>432</v>
      </c>
      <c r="C49" s="26"/>
      <c r="D49" s="26"/>
      <c r="E49" s="180" t="s">
        <v>2065</v>
      </c>
      <c r="F49" s="180" t="s">
        <v>2065</v>
      </c>
      <c r="G49" s="180" t="s">
        <v>2065</v>
      </c>
      <c r="H49" s="180" t="s">
        <v>2065</v>
      </c>
      <c r="I49" s="180">
        <v>10000</v>
      </c>
      <c r="J49" s="180" t="s">
        <v>2065</v>
      </c>
      <c r="K49" s="180" t="s">
        <v>2065</v>
      </c>
      <c r="L49" s="180">
        <v>20000</v>
      </c>
      <c r="M49" s="180" t="s">
        <v>2065</v>
      </c>
      <c r="N49" s="180" t="s">
        <v>2065</v>
      </c>
      <c r="O49" s="180" t="s">
        <v>2065</v>
      </c>
      <c r="P49" s="180" t="s">
        <v>2065</v>
      </c>
      <c r="Q49" s="180">
        <v>50000</v>
      </c>
      <c r="R49" s="171">
        <f t="shared" ref="R49:R51" si="7">SUM(E49:Q49)</f>
        <v>80000</v>
      </c>
      <c r="S49" s="26"/>
      <c r="T49" s="26"/>
      <c r="U49" s="26"/>
      <c r="V49" s="26"/>
      <c r="W49" s="26"/>
      <c r="X49" s="26"/>
    </row>
    <row r="50" spans="1:24" ht="15.75" customHeight="1">
      <c r="A50" s="26"/>
      <c r="B50" s="125" t="s">
        <v>1243</v>
      </c>
      <c r="C50" s="26"/>
      <c r="D50" s="26"/>
      <c r="E50" s="180">
        <v>30000</v>
      </c>
      <c r="F50" s="180" t="s">
        <v>2065</v>
      </c>
      <c r="G50" s="180" t="s">
        <v>2065</v>
      </c>
      <c r="H50" s="180" t="s">
        <v>2065</v>
      </c>
      <c r="I50" s="180" t="s">
        <v>2065</v>
      </c>
      <c r="J50" s="180">
        <v>20000</v>
      </c>
      <c r="K50" s="180" t="s">
        <v>2065</v>
      </c>
      <c r="L50" s="180" t="s">
        <v>2065</v>
      </c>
      <c r="M50" s="180" t="s">
        <v>2065</v>
      </c>
      <c r="N50" s="180" t="s">
        <v>2065</v>
      </c>
      <c r="O50" s="180" t="s">
        <v>2065</v>
      </c>
      <c r="P50" s="180" t="s">
        <v>2065</v>
      </c>
      <c r="Q50" s="180" t="s">
        <v>2065</v>
      </c>
      <c r="R50" s="171">
        <f t="shared" si="7"/>
        <v>50000</v>
      </c>
      <c r="S50" s="26"/>
      <c r="T50" s="26"/>
      <c r="U50" s="26"/>
      <c r="V50" s="26"/>
      <c r="W50" s="26"/>
      <c r="X50" s="26"/>
    </row>
    <row r="51" spans="1:24" ht="15.75" customHeight="1">
      <c r="A51" s="26"/>
      <c r="B51" s="125" t="s">
        <v>2083</v>
      </c>
      <c r="C51" s="26"/>
      <c r="D51" s="26"/>
      <c r="E51" s="180" t="s">
        <v>2065</v>
      </c>
      <c r="F51" s="180" t="s">
        <v>2065</v>
      </c>
      <c r="G51" s="180" t="s">
        <v>2065</v>
      </c>
      <c r="H51" s="180" t="s">
        <v>2065</v>
      </c>
      <c r="I51" s="180" t="s">
        <v>2065</v>
      </c>
      <c r="J51" s="180" t="s">
        <v>2065</v>
      </c>
      <c r="K51" s="180" t="s">
        <v>2065</v>
      </c>
      <c r="L51" s="180" t="s">
        <v>2065</v>
      </c>
      <c r="M51" s="180" t="s">
        <v>2065</v>
      </c>
      <c r="N51" s="180" t="s">
        <v>2065</v>
      </c>
      <c r="O51" s="180" t="s">
        <v>2065</v>
      </c>
      <c r="P51" s="180" t="s">
        <v>2065</v>
      </c>
      <c r="Q51" s="180" t="s">
        <v>2065</v>
      </c>
      <c r="R51" s="171">
        <f t="shared" si="7"/>
        <v>0</v>
      </c>
      <c r="S51" s="26"/>
      <c r="T51" s="26"/>
      <c r="U51" s="26"/>
      <c r="V51" s="26"/>
      <c r="W51" s="26"/>
      <c r="X51" s="26"/>
    </row>
    <row r="52" spans="1:24" ht="15.75" customHeight="1">
      <c r="A52" s="26"/>
      <c r="B52" s="1082"/>
      <c r="C52" s="26"/>
      <c r="D52" s="26"/>
      <c r="E52" s="180"/>
      <c r="F52" s="180"/>
      <c r="G52" s="180"/>
      <c r="H52" s="180"/>
      <c r="I52" s="180"/>
      <c r="J52" s="180"/>
      <c r="K52" s="180"/>
      <c r="L52" s="180"/>
      <c r="M52" s="180"/>
      <c r="N52" s="180"/>
      <c r="O52" s="180"/>
      <c r="P52" s="180"/>
      <c r="Q52" s="180"/>
      <c r="R52" s="1076">
        <f>SUM(R49:R51)</f>
        <v>130000</v>
      </c>
      <c r="S52" s="26"/>
      <c r="T52" s="26"/>
      <c r="U52" s="26"/>
      <c r="V52" s="26"/>
      <c r="W52" s="26"/>
      <c r="X52" s="26"/>
    </row>
    <row r="53" spans="1:24" ht="15.75" customHeight="1">
      <c r="A53" s="26"/>
      <c r="B53" s="1082"/>
      <c r="C53" s="26"/>
      <c r="D53" s="26"/>
      <c r="E53" s="180"/>
      <c r="F53" s="180"/>
      <c r="G53" s="180"/>
      <c r="H53" s="180"/>
      <c r="I53" s="180"/>
      <c r="J53" s="180"/>
      <c r="K53" s="180"/>
      <c r="L53" s="180"/>
      <c r="M53" s="180"/>
      <c r="N53" s="180"/>
      <c r="O53" s="180"/>
      <c r="P53" s="180"/>
      <c r="Q53" s="180"/>
      <c r="R53" s="171"/>
      <c r="S53" s="26"/>
      <c r="T53" s="26"/>
      <c r="U53" s="26"/>
      <c r="V53" s="26"/>
      <c r="W53" s="26"/>
      <c r="X53" s="26"/>
    </row>
    <row r="54" spans="1:24" ht="15.75" customHeight="1">
      <c r="A54" s="26"/>
      <c r="B54" s="1082" t="s">
        <v>2084</v>
      </c>
      <c r="C54" s="26"/>
      <c r="D54" s="26"/>
      <c r="E54" s="180"/>
      <c r="F54" s="180"/>
      <c r="G54" s="180"/>
      <c r="H54" s="180"/>
      <c r="I54" s="180"/>
      <c r="J54" s="180"/>
      <c r="K54" s="180"/>
      <c r="L54" s="180"/>
      <c r="M54" s="180"/>
      <c r="N54" s="180"/>
      <c r="O54" s="180"/>
      <c r="P54" s="180"/>
      <c r="Q54" s="180"/>
      <c r="R54" s="171"/>
      <c r="S54" s="26"/>
      <c r="T54" s="26"/>
      <c r="U54" s="26"/>
      <c r="V54" s="26"/>
      <c r="W54" s="26"/>
      <c r="X54" s="26"/>
    </row>
    <row r="55" spans="1:24" ht="15.75" customHeight="1">
      <c r="A55" s="26"/>
      <c r="B55" s="125" t="s">
        <v>2085</v>
      </c>
      <c r="C55" s="26"/>
      <c r="D55" s="26"/>
      <c r="E55" s="180" t="s">
        <v>2065</v>
      </c>
      <c r="F55" s="180" t="s">
        <v>2065</v>
      </c>
      <c r="G55" s="180" t="s">
        <v>2065</v>
      </c>
      <c r="H55" s="180" t="s">
        <v>2065</v>
      </c>
      <c r="I55" s="180" t="s">
        <v>2065</v>
      </c>
      <c r="J55" s="180" t="s">
        <v>2065</v>
      </c>
      <c r="K55" s="180" t="s">
        <v>2065</v>
      </c>
      <c r="L55" s="180" t="s">
        <v>2065</v>
      </c>
      <c r="M55" s="180">
        <v>89690</v>
      </c>
      <c r="N55" s="180">
        <v>89690</v>
      </c>
      <c r="O55" s="180">
        <v>89690</v>
      </c>
      <c r="P55" s="180">
        <v>89690</v>
      </c>
      <c r="Q55" s="180">
        <v>89690</v>
      </c>
      <c r="R55" s="171">
        <f t="shared" ref="R55:R60" si="8">SUM(E55:Q55)</f>
        <v>448450</v>
      </c>
      <c r="S55" s="26"/>
      <c r="T55" s="26"/>
      <c r="U55" s="26"/>
      <c r="V55" s="26"/>
      <c r="W55" s="26"/>
      <c r="X55" s="26"/>
    </row>
    <row r="56" spans="1:24" ht="15.75" customHeight="1">
      <c r="A56" s="26"/>
      <c r="B56" s="125" t="s">
        <v>2086</v>
      </c>
      <c r="C56" s="26"/>
      <c r="D56" s="26"/>
      <c r="E56" s="180" t="s">
        <v>2065</v>
      </c>
      <c r="F56" s="180" t="s">
        <v>2065</v>
      </c>
      <c r="G56" s="180" t="s">
        <v>2065</v>
      </c>
      <c r="H56" s="180" t="s">
        <v>2065</v>
      </c>
      <c r="I56" s="180" t="s">
        <v>2065</v>
      </c>
      <c r="J56" s="180" t="s">
        <v>2065</v>
      </c>
      <c r="K56" s="180" t="s">
        <v>2065</v>
      </c>
      <c r="L56" s="180" t="s">
        <v>2065</v>
      </c>
      <c r="M56" s="180" t="s">
        <v>2065</v>
      </c>
      <c r="N56" s="180" t="s">
        <v>2065</v>
      </c>
      <c r="O56" s="180" t="s">
        <v>2065</v>
      </c>
      <c r="P56" s="180" t="s">
        <v>2065</v>
      </c>
      <c r="Q56" s="180">
        <v>162129</v>
      </c>
      <c r="R56" s="171">
        <f t="shared" si="8"/>
        <v>162129</v>
      </c>
      <c r="S56" s="26"/>
      <c r="T56" s="26"/>
      <c r="U56" s="26"/>
      <c r="V56" s="26"/>
      <c r="W56" s="26"/>
      <c r="X56" s="26"/>
    </row>
    <row r="57" spans="1:24" ht="15.75" customHeight="1">
      <c r="A57" s="26"/>
      <c r="B57" s="125" t="s">
        <v>305</v>
      </c>
      <c r="C57" s="26"/>
      <c r="D57" s="26"/>
      <c r="E57" s="180" t="s">
        <v>2065</v>
      </c>
      <c r="F57" s="180" t="s">
        <v>2065</v>
      </c>
      <c r="G57" s="180" t="s">
        <v>2065</v>
      </c>
      <c r="H57" s="180" t="s">
        <v>2065</v>
      </c>
      <c r="I57" s="180" t="s">
        <v>2065</v>
      </c>
      <c r="J57" s="180" t="s">
        <v>2065</v>
      </c>
      <c r="K57" s="180" t="s">
        <v>2065</v>
      </c>
      <c r="L57" s="180" t="s">
        <v>2065</v>
      </c>
      <c r="M57" s="180" t="s">
        <v>2065</v>
      </c>
      <c r="N57" s="180">
        <v>5000</v>
      </c>
      <c r="O57" s="180">
        <v>5000</v>
      </c>
      <c r="P57" s="180">
        <v>5000</v>
      </c>
      <c r="Q57" s="180">
        <v>5000</v>
      </c>
      <c r="R57" s="171">
        <f t="shared" si="8"/>
        <v>20000</v>
      </c>
      <c r="S57" s="26"/>
      <c r="T57" s="26"/>
      <c r="U57" s="26"/>
      <c r="V57" s="26"/>
      <c r="W57" s="26"/>
      <c r="X57" s="26"/>
    </row>
    <row r="58" spans="1:24" ht="15.75" customHeight="1">
      <c r="A58" s="26"/>
      <c r="B58" s="125" t="s">
        <v>421</v>
      </c>
      <c r="C58" s="26"/>
      <c r="D58" s="26"/>
      <c r="E58" s="180" t="s">
        <v>2065</v>
      </c>
      <c r="F58" s="180" t="s">
        <v>2065</v>
      </c>
      <c r="G58" s="180" t="s">
        <v>2065</v>
      </c>
      <c r="H58" s="180" t="s">
        <v>2065</v>
      </c>
      <c r="I58" s="180" t="s">
        <v>2065</v>
      </c>
      <c r="J58" s="180" t="s">
        <v>2065</v>
      </c>
      <c r="K58" s="180" t="s">
        <v>2065</v>
      </c>
      <c r="L58" s="180" t="s">
        <v>2065</v>
      </c>
      <c r="M58" s="180" t="s">
        <v>2065</v>
      </c>
      <c r="N58" s="180" t="s">
        <v>2065</v>
      </c>
      <c r="O58" s="180" t="s">
        <v>2065</v>
      </c>
      <c r="P58" s="180">
        <v>6250</v>
      </c>
      <c r="Q58" s="180" t="s">
        <v>2065</v>
      </c>
      <c r="R58" s="171">
        <f t="shared" si="8"/>
        <v>6250</v>
      </c>
      <c r="S58" s="26"/>
      <c r="T58" s="26"/>
      <c r="U58" s="26"/>
      <c r="V58" s="26"/>
      <c r="W58" s="26"/>
      <c r="X58" s="26"/>
    </row>
    <row r="59" spans="1:24" ht="15.75" customHeight="1">
      <c r="A59" s="26"/>
      <c r="B59" s="125" t="s">
        <v>309</v>
      </c>
      <c r="C59" s="26"/>
      <c r="D59" s="26"/>
      <c r="E59" s="180" t="s">
        <v>2065</v>
      </c>
      <c r="F59" s="180" t="s">
        <v>2065</v>
      </c>
      <c r="G59" s="180" t="s">
        <v>2065</v>
      </c>
      <c r="H59" s="180" t="s">
        <v>2065</v>
      </c>
      <c r="I59" s="180" t="s">
        <v>2065</v>
      </c>
      <c r="J59" s="180" t="s">
        <v>2065</v>
      </c>
      <c r="K59" s="180" t="s">
        <v>2065</v>
      </c>
      <c r="L59" s="180" t="s">
        <v>2065</v>
      </c>
      <c r="M59" s="180">
        <v>5000</v>
      </c>
      <c r="N59" s="180">
        <v>5000</v>
      </c>
      <c r="O59" s="180">
        <v>5000</v>
      </c>
      <c r="P59" s="180">
        <v>5000</v>
      </c>
      <c r="Q59" s="180">
        <v>5000</v>
      </c>
      <c r="R59" s="171">
        <f t="shared" si="8"/>
        <v>25000</v>
      </c>
      <c r="S59" s="26"/>
      <c r="T59" s="26"/>
      <c r="U59" s="26"/>
      <c r="V59" s="26"/>
      <c r="W59" s="26"/>
      <c r="X59" s="26"/>
    </row>
    <row r="60" spans="1:24" ht="15.75" customHeight="1">
      <c r="A60" s="26"/>
      <c r="B60" s="125" t="s">
        <v>954</v>
      </c>
      <c r="C60" s="26"/>
      <c r="D60" s="26"/>
      <c r="E60" s="180" t="s">
        <v>2065</v>
      </c>
      <c r="F60" s="180" t="s">
        <v>2065</v>
      </c>
      <c r="G60" s="180" t="s">
        <v>2065</v>
      </c>
      <c r="H60" s="180" t="s">
        <v>2065</v>
      </c>
      <c r="I60" s="180" t="s">
        <v>2065</v>
      </c>
      <c r="J60" s="180" t="s">
        <v>2065</v>
      </c>
      <c r="K60" s="180" t="s">
        <v>2065</v>
      </c>
      <c r="L60" s="180" t="s">
        <v>2065</v>
      </c>
      <c r="M60" s="180">
        <v>33333</v>
      </c>
      <c r="N60" s="180">
        <v>33333</v>
      </c>
      <c r="O60" s="180">
        <v>33333</v>
      </c>
      <c r="P60" s="180">
        <v>33333</v>
      </c>
      <c r="Q60" s="180">
        <v>33333</v>
      </c>
      <c r="R60" s="171">
        <f t="shared" si="8"/>
        <v>166665</v>
      </c>
      <c r="S60" s="26"/>
      <c r="T60" s="26"/>
      <c r="U60" s="26"/>
      <c r="V60" s="26"/>
      <c r="W60" s="26"/>
      <c r="X60" s="26"/>
    </row>
    <row r="61" spans="1:24" ht="15.75" customHeight="1">
      <c r="A61" s="26"/>
      <c r="B61" s="125"/>
      <c r="C61" s="26"/>
      <c r="D61" s="26"/>
      <c r="E61" s="180"/>
      <c r="F61" s="180"/>
      <c r="G61" s="180"/>
      <c r="H61" s="180"/>
      <c r="I61" s="180"/>
      <c r="J61" s="180"/>
      <c r="K61" s="180"/>
      <c r="L61" s="180"/>
      <c r="M61" s="180"/>
      <c r="N61" s="180"/>
      <c r="O61" s="180"/>
      <c r="P61" s="180"/>
      <c r="Q61" s="180"/>
      <c r="R61" s="1076">
        <v>828496</v>
      </c>
      <c r="S61" s="26"/>
      <c r="T61" s="26"/>
      <c r="U61" s="26"/>
      <c r="V61" s="26"/>
      <c r="W61" s="26"/>
      <c r="X61" s="26"/>
    </row>
    <row r="62" spans="1:24" ht="15.75" customHeight="1">
      <c r="A62" s="26"/>
      <c r="B62" s="125"/>
      <c r="C62" s="26"/>
      <c r="D62" s="26"/>
      <c r="E62" s="180"/>
      <c r="F62" s="180"/>
      <c r="G62" s="180"/>
      <c r="H62" s="180"/>
      <c r="I62" s="180"/>
      <c r="J62" s="180"/>
      <c r="K62" s="180"/>
      <c r="L62" s="180"/>
      <c r="M62" s="180"/>
      <c r="N62" s="180"/>
      <c r="O62" s="180"/>
      <c r="P62" s="180"/>
      <c r="Q62" s="180"/>
      <c r="R62" s="171"/>
      <c r="S62" s="26"/>
      <c r="T62" s="26"/>
      <c r="U62" s="26"/>
      <c r="V62" s="26"/>
      <c r="W62" s="26"/>
      <c r="X62" s="26"/>
    </row>
    <row r="63" spans="1:24" ht="15.75" customHeight="1">
      <c r="A63" s="26"/>
      <c r="B63" s="1083" t="s">
        <v>2087</v>
      </c>
      <c r="C63" s="1067"/>
      <c r="D63" s="1067"/>
      <c r="E63" s="1075">
        <f t="shared" ref="E63:Q63" si="9">SUM(E33:E60)</f>
        <v>926538</v>
      </c>
      <c r="F63" s="1075">
        <f t="shared" si="9"/>
        <v>216538</v>
      </c>
      <c r="G63" s="1075">
        <f t="shared" si="9"/>
        <v>86538</v>
      </c>
      <c r="H63" s="1075">
        <f t="shared" si="9"/>
        <v>806538</v>
      </c>
      <c r="I63" s="1075">
        <f t="shared" si="9"/>
        <v>781538</v>
      </c>
      <c r="J63" s="1075">
        <f t="shared" si="9"/>
        <v>2512538</v>
      </c>
      <c r="K63" s="1075">
        <f t="shared" si="9"/>
        <v>2618538</v>
      </c>
      <c r="L63" s="1075">
        <f t="shared" si="9"/>
        <v>871103</v>
      </c>
      <c r="M63" s="1075">
        <f t="shared" si="9"/>
        <v>1935626</v>
      </c>
      <c r="N63" s="1075">
        <f t="shared" si="9"/>
        <v>1881126</v>
      </c>
      <c r="O63" s="1075">
        <f t="shared" si="9"/>
        <v>3305126</v>
      </c>
      <c r="P63" s="1075">
        <f t="shared" si="9"/>
        <v>1085376</v>
      </c>
      <c r="Q63" s="1075">
        <f t="shared" si="9"/>
        <v>1243755</v>
      </c>
      <c r="R63" s="1076">
        <f>SUM(E63:Q63)</f>
        <v>18270878</v>
      </c>
      <c r="S63" s="26"/>
      <c r="T63" s="26"/>
      <c r="U63" s="26"/>
      <c r="V63" s="26"/>
      <c r="W63" s="26"/>
      <c r="X63" s="26"/>
    </row>
    <row r="64" spans="1:24" ht="15.75" customHeight="1">
      <c r="A64" s="26"/>
      <c r="B64" s="125"/>
      <c r="C64" s="26"/>
      <c r="D64" s="26"/>
      <c r="E64" s="180"/>
      <c r="F64" s="180"/>
      <c r="G64" s="180"/>
      <c r="H64" s="180"/>
      <c r="I64" s="180"/>
      <c r="J64" s="180"/>
      <c r="K64" s="180"/>
      <c r="L64" s="180"/>
      <c r="M64" s="180"/>
      <c r="N64" s="180"/>
      <c r="O64" s="180"/>
      <c r="P64" s="180"/>
      <c r="Q64" s="180"/>
      <c r="R64" s="171"/>
      <c r="S64" s="26"/>
      <c r="T64" s="26"/>
      <c r="U64" s="26"/>
      <c r="V64" s="26"/>
      <c r="W64" s="26"/>
      <c r="X64" s="26"/>
    </row>
    <row r="65" spans="1:24" ht="15.75" customHeight="1">
      <c r="A65" s="26"/>
      <c r="B65" s="1084" t="s">
        <v>2077</v>
      </c>
      <c r="C65" s="1077"/>
      <c r="D65" s="1077"/>
      <c r="E65" s="1078">
        <v>666667</v>
      </c>
      <c r="F65" s="1078">
        <v>750000</v>
      </c>
      <c r="G65" s="1078">
        <v>666667</v>
      </c>
      <c r="H65" s="1078">
        <v>750000</v>
      </c>
      <c r="I65" s="1078">
        <v>666667</v>
      </c>
      <c r="J65" s="1078">
        <v>750000</v>
      </c>
      <c r="K65" s="1078">
        <v>750000</v>
      </c>
      <c r="L65" s="1078">
        <v>300000</v>
      </c>
      <c r="M65" s="1078">
        <v>31250</v>
      </c>
      <c r="N65" s="1078">
        <v>204998</v>
      </c>
      <c r="O65" s="1078">
        <v>324741</v>
      </c>
      <c r="P65" s="1078">
        <v>324741</v>
      </c>
      <c r="Q65" s="1078">
        <v>600993</v>
      </c>
      <c r="R65" s="1079">
        <v>6786723</v>
      </c>
      <c r="S65" s="26"/>
      <c r="T65" s="26"/>
      <c r="U65" s="26"/>
      <c r="V65" s="26"/>
      <c r="W65" s="26"/>
      <c r="X65" s="26"/>
    </row>
    <row r="66" spans="1:24" ht="15.75" customHeight="1"/>
    <row r="67" spans="1:24" ht="15.75" customHeight="1"/>
    <row r="68" spans="1:24" ht="15.75" customHeight="1"/>
    <row r="69" spans="1:24" ht="15.75" customHeight="1"/>
    <row r="70" spans="1:24" ht="15.75" customHeight="1"/>
    <row r="71" spans="1:24" ht="15.75" customHeight="1"/>
    <row r="72" spans="1:24" ht="15.75" customHeight="1"/>
    <row r="73" spans="1:24" ht="15.75" customHeight="1"/>
    <row r="74" spans="1:24" ht="15.75" customHeight="1"/>
    <row r="75" spans="1:24" ht="15.75" customHeight="1"/>
    <row r="76" spans="1:24" ht="15.75" customHeight="1"/>
    <row r="77" spans="1:24" ht="15.75" customHeight="1"/>
    <row r="78" spans="1:24" ht="15.75" customHeight="1"/>
    <row r="79" spans="1:24" ht="15.75" customHeight="1"/>
    <row r="80" spans="1:24"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L3:Q3"/>
    <mergeCell ref="L30:Q30"/>
  </mergeCells>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8CBAD"/>
  </sheetPr>
  <dimension ref="B1:B1000"/>
  <sheetViews>
    <sheetView showGridLines="0" topLeftCell="A13" workbookViewId="0"/>
  </sheetViews>
  <sheetFormatPr defaultColWidth="12.6328125" defaultRowHeight="15" customHeight="1"/>
  <cols>
    <col min="1" max="1" width="3.90625" customWidth="1"/>
    <col min="2" max="2" width="114.36328125" customWidth="1"/>
    <col min="3" max="6" width="8.90625" customWidth="1"/>
  </cols>
  <sheetData>
    <row r="1" spans="2:2" ht="14.25" customHeight="1"/>
    <row r="2" spans="2:2" ht="23.25" customHeight="1">
      <c r="B2" s="1085" t="s">
        <v>2088</v>
      </c>
    </row>
    <row r="3" spans="2:2" ht="15" customHeight="1">
      <c r="B3" s="26"/>
    </row>
    <row r="4" spans="2:2" ht="18" customHeight="1">
      <c r="B4" s="1086" t="s">
        <v>2089</v>
      </c>
    </row>
    <row r="5" spans="2:2" ht="15" customHeight="1">
      <c r="B5" s="156" t="s">
        <v>2090</v>
      </c>
    </row>
    <row r="6" spans="2:2" ht="15" customHeight="1">
      <c r="B6" s="26"/>
    </row>
    <row r="7" spans="2:2" ht="15" customHeight="1">
      <c r="B7" s="26"/>
    </row>
    <row r="8" spans="2:2" ht="15.75" customHeight="1">
      <c r="B8" s="1087" t="s">
        <v>2091</v>
      </c>
    </row>
    <row r="9" spans="2:2" ht="46.5" customHeight="1">
      <c r="B9" s="292" t="s">
        <v>2092</v>
      </c>
    </row>
    <row r="10" spans="2:2" ht="15" customHeight="1">
      <c r="B10" s="26"/>
    </row>
    <row r="11" spans="2:2" ht="15" customHeight="1">
      <c r="B11" s="26"/>
    </row>
    <row r="12" spans="2:2" ht="15.75" customHeight="1">
      <c r="B12" s="1087" t="s">
        <v>2093</v>
      </c>
    </row>
    <row r="13" spans="2:2" ht="58">
      <c r="B13" s="292" t="s">
        <v>2094</v>
      </c>
    </row>
    <row r="14" spans="2:2" ht="15" customHeight="1">
      <c r="B14" s="26"/>
    </row>
    <row r="15" spans="2:2" ht="15" customHeight="1">
      <c r="B15" s="26"/>
    </row>
    <row r="16" spans="2:2" ht="15.75" customHeight="1">
      <c r="B16" s="1087" t="s">
        <v>2095</v>
      </c>
    </row>
    <row r="17" spans="2:2" ht="72.5">
      <c r="B17" s="292" t="s">
        <v>2096</v>
      </c>
    </row>
    <row r="18" spans="2:2" ht="15" customHeight="1">
      <c r="B18" s="26"/>
    </row>
    <row r="19" spans="2:2" ht="15" customHeight="1">
      <c r="B19" s="26"/>
    </row>
    <row r="20" spans="2:2" ht="15.75" customHeight="1">
      <c r="B20" s="1087" t="s">
        <v>2097</v>
      </c>
    </row>
    <row r="21" spans="2:2" ht="80.25" customHeight="1">
      <c r="B21" s="292" t="s">
        <v>2098</v>
      </c>
    </row>
    <row r="22" spans="2:2" ht="15.75" customHeight="1">
      <c r="B22" s="26"/>
    </row>
    <row r="23" spans="2:2" ht="15.75" customHeight="1">
      <c r="B23" s="26"/>
    </row>
    <row r="24" spans="2:2" ht="15.75" customHeight="1">
      <c r="B24" s="1087" t="s">
        <v>2099</v>
      </c>
    </row>
    <row r="25" spans="2:2" ht="159.75" customHeight="1">
      <c r="B25" s="292" t="s">
        <v>2100</v>
      </c>
    </row>
    <row r="26" spans="2:2" ht="15.75" customHeight="1">
      <c r="B26" s="26"/>
    </row>
    <row r="27" spans="2:2" ht="15.75" customHeight="1">
      <c r="B27" s="26"/>
    </row>
    <row r="28" spans="2:2" ht="15.75" customHeight="1">
      <c r="B28" s="1087" t="s">
        <v>2101</v>
      </c>
    </row>
    <row r="29" spans="2:2" ht="80.25" customHeight="1">
      <c r="B29" s="292" t="s">
        <v>2102</v>
      </c>
    </row>
    <row r="30" spans="2:2" ht="15.75" customHeight="1">
      <c r="B30" s="26"/>
    </row>
    <row r="31" spans="2:2" ht="15.75" customHeight="1">
      <c r="B31" s="26"/>
    </row>
    <row r="32" spans="2:2" ht="15.75" customHeight="1">
      <c r="B32" s="1087" t="s">
        <v>2103</v>
      </c>
    </row>
    <row r="33" spans="2:2" ht="80.25" customHeight="1">
      <c r="B33" s="292" t="s">
        <v>2104</v>
      </c>
    </row>
    <row r="34" spans="2:2" ht="15.75" customHeight="1">
      <c r="B34" s="26"/>
    </row>
    <row r="35" spans="2:2" ht="15.75" customHeight="1">
      <c r="B35" s="26"/>
    </row>
    <row r="36" spans="2:2" ht="15.75" customHeight="1">
      <c r="B36" s="1087" t="s">
        <v>2105</v>
      </c>
    </row>
    <row r="37" spans="2:2" ht="80.25" customHeight="1">
      <c r="B37" s="292" t="s">
        <v>2106</v>
      </c>
    </row>
    <row r="38" spans="2:2" ht="15.75" customHeight="1">
      <c r="B38" s="26"/>
    </row>
    <row r="39" spans="2:2" ht="15.75" customHeight="1">
      <c r="B39" s="26"/>
    </row>
    <row r="40" spans="2:2" ht="15.75" customHeight="1">
      <c r="B40" s="1087" t="s">
        <v>2107</v>
      </c>
    </row>
    <row r="41" spans="2:2" ht="80.25" customHeight="1">
      <c r="B41" s="292" t="s">
        <v>2108</v>
      </c>
    </row>
    <row r="42" spans="2:2" ht="15.75" customHeight="1">
      <c r="B42" s="26"/>
    </row>
    <row r="43" spans="2:2" ht="15.75" customHeight="1">
      <c r="B43" s="26"/>
    </row>
    <row r="44" spans="2:2" ht="15.75" customHeight="1">
      <c r="B44" s="1087" t="s">
        <v>2109</v>
      </c>
    </row>
    <row r="45" spans="2:2" ht="80.25" customHeight="1">
      <c r="B45" s="292" t="s">
        <v>2110</v>
      </c>
    </row>
    <row r="46" spans="2:2" ht="15.75" customHeight="1">
      <c r="B46" s="26"/>
    </row>
    <row r="47" spans="2:2" ht="15.75" customHeight="1">
      <c r="B47" s="26"/>
    </row>
    <row r="48" spans="2:2" ht="15.75" customHeight="1">
      <c r="B48" s="1088" t="s">
        <v>2111</v>
      </c>
    </row>
    <row r="49" spans="2:2" ht="80.25" customHeight="1">
      <c r="B49" s="1089" t="s">
        <v>2112</v>
      </c>
    </row>
    <row r="50" spans="2:2" ht="15.75" customHeight="1">
      <c r="B50" s="26"/>
    </row>
    <row r="51" spans="2:2" ht="15.75" customHeight="1">
      <c r="B51" s="26"/>
    </row>
    <row r="52" spans="2:2" ht="15.75" customHeight="1">
      <c r="B52" s="1090" t="s">
        <v>2113</v>
      </c>
    </row>
    <row r="53" spans="2:2" ht="15.75" customHeight="1">
      <c r="B53" s="26"/>
    </row>
    <row r="54" spans="2:2" ht="15.75" customHeight="1">
      <c r="B54" s="156" t="s">
        <v>2114</v>
      </c>
    </row>
    <row r="55" spans="2:2" ht="15.75" customHeight="1"/>
    <row r="56" spans="2:2" ht="15.75" customHeight="1"/>
    <row r="57" spans="2:2" ht="15.75" customHeight="1"/>
    <row r="58" spans="2:2" ht="15.75" customHeight="1"/>
    <row r="59" spans="2:2" ht="15.75" customHeight="1"/>
    <row r="60" spans="2:2" ht="15.75" customHeight="1"/>
    <row r="61" spans="2:2" ht="15.75" customHeight="1"/>
    <row r="62" spans="2:2" ht="15.75" customHeight="1"/>
    <row r="63" spans="2:2" ht="15.75" customHeight="1"/>
    <row r="64" spans="2: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D5B8EA"/>
  </sheetPr>
  <dimension ref="A1:AC1003"/>
  <sheetViews>
    <sheetView showGridLines="0" workbookViewId="0">
      <pane ySplit="1" topLeftCell="A11" activePane="bottomLeft" state="frozen"/>
      <selection pane="bottomLeft" activeCell="C51" sqref="C51"/>
    </sheetView>
  </sheetViews>
  <sheetFormatPr defaultColWidth="12.6328125" defaultRowHeight="15" customHeight="1"/>
  <cols>
    <col min="1" max="1" width="2.6328125" customWidth="1"/>
    <col min="2" max="2" width="40.90625" customWidth="1"/>
    <col min="3" max="3" width="19.90625" customWidth="1"/>
    <col min="4" max="5" width="18.6328125" customWidth="1"/>
    <col min="6" max="6" width="22.6328125" customWidth="1"/>
    <col min="7" max="14" width="18.6328125" customWidth="1"/>
    <col min="15" max="15" width="17.7265625" customWidth="1"/>
    <col min="16" max="16" width="14.6328125" customWidth="1"/>
    <col min="17" max="17" width="15.453125" customWidth="1"/>
    <col min="18" max="29" width="8.6328125" customWidth="1"/>
  </cols>
  <sheetData>
    <row r="1" spans="1:29" ht="14.25" customHeight="1">
      <c r="A1" s="32"/>
      <c r="B1" s="1092" t="s">
        <v>2115</v>
      </c>
      <c r="C1" s="1093"/>
      <c r="D1" s="1093"/>
      <c r="E1" s="1093"/>
      <c r="F1" s="1093"/>
      <c r="G1" s="32"/>
      <c r="H1" s="32"/>
      <c r="I1" s="32"/>
      <c r="J1" s="32"/>
      <c r="K1" s="32"/>
      <c r="L1" s="32"/>
      <c r="M1" s="32"/>
      <c r="N1" s="32"/>
      <c r="O1" s="32"/>
      <c r="P1" s="32"/>
      <c r="Q1" s="26"/>
      <c r="R1" s="26"/>
      <c r="S1" s="26"/>
      <c r="T1" s="26"/>
      <c r="U1" s="26"/>
      <c r="V1" s="26"/>
      <c r="W1" s="26"/>
      <c r="X1" s="26"/>
      <c r="Y1" s="26"/>
      <c r="Z1" s="26"/>
      <c r="AA1" s="26"/>
      <c r="AB1" s="26"/>
      <c r="AC1" s="26"/>
    </row>
    <row r="2" spans="1:29" ht="14.25" customHeight="1">
      <c r="A2" s="32"/>
      <c r="B2" s="1094" t="s">
        <v>61</v>
      </c>
      <c r="C2" s="32"/>
      <c r="D2" s="32"/>
      <c r="E2" s="32"/>
      <c r="F2" s="32"/>
      <c r="G2" s="32"/>
      <c r="H2" s="32"/>
      <c r="I2" s="32"/>
      <c r="J2" s="32"/>
      <c r="K2" s="32"/>
      <c r="L2" s="32"/>
      <c r="M2" s="32"/>
      <c r="N2" s="32"/>
      <c r="O2" s="32"/>
      <c r="P2" s="32"/>
      <c r="Q2" s="26"/>
      <c r="R2" s="26"/>
      <c r="S2" s="26"/>
      <c r="T2" s="26"/>
      <c r="U2" s="26"/>
      <c r="V2" s="26"/>
      <c r="W2" s="26"/>
      <c r="X2" s="26"/>
      <c r="Y2" s="26"/>
      <c r="Z2" s="26"/>
      <c r="AA2" s="26"/>
      <c r="AB2" s="26"/>
      <c r="AC2" s="26"/>
    </row>
    <row r="3" spans="1:29" ht="14.25" customHeight="1">
      <c r="A3" s="32"/>
      <c r="B3" s="1095" t="s">
        <v>2116</v>
      </c>
      <c r="C3" s="32"/>
      <c r="D3" s="32"/>
      <c r="E3" s="32"/>
      <c r="F3" s="32"/>
      <c r="G3" s="32"/>
      <c r="H3" s="32"/>
      <c r="I3" s="32"/>
      <c r="J3" s="32"/>
      <c r="K3" s="32"/>
      <c r="L3" s="32"/>
      <c r="M3" s="32"/>
      <c r="N3" s="32"/>
      <c r="O3" s="32"/>
      <c r="P3" s="32"/>
      <c r="Q3" s="26"/>
      <c r="R3" s="26"/>
      <c r="S3" s="26"/>
      <c r="T3" s="26"/>
      <c r="U3" s="26"/>
      <c r="V3" s="26"/>
      <c r="W3" s="26"/>
      <c r="X3" s="26"/>
      <c r="Y3" s="26"/>
      <c r="Z3" s="26"/>
      <c r="AA3" s="26"/>
      <c r="AB3" s="26"/>
      <c r="AC3" s="26"/>
    </row>
    <row r="4" spans="1:29" ht="14.25" customHeight="1">
      <c r="A4" s="32"/>
      <c r="B4" s="32"/>
      <c r="C4" s="32"/>
      <c r="D4" s="32"/>
      <c r="E4" s="32"/>
      <c r="F4" s="32"/>
      <c r="G4" s="32"/>
      <c r="H4" s="32"/>
      <c r="I4" s="32"/>
      <c r="J4" s="32"/>
      <c r="K4" s="32"/>
      <c r="L4" s="32"/>
      <c r="M4" s="32"/>
      <c r="N4" s="32"/>
      <c r="O4" s="32"/>
      <c r="P4" s="32"/>
      <c r="Q4" s="26"/>
      <c r="R4" s="26"/>
      <c r="S4" s="26"/>
      <c r="T4" s="26"/>
      <c r="U4" s="26"/>
      <c r="V4" s="26"/>
      <c r="W4" s="26"/>
      <c r="X4" s="26"/>
      <c r="Y4" s="26"/>
      <c r="Z4" s="26"/>
      <c r="AA4" s="26"/>
      <c r="AB4" s="26"/>
      <c r="AC4" s="26"/>
    </row>
    <row r="5" spans="1:29" ht="14.25" customHeight="1">
      <c r="A5" s="32"/>
      <c r="B5" s="1096" t="s">
        <v>2117</v>
      </c>
      <c r="C5" s="32"/>
      <c r="D5" s="32"/>
      <c r="E5" s="32"/>
      <c r="F5" s="32"/>
      <c r="G5" s="32"/>
      <c r="H5" s="32"/>
      <c r="I5" s="32"/>
      <c r="J5" s="32"/>
      <c r="K5" s="32"/>
      <c r="L5" s="32"/>
      <c r="M5" s="32"/>
      <c r="N5" s="32"/>
      <c r="O5" s="32"/>
      <c r="P5" s="32"/>
      <c r="Q5" s="26"/>
      <c r="R5" s="26"/>
      <c r="S5" s="26"/>
      <c r="T5" s="26"/>
      <c r="U5" s="26"/>
      <c r="V5" s="26"/>
      <c r="W5" s="26"/>
      <c r="X5" s="26"/>
      <c r="Y5" s="26"/>
      <c r="Z5" s="26"/>
      <c r="AA5" s="26"/>
      <c r="AB5" s="26"/>
      <c r="AC5" s="26"/>
    </row>
    <row r="6" spans="1:29" ht="14.25" customHeight="1">
      <c r="A6" s="32"/>
      <c r="B6" s="32"/>
      <c r="C6" s="32"/>
      <c r="D6" s="32"/>
      <c r="E6" s="32"/>
      <c r="F6" s="32"/>
      <c r="G6" s="32"/>
      <c r="H6" s="32"/>
      <c r="I6" s="32"/>
      <c r="J6" s="32"/>
      <c r="K6" s="32"/>
      <c r="L6" s="32"/>
      <c r="M6" s="32"/>
      <c r="N6" s="32"/>
      <c r="O6" s="32"/>
      <c r="P6" s="32"/>
      <c r="Q6" s="26"/>
      <c r="R6" s="26"/>
      <c r="S6" s="26"/>
      <c r="T6" s="26"/>
      <c r="U6" s="26"/>
      <c r="V6" s="26"/>
      <c r="W6" s="26"/>
      <c r="X6" s="26"/>
      <c r="Y6" s="26"/>
      <c r="Z6" s="26"/>
      <c r="AA6" s="26"/>
      <c r="AB6" s="26"/>
      <c r="AC6" s="26"/>
    </row>
    <row r="7" spans="1:29" ht="14.25" customHeight="1">
      <c r="A7" s="32"/>
      <c r="B7" s="1097" t="s">
        <v>2118</v>
      </c>
      <c r="C7" s="1098"/>
      <c r="D7" s="1098"/>
      <c r="E7" s="32"/>
      <c r="F7" s="32"/>
      <c r="G7" s="32"/>
      <c r="H7" s="32"/>
      <c r="I7" s="32"/>
      <c r="J7" s="32"/>
      <c r="K7" s="32"/>
      <c r="L7" s="32"/>
      <c r="M7" s="32"/>
      <c r="N7" s="32"/>
      <c r="O7" s="32"/>
      <c r="P7" s="32"/>
      <c r="Q7" s="26"/>
      <c r="R7" s="26"/>
      <c r="S7" s="26"/>
      <c r="T7" s="26"/>
      <c r="U7" s="26"/>
      <c r="V7" s="26"/>
      <c r="W7" s="26"/>
      <c r="X7" s="26"/>
      <c r="Y7" s="26"/>
      <c r="Z7" s="26"/>
      <c r="AA7" s="26"/>
      <c r="AB7" s="26"/>
      <c r="AC7" s="26"/>
    </row>
    <row r="8" spans="1:29" ht="14.25" customHeight="1">
      <c r="A8" s="32"/>
      <c r="B8" s="1099" t="s">
        <v>211</v>
      </c>
      <c r="C8" s="1100" t="s">
        <v>212</v>
      </c>
      <c r="D8" s="1099" t="s">
        <v>2119</v>
      </c>
      <c r="E8" s="32"/>
      <c r="F8" s="32"/>
      <c r="G8" s="32"/>
      <c r="H8" s="32"/>
      <c r="I8" s="32"/>
      <c r="J8" s="32"/>
      <c r="K8" s="32"/>
      <c r="L8" s="32"/>
      <c r="M8" s="32"/>
      <c r="N8" s="32"/>
      <c r="O8" s="32"/>
      <c r="P8" s="32"/>
      <c r="Q8" s="26"/>
      <c r="R8" s="26"/>
      <c r="S8" s="26"/>
      <c r="T8" s="26"/>
      <c r="U8" s="26"/>
      <c r="V8" s="26"/>
      <c r="W8" s="26"/>
      <c r="X8" s="26"/>
      <c r="Y8" s="26"/>
      <c r="Z8" s="26"/>
      <c r="AA8" s="26"/>
      <c r="AB8" s="26"/>
      <c r="AC8" s="26"/>
    </row>
    <row r="9" spans="1:29" ht="14.25" customHeight="1">
      <c r="A9" s="32"/>
      <c r="B9" s="1101" t="s">
        <v>188</v>
      </c>
      <c r="C9" s="1102" t="str">
        <f>Scenarios!B4</f>
        <v>Base</v>
      </c>
      <c r="D9" s="1103" t="s">
        <v>2120</v>
      </c>
      <c r="E9" s="32"/>
      <c r="F9" s="32"/>
      <c r="G9" s="32"/>
      <c r="H9" s="32"/>
      <c r="I9" s="32"/>
      <c r="J9" s="32"/>
      <c r="K9" s="32"/>
      <c r="L9" s="32"/>
      <c r="M9" s="32"/>
      <c r="N9" s="32"/>
      <c r="O9" s="32"/>
      <c r="P9" s="32"/>
      <c r="Q9" s="26"/>
      <c r="R9" s="26"/>
      <c r="S9" s="26"/>
      <c r="T9" s="26"/>
      <c r="U9" s="26"/>
      <c r="V9" s="26"/>
      <c r="W9" s="26"/>
      <c r="X9" s="26"/>
      <c r="Y9" s="26"/>
      <c r="Z9" s="26"/>
      <c r="AA9" s="26"/>
      <c r="AB9" s="26"/>
      <c r="AC9" s="26"/>
    </row>
    <row r="10" spans="1:29" ht="14.25" customHeight="1">
      <c r="A10" s="32"/>
      <c r="B10" s="1101" t="s">
        <v>2121</v>
      </c>
      <c r="C10" s="1104">
        <f>Valuations!C9</f>
        <v>0.1</v>
      </c>
      <c r="D10" s="1103" t="s">
        <v>2122</v>
      </c>
      <c r="E10" s="32"/>
      <c r="F10" s="32"/>
      <c r="G10" s="32"/>
      <c r="H10" s="32"/>
      <c r="I10" s="32"/>
      <c r="J10" s="32"/>
      <c r="K10" s="32"/>
      <c r="L10" s="32"/>
      <c r="M10" s="32"/>
      <c r="N10" s="32"/>
      <c r="O10" s="32"/>
      <c r="P10" s="32"/>
      <c r="Q10" s="26"/>
      <c r="R10" s="26"/>
      <c r="S10" s="26"/>
      <c r="T10" s="26"/>
      <c r="U10" s="26"/>
      <c r="V10" s="26"/>
      <c r="W10" s="26"/>
      <c r="X10" s="26"/>
      <c r="Y10" s="26"/>
      <c r="Z10" s="26"/>
      <c r="AA10" s="26"/>
      <c r="AB10" s="26"/>
      <c r="AC10" s="26"/>
    </row>
    <row r="11" spans="1:29" ht="14.25" customHeight="1">
      <c r="A11" s="32"/>
      <c r="B11" s="1101" t="s">
        <v>541</v>
      </c>
      <c r="C11" s="1104">
        <f>Valuations!C10</f>
        <v>0.15</v>
      </c>
      <c r="D11" s="1103" t="s">
        <v>2123</v>
      </c>
      <c r="E11" s="32"/>
      <c r="F11" s="32"/>
      <c r="G11" s="32"/>
      <c r="H11" s="32"/>
      <c r="I11" s="32"/>
      <c r="J11" s="32"/>
      <c r="K11" s="32"/>
      <c r="L11" s="32"/>
      <c r="M11" s="32"/>
      <c r="N11" s="32"/>
      <c r="O11" s="32"/>
      <c r="P11" s="32"/>
      <c r="Q11" s="26"/>
      <c r="R11" s="26"/>
      <c r="S11" s="26"/>
      <c r="T11" s="26"/>
      <c r="U11" s="26"/>
      <c r="V11" s="26"/>
      <c r="W11" s="26"/>
      <c r="X11" s="26"/>
      <c r="Y11" s="26"/>
      <c r="Z11" s="26"/>
      <c r="AA11" s="26"/>
      <c r="AB11" s="26"/>
      <c r="AC11" s="26"/>
    </row>
    <row r="12" spans="1:29" ht="14.25" customHeight="1">
      <c r="A12" s="32"/>
      <c r="B12" s="1101" t="s">
        <v>551</v>
      </c>
      <c r="C12" s="1105">
        <f>Valuations!C15</f>
        <v>7</v>
      </c>
      <c r="D12" s="1103" t="s">
        <v>2124</v>
      </c>
      <c r="E12" s="32"/>
      <c r="F12" s="32"/>
      <c r="G12" s="32"/>
      <c r="H12" s="32"/>
      <c r="I12" s="32"/>
      <c r="J12" s="32"/>
      <c r="K12" s="32"/>
      <c r="L12" s="32"/>
      <c r="M12" s="32"/>
      <c r="N12" s="32"/>
      <c r="O12" s="32"/>
      <c r="P12" s="32"/>
      <c r="Q12" s="26"/>
      <c r="R12" s="26"/>
      <c r="S12" s="26"/>
      <c r="T12" s="26"/>
      <c r="U12" s="26"/>
      <c r="V12" s="26"/>
      <c r="W12" s="26"/>
      <c r="X12" s="26"/>
      <c r="Y12" s="26"/>
      <c r="Z12" s="26"/>
      <c r="AA12" s="26"/>
      <c r="AB12" s="26"/>
      <c r="AC12" s="26"/>
    </row>
    <row r="13" spans="1:29" ht="14.25" customHeight="1">
      <c r="A13" s="32"/>
      <c r="B13" s="1101" t="s">
        <v>545</v>
      </c>
      <c r="C13" s="1104">
        <f>Valuations!C12</f>
        <v>0.3</v>
      </c>
      <c r="D13" s="1103" t="s">
        <v>2125</v>
      </c>
      <c r="E13" s="32"/>
      <c r="F13" s="32"/>
      <c r="G13" s="32"/>
      <c r="H13" s="32"/>
      <c r="I13" s="32"/>
      <c r="J13" s="32"/>
      <c r="K13" s="32"/>
      <c r="L13" s="32"/>
      <c r="M13" s="32"/>
      <c r="N13" s="32"/>
      <c r="O13" s="32"/>
      <c r="P13" s="32"/>
      <c r="Q13" s="26"/>
      <c r="R13" s="26"/>
      <c r="S13" s="26"/>
      <c r="T13" s="26"/>
      <c r="U13" s="26"/>
      <c r="V13" s="26"/>
      <c r="W13" s="26"/>
      <c r="X13" s="26"/>
      <c r="Y13" s="26"/>
      <c r="Z13" s="26"/>
      <c r="AA13" s="26"/>
      <c r="AB13" s="26"/>
      <c r="AC13" s="26"/>
    </row>
    <row r="14" spans="1:29" ht="14.25" customHeight="1">
      <c r="A14" s="32"/>
      <c r="B14" s="1106" t="s">
        <v>547</v>
      </c>
      <c r="C14" s="1107" t="str">
        <f>Valuations!C13</f>
        <v>FY38</v>
      </c>
      <c r="D14" s="1108" t="s">
        <v>2126</v>
      </c>
      <c r="E14" s="32"/>
      <c r="F14" s="32"/>
      <c r="G14" s="32"/>
      <c r="H14" s="32"/>
      <c r="I14" s="32"/>
      <c r="J14" s="32"/>
      <c r="K14" s="32"/>
      <c r="L14" s="32"/>
      <c r="M14" s="32"/>
      <c r="N14" s="32"/>
      <c r="O14" s="32"/>
      <c r="P14" s="32"/>
      <c r="Q14" s="26"/>
      <c r="R14" s="26"/>
      <c r="S14" s="26"/>
      <c r="T14" s="26"/>
      <c r="U14" s="26"/>
      <c r="V14" s="26"/>
      <c r="W14" s="26"/>
      <c r="X14" s="26"/>
      <c r="Y14" s="26"/>
      <c r="Z14" s="26"/>
      <c r="AA14" s="26"/>
      <c r="AB14" s="26"/>
      <c r="AC14" s="26"/>
    </row>
    <row r="15" spans="1:29" ht="14.25" customHeight="1">
      <c r="A15" s="32"/>
      <c r="B15" s="32"/>
      <c r="C15" s="32"/>
      <c r="D15" s="32"/>
      <c r="E15" s="32"/>
      <c r="F15" s="32"/>
      <c r="G15" s="32"/>
      <c r="H15" s="32"/>
      <c r="I15" s="32"/>
      <c r="J15" s="32"/>
      <c r="K15" s="32"/>
      <c r="L15" s="32"/>
      <c r="M15" s="32"/>
      <c r="N15" s="32"/>
      <c r="O15" s="32"/>
      <c r="P15" s="32"/>
      <c r="Q15" s="26"/>
      <c r="R15" s="26"/>
      <c r="S15" s="26"/>
      <c r="T15" s="26"/>
      <c r="U15" s="26"/>
      <c r="V15" s="26"/>
      <c r="W15" s="26"/>
      <c r="X15" s="26"/>
      <c r="Y15" s="26"/>
      <c r="Z15" s="26"/>
      <c r="AA15" s="26"/>
      <c r="AB15" s="26"/>
      <c r="AC15" s="26"/>
    </row>
    <row r="16" spans="1:29" ht="14.25" customHeight="1">
      <c r="A16" s="32"/>
      <c r="B16" s="1097" t="s">
        <v>2127</v>
      </c>
      <c r="C16" s="1098"/>
      <c r="D16" s="1098"/>
      <c r="E16" s="32"/>
      <c r="F16" s="32"/>
      <c r="G16" s="32"/>
      <c r="H16" s="32"/>
      <c r="I16" s="32"/>
      <c r="J16" s="32"/>
      <c r="K16" s="32"/>
      <c r="L16" s="32"/>
      <c r="M16" s="32"/>
      <c r="N16" s="32"/>
      <c r="O16" s="32"/>
      <c r="P16" s="32"/>
      <c r="Q16" s="26"/>
      <c r="R16" s="26"/>
      <c r="S16" s="26"/>
      <c r="T16" s="26"/>
      <c r="U16" s="26"/>
      <c r="V16" s="26"/>
      <c r="W16" s="26"/>
      <c r="X16" s="26"/>
      <c r="Y16" s="26"/>
      <c r="Z16" s="26"/>
      <c r="AA16" s="26"/>
      <c r="AB16" s="26"/>
      <c r="AC16" s="26"/>
    </row>
    <row r="17" spans="1:29" ht="14.25" customHeight="1">
      <c r="A17" s="32"/>
      <c r="B17" s="1099" t="s">
        <v>211</v>
      </c>
      <c r="C17" s="1100" t="s">
        <v>212</v>
      </c>
      <c r="D17" s="1109" t="s">
        <v>2119</v>
      </c>
      <c r="E17" s="32"/>
      <c r="F17" s="32"/>
      <c r="G17" s="32"/>
      <c r="H17" s="32"/>
      <c r="I17" s="32"/>
      <c r="J17" s="32"/>
      <c r="K17" s="32"/>
      <c r="L17" s="32"/>
      <c r="M17" s="32"/>
      <c r="N17" s="32"/>
      <c r="O17" s="32"/>
      <c r="P17" s="32"/>
      <c r="Q17" s="26"/>
      <c r="R17" s="26"/>
      <c r="S17" s="26"/>
      <c r="T17" s="26"/>
      <c r="U17" s="26"/>
      <c r="V17" s="26"/>
      <c r="W17" s="26"/>
      <c r="X17" s="26"/>
      <c r="Y17" s="26"/>
      <c r="Z17" s="26"/>
      <c r="AA17" s="26"/>
      <c r="AB17" s="26"/>
      <c r="AC17" s="26"/>
    </row>
    <row r="18" spans="1:29" ht="14.25" customHeight="1">
      <c r="A18" s="32"/>
      <c r="B18" s="1101" t="s">
        <v>558</v>
      </c>
      <c r="C18" s="1104">
        <f>Valuations!C20</f>
        <v>0.24794586632771631</v>
      </c>
      <c r="D18" s="1103" t="s">
        <v>2128</v>
      </c>
      <c r="E18" s="32"/>
      <c r="F18" s="32"/>
      <c r="G18" s="32"/>
      <c r="H18" s="32"/>
      <c r="I18" s="32"/>
      <c r="J18" s="32"/>
      <c r="K18" s="32"/>
      <c r="L18" s="32"/>
      <c r="M18" s="32"/>
      <c r="N18" s="32"/>
      <c r="O18" s="32"/>
      <c r="P18" s="32"/>
      <c r="Q18" s="26"/>
      <c r="R18" s="26"/>
      <c r="S18" s="26"/>
      <c r="T18" s="26"/>
      <c r="U18" s="26"/>
      <c r="V18" s="26"/>
      <c r="W18" s="26"/>
      <c r="X18" s="26"/>
      <c r="Y18" s="26"/>
      <c r="Z18" s="26"/>
      <c r="AA18" s="26"/>
      <c r="AB18" s="26"/>
      <c r="AC18" s="26"/>
    </row>
    <row r="19" spans="1:29" ht="14.25" customHeight="1">
      <c r="A19" s="32"/>
      <c r="B19" s="1101" t="s">
        <v>244</v>
      </c>
      <c r="C19" s="1110">
        <f>Valuations!C21</f>
        <v>62301606.637933955</v>
      </c>
      <c r="D19" s="1103" t="s">
        <v>2129</v>
      </c>
      <c r="E19" s="32"/>
      <c r="F19" s="32"/>
      <c r="G19" s="32"/>
      <c r="H19" s="32"/>
      <c r="I19" s="32"/>
      <c r="J19" s="32"/>
      <c r="K19" s="32"/>
      <c r="L19" s="32"/>
      <c r="M19" s="32"/>
      <c r="N19" s="32"/>
      <c r="O19" s="32"/>
      <c r="P19" s="32"/>
      <c r="Q19" s="26"/>
      <c r="R19" s="26"/>
      <c r="S19" s="26"/>
      <c r="T19" s="26"/>
      <c r="U19" s="26"/>
      <c r="V19" s="26"/>
      <c r="W19" s="26"/>
      <c r="X19" s="26"/>
      <c r="Y19" s="26"/>
      <c r="Z19" s="26"/>
      <c r="AA19" s="26"/>
      <c r="AB19" s="26"/>
      <c r="AC19" s="26"/>
    </row>
    <row r="20" spans="1:29" ht="14.25" customHeight="1">
      <c r="A20" s="32"/>
      <c r="B20" s="1101" t="s">
        <v>562</v>
      </c>
      <c r="C20" s="1104">
        <f>Valuations!C22</f>
        <v>0.33284790951683618</v>
      </c>
      <c r="D20" s="1103" t="s">
        <v>2130</v>
      </c>
      <c r="E20" s="32"/>
      <c r="F20" s="32"/>
      <c r="G20" s="32"/>
      <c r="H20" s="32"/>
      <c r="I20" s="32"/>
      <c r="J20" s="32"/>
      <c r="K20" s="32"/>
      <c r="L20" s="32"/>
      <c r="M20" s="32"/>
      <c r="N20" s="32"/>
      <c r="O20" s="32"/>
      <c r="P20" s="32"/>
      <c r="Q20" s="26"/>
      <c r="R20" s="26"/>
      <c r="S20" s="26"/>
      <c r="T20" s="26"/>
      <c r="U20" s="26"/>
      <c r="V20" s="26"/>
      <c r="W20" s="26"/>
      <c r="X20" s="26"/>
      <c r="Y20" s="26"/>
      <c r="Z20" s="26"/>
      <c r="AA20" s="26"/>
      <c r="AB20" s="26"/>
      <c r="AC20" s="26"/>
    </row>
    <row r="21" spans="1:29" ht="14.25" customHeight="1">
      <c r="A21" s="32"/>
      <c r="B21" s="1101" t="s">
        <v>246</v>
      </c>
      <c r="C21" s="1110">
        <f>Valuations!C23</f>
        <v>50077920.037933953</v>
      </c>
      <c r="D21" s="1103" t="s">
        <v>2131</v>
      </c>
      <c r="E21" s="32"/>
      <c r="F21" s="32"/>
      <c r="G21" s="32"/>
      <c r="H21" s="32"/>
      <c r="I21" s="32"/>
      <c r="J21" s="32"/>
      <c r="K21" s="32"/>
      <c r="L21" s="32"/>
      <c r="M21" s="32"/>
      <c r="N21" s="32"/>
      <c r="O21" s="32"/>
      <c r="P21" s="32"/>
      <c r="Q21" s="26"/>
      <c r="R21" s="26"/>
      <c r="S21" s="26"/>
      <c r="T21" s="26"/>
      <c r="U21" s="26"/>
      <c r="V21" s="26"/>
      <c r="W21" s="26"/>
      <c r="X21" s="26"/>
      <c r="Y21" s="26"/>
      <c r="Z21" s="26"/>
      <c r="AA21" s="26"/>
      <c r="AB21" s="26"/>
      <c r="AC21" s="26"/>
    </row>
    <row r="22" spans="1:29" ht="14.25" customHeight="1">
      <c r="A22" s="32"/>
      <c r="B22" s="1101" t="s">
        <v>566</v>
      </c>
      <c r="C22" s="1105">
        <f>Valuations!C24</f>
        <v>17.693182272018159</v>
      </c>
      <c r="D22" s="1103" t="s">
        <v>2132</v>
      </c>
      <c r="E22" s="32"/>
      <c r="F22" s="32"/>
      <c r="G22" s="32"/>
      <c r="H22" s="32"/>
      <c r="I22" s="32"/>
      <c r="J22" s="32"/>
      <c r="K22" s="32"/>
      <c r="L22" s="32"/>
      <c r="M22" s="32"/>
      <c r="N22" s="32"/>
      <c r="O22" s="32"/>
      <c r="P22" s="32"/>
      <c r="Q22" s="26"/>
      <c r="R22" s="26"/>
      <c r="S22" s="26"/>
      <c r="T22" s="26"/>
      <c r="U22" s="26"/>
      <c r="V22" s="26"/>
      <c r="W22" s="26"/>
      <c r="X22" s="26"/>
      <c r="Y22" s="26"/>
      <c r="Z22" s="26"/>
      <c r="AA22" s="26"/>
      <c r="AB22" s="26"/>
      <c r="AC22" s="26"/>
    </row>
    <row r="23" spans="1:29" ht="14.25" customHeight="1">
      <c r="A23" s="32"/>
      <c r="B23" s="1101" t="s">
        <v>569</v>
      </c>
      <c r="C23" s="1110" t="str">
        <f>Valuations!C25</f>
        <v>FY30</v>
      </c>
      <c r="D23" s="1103" t="s">
        <v>2133</v>
      </c>
      <c r="E23" s="32"/>
      <c r="F23" s="32"/>
      <c r="G23" s="32"/>
      <c r="H23" s="32"/>
      <c r="I23" s="32"/>
      <c r="J23" s="32"/>
      <c r="K23" s="32"/>
      <c r="L23" s="32"/>
      <c r="M23" s="32"/>
      <c r="N23" s="32"/>
      <c r="O23" s="32"/>
      <c r="P23" s="32"/>
      <c r="Q23" s="26"/>
      <c r="R23" s="26"/>
      <c r="S23" s="26"/>
      <c r="T23" s="26"/>
      <c r="U23" s="26"/>
      <c r="V23" s="26"/>
      <c r="W23" s="26"/>
      <c r="X23" s="26"/>
      <c r="Y23" s="26"/>
      <c r="Z23" s="26"/>
      <c r="AA23" s="26"/>
      <c r="AB23" s="26"/>
      <c r="AC23" s="26"/>
    </row>
    <row r="24" spans="1:29" ht="14.25" customHeight="1">
      <c r="A24" s="32"/>
      <c r="B24" s="1106" t="s">
        <v>652</v>
      </c>
      <c r="C24" s="1111">
        <f>Valuations!C26</f>
        <v>0.70345495527680413</v>
      </c>
      <c r="D24" s="1108" t="s">
        <v>2134</v>
      </c>
      <c r="E24" s="32"/>
      <c r="F24" s="32"/>
      <c r="G24" s="32"/>
      <c r="H24" s="32"/>
      <c r="I24" s="32"/>
      <c r="J24" s="32"/>
      <c r="K24" s="32"/>
      <c r="L24" s="32"/>
      <c r="M24" s="32"/>
      <c r="N24" s="32"/>
      <c r="O24" s="32"/>
      <c r="P24" s="32"/>
      <c r="Q24" s="26"/>
      <c r="R24" s="26"/>
      <c r="S24" s="26"/>
      <c r="T24" s="26"/>
      <c r="U24" s="26"/>
      <c r="V24" s="26"/>
      <c r="W24" s="26"/>
      <c r="X24" s="26"/>
      <c r="Y24" s="26"/>
      <c r="Z24" s="26"/>
      <c r="AA24" s="26"/>
      <c r="AB24" s="26"/>
      <c r="AC24" s="26"/>
    </row>
    <row r="25" spans="1:29" ht="14.25" customHeight="1">
      <c r="A25" s="32"/>
      <c r="B25" s="32"/>
      <c r="C25" s="32"/>
      <c r="D25" s="32"/>
      <c r="E25" s="32"/>
      <c r="F25" s="32"/>
      <c r="G25" s="32"/>
      <c r="H25" s="32"/>
      <c r="I25" s="32"/>
      <c r="J25" s="32"/>
      <c r="K25" s="32"/>
      <c r="L25" s="32"/>
      <c r="M25" s="32"/>
      <c r="N25" s="32"/>
      <c r="O25" s="32"/>
      <c r="P25" s="32"/>
      <c r="Q25" s="26"/>
      <c r="R25" s="26"/>
      <c r="S25" s="26"/>
      <c r="T25" s="26"/>
      <c r="U25" s="26"/>
      <c r="V25" s="26"/>
      <c r="W25" s="26"/>
      <c r="X25" s="26"/>
      <c r="Y25" s="26"/>
      <c r="Z25" s="26"/>
      <c r="AA25" s="26"/>
      <c r="AB25" s="26"/>
      <c r="AC25" s="26"/>
    </row>
    <row r="26" spans="1:29" ht="14.25" customHeight="1">
      <c r="A26" s="32"/>
      <c r="B26" s="1097" t="s">
        <v>2135</v>
      </c>
      <c r="C26" s="1098"/>
      <c r="D26" s="1098"/>
      <c r="E26" s="32"/>
      <c r="F26" s="32"/>
      <c r="G26" s="32"/>
      <c r="H26" s="32"/>
      <c r="I26" s="32"/>
      <c r="J26" s="32"/>
      <c r="K26" s="32"/>
      <c r="L26" s="32"/>
      <c r="M26" s="32"/>
      <c r="N26" s="32"/>
      <c r="O26" s="32"/>
      <c r="P26" s="32"/>
      <c r="Q26" s="26"/>
      <c r="R26" s="26"/>
      <c r="S26" s="26"/>
      <c r="T26" s="26"/>
      <c r="U26" s="26"/>
      <c r="V26" s="26"/>
      <c r="W26" s="26"/>
      <c r="X26" s="26"/>
      <c r="Y26" s="26"/>
      <c r="Z26" s="26"/>
      <c r="AA26" s="26"/>
      <c r="AB26" s="26"/>
      <c r="AC26" s="26"/>
    </row>
    <row r="27" spans="1:29" ht="14.25" customHeight="1">
      <c r="A27" s="32"/>
      <c r="B27" s="1099" t="s">
        <v>211</v>
      </c>
      <c r="C27" s="1100" t="s">
        <v>212</v>
      </c>
      <c r="D27" s="1109" t="s">
        <v>2119</v>
      </c>
      <c r="E27" s="32"/>
      <c r="F27" s="32"/>
      <c r="G27" s="32"/>
      <c r="H27" s="32"/>
      <c r="I27" s="32"/>
      <c r="J27" s="32"/>
      <c r="K27" s="32"/>
      <c r="L27" s="32"/>
      <c r="M27" s="32"/>
      <c r="N27" s="32"/>
      <c r="O27" s="32"/>
      <c r="P27" s="32"/>
      <c r="Q27" s="26"/>
      <c r="R27" s="26"/>
      <c r="S27" s="26"/>
      <c r="T27" s="26"/>
      <c r="U27" s="26"/>
      <c r="V27" s="26"/>
      <c r="W27" s="26"/>
      <c r="X27" s="26"/>
      <c r="Y27" s="26"/>
      <c r="Z27" s="26"/>
      <c r="AA27" s="26"/>
      <c r="AB27" s="26"/>
      <c r="AC27" s="26"/>
    </row>
    <row r="28" spans="1:29" ht="14.25" customHeight="1">
      <c r="A28" s="32"/>
      <c r="B28" s="1101" t="s">
        <v>2136</v>
      </c>
      <c r="C28" s="1112">
        <f>'Construction Timeline'!F218</f>
        <v>19761525</v>
      </c>
      <c r="D28" s="1103" t="s">
        <v>2137</v>
      </c>
      <c r="E28" s="32"/>
      <c r="F28" s="32"/>
      <c r="G28" s="32"/>
      <c r="H28" s="32"/>
      <c r="I28" s="32"/>
      <c r="J28" s="32"/>
      <c r="K28" s="32"/>
      <c r="L28" s="32"/>
      <c r="M28" s="32"/>
      <c r="N28" s="32"/>
      <c r="O28" s="32"/>
      <c r="P28" s="32"/>
      <c r="Q28" s="26"/>
      <c r="R28" s="26"/>
      <c r="S28" s="26"/>
      <c r="T28" s="26"/>
      <c r="U28" s="26"/>
      <c r="V28" s="26"/>
      <c r="W28" s="26"/>
      <c r="X28" s="26"/>
      <c r="Y28" s="26"/>
      <c r="Z28" s="26"/>
      <c r="AA28" s="26"/>
      <c r="AB28" s="26"/>
      <c r="AC28" s="26"/>
    </row>
    <row r="29" spans="1:29" ht="14.25" customHeight="1">
      <c r="A29" s="32"/>
      <c r="B29" s="1101" t="s">
        <v>1499</v>
      </c>
      <c r="C29" s="1112">
        <f>SUM(Cashflow!D16:Q16)</f>
        <v>8970383.0899999999</v>
      </c>
      <c r="D29" s="1103" t="s">
        <v>2138</v>
      </c>
      <c r="E29" s="32"/>
      <c r="F29" s="32"/>
      <c r="G29" s="32"/>
      <c r="H29" s="32"/>
      <c r="I29" s="32"/>
      <c r="J29" s="32"/>
      <c r="K29" s="32"/>
      <c r="L29" s="32"/>
      <c r="M29" s="32"/>
      <c r="N29" s="32"/>
      <c r="O29" s="32"/>
      <c r="P29" s="32"/>
      <c r="Q29" s="26"/>
      <c r="R29" s="26"/>
      <c r="S29" s="26"/>
      <c r="T29" s="26"/>
      <c r="U29" s="26"/>
      <c r="V29" s="26"/>
      <c r="W29" s="26"/>
      <c r="X29" s="26"/>
      <c r="Y29" s="26"/>
      <c r="Z29" s="26"/>
      <c r="AA29" s="26"/>
      <c r="AB29" s="26"/>
      <c r="AC29" s="26"/>
    </row>
    <row r="30" spans="1:29" ht="14.25" customHeight="1">
      <c r="A30" s="32"/>
      <c r="B30" s="1101" t="s">
        <v>2139</v>
      </c>
      <c r="C30" s="1112">
        <f>SUM(Cashflow!D13:Q13)</f>
        <v>1500000</v>
      </c>
      <c r="D30" s="1101"/>
      <c r="E30" s="32"/>
      <c r="F30" s="32"/>
      <c r="G30" s="32"/>
      <c r="H30" s="32"/>
      <c r="I30" s="32"/>
      <c r="J30" s="32"/>
      <c r="K30" s="32"/>
      <c r="L30" s="32"/>
      <c r="M30" s="32"/>
      <c r="N30" s="32"/>
      <c r="O30" s="32"/>
      <c r="P30" s="32"/>
      <c r="Q30" s="26"/>
      <c r="R30" s="26"/>
      <c r="S30" s="26"/>
      <c r="T30" s="26"/>
      <c r="U30" s="26"/>
      <c r="V30" s="26"/>
      <c r="W30" s="26"/>
      <c r="X30" s="26"/>
      <c r="Y30" s="26"/>
      <c r="Z30" s="26"/>
      <c r="AA30" s="26"/>
      <c r="AB30" s="26"/>
      <c r="AC30" s="26"/>
    </row>
    <row r="31" spans="1:29" ht="14.25" customHeight="1">
      <c r="A31" s="32"/>
      <c r="B31" s="1101" t="s">
        <v>2140</v>
      </c>
      <c r="C31" s="1112">
        <f>SUM(Cashflow!D14:Q14)</f>
        <v>7470383.0899999999</v>
      </c>
      <c r="D31" s="1101"/>
      <c r="E31" s="1113"/>
      <c r="F31" s="32"/>
      <c r="G31" s="32"/>
      <c r="H31" s="32"/>
      <c r="I31" s="32"/>
      <c r="J31" s="32"/>
      <c r="K31" s="32"/>
      <c r="L31" s="32"/>
      <c r="M31" s="32"/>
      <c r="N31" s="32"/>
      <c r="O31" s="32"/>
      <c r="P31" s="32"/>
      <c r="Q31" s="26"/>
      <c r="R31" s="26"/>
      <c r="S31" s="26"/>
      <c r="T31" s="26"/>
      <c r="U31" s="26"/>
      <c r="V31" s="26"/>
      <c r="W31" s="26"/>
      <c r="X31" s="26"/>
      <c r="Y31" s="26"/>
      <c r="Z31" s="26"/>
      <c r="AA31" s="26"/>
      <c r="AB31" s="26"/>
      <c r="AC31" s="26"/>
    </row>
    <row r="32" spans="1:29" ht="14.25" customHeight="1">
      <c r="A32" s="32"/>
      <c r="B32" s="1101" t="s">
        <v>2141</v>
      </c>
      <c r="C32" s="1112">
        <f>SUM(Debt!H20:U20)</f>
        <v>12675915</v>
      </c>
      <c r="D32" s="1103" t="s">
        <v>2142</v>
      </c>
      <c r="E32" s="32"/>
      <c r="F32" s="32"/>
      <c r="G32" s="32"/>
      <c r="H32" s="32"/>
      <c r="I32" s="32"/>
      <c r="J32" s="32"/>
      <c r="K32" s="32"/>
      <c r="L32" s="32"/>
      <c r="M32" s="32"/>
      <c r="N32" s="32"/>
      <c r="O32" s="32"/>
      <c r="P32" s="32"/>
      <c r="Q32" s="26"/>
      <c r="R32" s="26"/>
      <c r="S32" s="26"/>
      <c r="T32" s="26"/>
      <c r="U32" s="26"/>
      <c r="V32" s="26"/>
      <c r="W32" s="26"/>
      <c r="X32" s="26"/>
      <c r="Y32" s="26"/>
      <c r="Z32" s="26"/>
      <c r="AA32" s="26"/>
      <c r="AB32" s="26"/>
      <c r="AC32" s="26"/>
    </row>
    <row r="33" spans="1:29" ht="14.25" customHeight="1">
      <c r="A33" s="32"/>
      <c r="B33" s="1101" t="s">
        <v>2143</v>
      </c>
      <c r="C33" s="1104">
        <f>C32/(C32+C29)</f>
        <v>0.58559273956667568</v>
      </c>
      <c r="D33" s="1101"/>
      <c r="E33" s="32"/>
      <c r="F33" s="32"/>
      <c r="G33" s="32"/>
      <c r="H33" s="32"/>
      <c r="I33" s="32"/>
      <c r="J33" s="32"/>
      <c r="K33" s="32"/>
      <c r="L33" s="32"/>
      <c r="M33" s="32"/>
      <c r="N33" s="32"/>
      <c r="O33" s="32"/>
      <c r="P33" s="32"/>
      <c r="Q33" s="26"/>
      <c r="R33" s="26"/>
      <c r="S33" s="26"/>
      <c r="T33" s="26"/>
      <c r="U33" s="26"/>
      <c r="V33" s="26"/>
      <c r="W33" s="26"/>
      <c r="X33" s="26"/>
      <c r="Y33" s="26"/>
      <c r="Z33" s="26"/>
      <c r="AA33" s="26"/>
      <c r="AB33" s="26"/>
      <c r="AC33" s="26"/>
    </row>
    <row r="34" spans="1:29" ht="14.25" customHeight="1">
      <c r="A34" s="32"/>
      <c r="B34" s="1101" t="s">
        <v>2144</v>
      </c>
      <c r="C34" s="1104">
        <f>C29/(C32+C29)</f>
        <v>0.41440726043332426</v>
      </c>
      <c r="D34" s="1101"/>
      <c r="E34" s="32"/>
      <c r="F34" s="32"/>
      <c r="G34" s="32"/>
      <c r="H34" s="32"/>
      <c r="I34" s="32"/>
      <c r="J34" s="32"/>
      <c r="K34" s="32"/>
      <c r="L34" s="32"/>
      <c r="M34" s="32"/>
      <c r="N34" s="32"/>
      <c r="O34" s="32"/>
      <c r="P34" s="32"/>
      <c r="Q34" s="26"/>
      <c r="R34" s="26"/>
      <c r="S34" s="26"/>
      <c r="T34" s="26"/>
      <c r="U34" s="26"/>
      <c r="V34" s="26"/>
      <c r="W34" s="26"/>
      <c r="X34" s="26"/>
      <c r="Y34" s="26"/>
      <c r="Z34" s="26"/>
      <c r="AA34" s="26"/>
      <c r="AB34" s="26"/>
      <c r="AC34" s="26"/>
    </row>
    <row r="35" spans="1:29" ht="14.25" customHeight="1">
      <c r="A35" s="32"/>
      <c r="B35" s="1101" t="s">
        <v>2145</v>
      </c>
      <c r="C35" s="1104">
        <f>Debt!C7</f>
        <v>0.08</v>
      </c>
      <c r="D35" s="1103" t="s">
        <v>2146</v>
      </c>
      <c r="E35" s="32"/>
      <c r="F35" s="32"/>
      <c r="G35" s="32"/>
      <c r="H35" s="32"/>
      <c r="I35" s="32"/>
      <c r="J35" s="32"/>
      <c r="K35" s="32"/>
      <c r="L35" s="32"/>
      <c r="M35" s="32"/>
      <c r="N35" s="32"/>
      <c r="O35" s="32"/>
      <c r="P35" s="32"/>
      <c r="Q35" s="26"/>
      <c r="R35" s="26"/>
      <c r="S35" s="26"/>
      <c r="T35" s="26"/>
      <c r="U35" s="26"/>
      <c r="V35" s="26"/>
      <c r="W35" s="26"/>
      <c r="X35" s="26"/>
      <c r="Y35" s="26"/>
      <c r="Z35" s="26"/>
      <c r="AA35" s="26"/>
      <c r="AB35" s="26"/>
      <c r="AC35" s="26"/>
    </row>
    <row r="36" spans="1:29" ht="14.25" customHeight="1">
      <c r="A36" s="32"/>
      <c r="B36" s="1106" t="s">
        <v>2147</v>
      </c>
      <c r="C36" s="1107">
        <f>Debt!C6</f>
        <v>10</v>
      </c>
      <c r="D36" s="1108" t="s">
        <v>2148</v>
      </c>
      <c r="E36" s="32"/>
      <c r="F36" s="32"/>
      <c r="G36" s="32"/>
      <c r="H36" s="32"/>
      <c r="I36" s="32"/>
      <c r="J36" s="32"/>
      <c r="K36" s="32"/>
      <c r="L36" s="32"/>
      <c r="M36" s="32"/>
      <c r="N36" s="32"/>
      <c r="O36" s="32"/>
      <c r="P36" s="32"/>
      <c r="Q36" s="26"/>
      <c r="R36" s="26"/>
      <c r="S36" s="26"/>
      <c r="T36" s="26"/>
      <c r="U36" s="26"/>
      <c r="V36" s="26"/>
      <c r="W36" s="26"/>
      <c r="X36" s="26"/>
      <c r="Y36" s="26"/>
      <c r="Z36" s="26"/>
      <c r="AA36" s="26"/>
      <c r="AB36" s="26"/>
      <c r="AC36" s="26"/>
    </row>
    <row r="37" spans="1:29" ht="14.25" customHeight="1">
      <c r="A37" s="32"/>
      <c r="B37" s="32"/>
      <c r="C37" s="32"/>
      <c r="D37" s="32"/>
      <c r="E37" s="32"/>
      <c r="F37" s="32"/>
      <c r="G37" s="32"/>
      <c r="H37" s="32"/>
      <c r="I37" s="32"/>
      <c r="J37" s="32"/>
      <c r="K37" s="32"/>
      <c r="L37" s="32"/>
      <c r="M37" s="32"/>
      <c r="N37" s="32"/>
      <c r="O37" s="32"/>
      <c r="P37" s="32"/>
      <c r="Q37" s="26"/>
      <c r="R37" s="26"/>
      <c r="S37" s="26"/>
      <c r="T37" s="26"/>
      <c r="U37" s="26"/>
      <c r="V37" s="26"/>
      <c r="W37" s="26"/>
      <c r="X37" s="26"/>
      <c r="Y37" s="26"/>
      <c r="Z37" s="26"/>
      <c r="AA37" s="26"/>
      <c r="AB37" s="26"/>
      <c r="AC37" s="26"/>
    </row>
    <row r="38" spans="1:29" ht="14.25" customHeight="1">
      <c r="A38" s="32"/>
      <c r="B38" s="1114" t="s">
        <v>2149</v>
      </c>
      <c r="C38" s="32"/>
      <c r="D38" s="32"/>
      <c r="E38" s="32"/>
      <c r="F38" s="32"/>
      <c r="G38" s="32"/>
      <c r="H38" s="32"/>
      <c r="I38" s="32"/>
      <c r="J38" s="32"/>
      <c r="K38" s="32"/>
      <c r="L38" s="32"/>
      <c r="M38" s="32"/>
      <c r="N38" s="32"/>
      <c r="O38" s="32"/>
      <c r="P38" s="32"/>
      <c r="Q38" s="26"/>
      <c r="R38" s="26"/>
      <c r="S38" s="26"/>
      <c r="T38" s="26"/>
      <c r="U38" s="26"/>
      <c r="V38" s="26"/>
      <c r="W38" s="26"/>
      <c r="X38" s="26"/>
      <c r="Y38" s="26"/>
      <c r="Z38" s="26"/>
      <c r="AA38" s="26"/>
      <c r="AB38" s="26"/>
      <c r="AC38" s="26"/>
    </row>
    <row r="39" spans="1:29" ht="14.25" customHeight="1">
      <c r="A39" s="32"/>
      <c r="B39" s="1115" t="s">
        <v>211</v>
      </c>
      <c r="C39" s="1116" t="str">
        <f>'P&amp;L'!G6</f>
        <v>FY25</v>
      </c>
      <c r="D39" s="1116" t="str">
        <f>'P&amp;L'!H6</f>
        <v>FY26</v>
      </c>
      <c r="E39" s="1116" t="str">
        <f>'P&amp;L'!I6</f>
        <v>FY27</v>
      </c>
      <c r="F39" s="1116" t="str">
        <f>'P&amp;L'!J6</f>
        <v>FY28</v>
      </c>
      <c r="G39" s="1116" t="str">
        <f>'P&amp;L'!K6</f>
        <v>FY29</v>
      </c>
      <c r="H39" s="1116" t="str">
        <f>'P&amp;L'!L6</f>
        <v>FY30</v>
      </c>
      <c r="I39" s="1116" t="str">
        <f>'P&amp;L'!M6</f>
        <v>FY31</v>
      </c>
      <c r="J39" s="1116" t="str">
        <f>'P&amp;L'!N6</f>
        <v>FY32</v>
      </c>
      <c r="K39" s="1116" t="str">
        <f>'P&amp;L'!O6</f>
        <v>FY33</v>
      </c>
      <c r="L39" s="1116" t="str">
        <f>'P&amp;L'!P6</f>
        <v>FY34</v>
      </c>
      <c r="M39" s="1116" t="str">
        <f>'P&amp;L'!Q6</f>
        <v>FY35</v>
      </c>
      <c r="N39" s="1116" t="str">
        <f>'P&amp;L'!R6</f>
        <v>FY36</v>
      </c>
      <c r="O39" s="1116" t="str">
        <f>'P&amp;L'!S6</f>
        <v>FY37</v>
      </c>
      <c r="P39" s="1116" t="str">
        <f>'P&amp;L'!T6</f>
        <v>FY38</v>
      </c>
      <c r="Q39" s="26"/>
      <c r="R39" s="26"/>
      <c r="S39" s="26"/>
      <c r="T39" s="26"/>
      <c r="U39" s="26"/>
      <c r="V39" s="26"/>
      <c r="W39" s="26"/>
      <c r="X39" s="26"/>
      <c r="Y39" s="26"/>
      <c r="Z39" s="26"/>
      <c r="AA39" s="26"/>
      <c r="AB39" s="26"/>
      <c r="AC39" s="26"/>
    </row>
    <row r="40" spans="1:29" ht="14.25" customHeight="1">
      <c r="A40" s="32"/>
      <c r="B40" s="32" t="s">
        <v>262</v>
      </c>
      <c r="C40" s="1117">
        <f>'P&amp;L'!G28</f>
        <v>0</v>
      </c>
      <c r="D40" s="1117">
        <f>'P&amp;L'!H28</f>
        <v>0</v>
      </c>
      <c r="E40" s="1117">
        <f>'P&amp;L'!I28</f>
        <v>0</v>
      </c>
      <c r="F40" s="1117">
        <f>'P&amp;L'!J28</f>
        <v>18772333.414999999</v>
      </c>
      <c r="G40" s="1117">
        <f>'P&amp;L'!K28</f>
        <v>19676502.288939998</v>
      </c>
      <c r="H40" s="1117">
        <f>'P&amp;L'!L28</f>
        <v>20615521.882462904</v>
      </c>
      <c r="I40" s="1117">
        <f>'P&amp;L'!M28</f>
        <v>21808634.554464001</v>
      </c>
      <c r="J40" s="1117">
        <f>'P&amp;L'!N28</f>
        <v>22300756.692269798</v>
      </c>
      <c r="K40" s="1117">
        <f>'P&amp;L'!O28</f>
        <v>22807316.061739061</v>
      </c>
      <c r="L40" s="1117">
        <f>'P&amp;L'!P28</f>
        <v>23328737.619009934</v>
      </c>
      <c r="M40" s="1117">
        <f>'P&amp;L'!Q28</f>
        <v>23865458.864884399</v>
      </c>
      <c r="N40" s="1117">
        <f>'P&amp;L'!R28</f>
        <v>24417930.216067705</v>
      </c>
      <c r="O40" s="1117">
        <f>'P&amp;L'!S28</f>
        <v>24986615.387417436</v>
      </c>
      <c r="P40" s="1117">
        <f>'P&amp;L'!T28</f>
        <v>25571991.785529338</v>
      </c>
      <c r="Q40" s="26"/>
      <c r="R40" s="26"/>
      <c r="S40" s="26"/>
      <c r="T40" s="26"/>
      <c r="U40" s="26"/>
      <c r="V40" s="26"/>
      <c r="W40" s="26"/>
      <c r="X40" s="26"/>
      <c r="Y40" s="26"/>
      <c r="Z40" s="26"/>
      <c r="AA40" s="26"/>
      <c r="AB40" s="26"/>
      <c r="AC40" s="26"/>
    </row>
    <row r="41" spans="1:29" ht="14.25" customHeight="1">
      <c r="A41" s="32"/>
      <c r="B41" s="32" t="s">
        <v>411</v>
      </c>
      <c r="C41" s="1117">
        <f>'P&amp;L'!G35</f>
        <v>0</v>
      </c>
      <c r="D41" s="1117">
        <f>'P&amp;L'!H35</f>
        <v>0</v>
      </c>
      <c r="E41" s="1117">
        <f>'P&amp;L'!I35</f>
        <v>0</v>
      </c>
      <c r="F41" s="1117">
        <f>'P&amp;L'!J35</f>
        <v>2168980.59</v>
      </c>
      <c r="G41" s="1117">
        <f>'P&amp;L'!K35</f>
        <v>2325901.7123999991</v>
      </c>
      <c r="H41" s="1117">
        <f>'P&amp;L'!L35</f>
        <v>2489948.7060000002</v>
      </c>
      <c r="I41" s="1117">
        <f>'P&amp;L'!M35</f>
        <v>2536926.42</v>
      </c>
      <c r="J41" s="1117">
        <f>'P&amp;L'!N35</f>
        <v>2611117.7526000002</v>
      </c>
      <c r="K41" s="1117">
        <f>'P&amp;L'!O35</f>
        <v>2687534.8251780006</v>
      </c>
      <c r="L41" s="1117">
        <f>'P&amp;L'!P35</f>
        <v>2766244.4099333407</v>
      </c>
      <c r="M41" s="1117">
        <f>'P&amp;L'!Q35</f>
        <v>2847315.2822313411</v>
      </c>
      <c r="N41" s="1117">
        <f>'P&amp;L'!R35</f>
        <v>2930818.2806982808</v>
      </c>
      <c r="O41" s="1117">
        <f>'P&amp;L'!S35</f>
        <v>3016826.3691192307</v>
      </c>
      <c r="P41" s="1117">
        <f>'P&amp;L'!T35</f>
        <v>3105414.7001928072</v>
      </c>
      <c r="Q41" s="26"/>
      <c r="R41" s="26"/>
      <c r="S41" s="26"/>
      <c r="T41" s="26"/>
      <c r="U41" s="26"/>
      <c r="V41" s="26"/>
      <c r="W41" s="26"/>
      <c r="X41" s="26"/>
      <c r="Y41" s="26"/>
      <c r="Z41" s="26"/>
      <c r="AA41" s="26"/>
      <c r="AB41" s="26"/>
      <c r="AC41" s="26"/>
    </row>
    <row r="42" spans="1:29" ht="14.25" customHeight="1">
      <c r="A42" s="32"/>
      <c r="B42" s="32" t="s">
        <v>264</v>
      </c>
      <c r="C42" s="1117">
        <f>'P&amp;L'!G40</f>
        <v>0</v>
      </c>
      <c r="D42" s="1117">
        <f>'P&amp;L'!H40</f>
        <v>0</v>
      </c>
      <c r="E42" s="1117">
        <f>'P&amp;L'!I40</f>
        <v>0</v>
      </c>
      <c r="F42" s="1117">
        <f>'P&amp;L'!J40</f>
        <v>16603352.824999999</v>
      </c>
      <c r="G42" s="1117">
        <f>'P&amp;L'!K40</f>
        <v>17350600.576539997</v>
      </c>
      <c r="H42" s="1117">
        <f>'P&amp;L'!L40</f>
        <v>18125573.176462904</v>
      </c>
      <c r="I42" s="1117">
        <f>'P&amp;L'!M40</f>
        <v>19271708.134464003</v>
      </c>
      <c r="J42" s="1117">
        <f>'P&amp;L'!N40</f>
        <v>19689638.939669799</v>
      </c>
      <c r="K42" s="1117">
        <f>'P&amp;L'!O40</f>
        <v>20119781.23656106</v>
      </c>
      <c r="L42" s="1117">
        <f>'P&amp;L'!P40</f>
        <v>20562493.209076595</v>
      </c>
      <c r="M42" s="1117">
        <f>'P&amp;L'!Q40</f>
        <v>21018143.582653057</v>
      </c>
      <c r="N42" s="1117">
        <f>'P&amp;L'!R40</f>
        <v>21487111.935369425</v>
      </c>
      <c r="O42" s="1117">
        <f>'P&amp;L'!S40</f>
        <v>21969789.018298205</v>
      </c>
      <c r="P42" s="1117">
        <f>'P&amp;L'!T40</f>
        <v>22466577.085336529</v>
      </c>
      <c r="Q42" s="26"/>
      <c r="R42" s="26"/>
      <c r="S42" s="26"/>
      <c r="T42" s="26"/>
      <c r="U42" s="26"/>
      <c r="V42" s="26"/>
      <c r="W42" s="26"/>
      <c r="X42" s="26"/>
      <c r="Y42" s="26"/>
      <c r="Z42" s="26"/>
      <c r="AA42" s="26"/>
      <c r="AB42" s="26"/>
      <c r="AC42" s="26"/>
    </row>
    <row r="43" spans="1:29" ht="14.25" customHeight="1">
      <c r="A43" s="32"/>
      <c r="B43" s="32" t="s">
        <v>441</v>
      </c>
      <c r="C43" s="1117">
        <f>'P&amp;L'!G74</f>
        <v>0</v>
      </c>
      <c r="D43" s="1117">
        <f>'P&amp;L'!H74</f>
        <v>0</v>
      </c>
      <c r="E43" s="1117">
        <f>'P&amp;L'!I74</f>
        <v>920383.09</v>
      </c>
      <c r="F43" s="1117">
        <f>'P&amp;L'!J74</f>
        <v>5428826.6670749998</v>
      </c>
      <c r="G43" s="1117">
        <f>'P&amp;L'!K74</f>
        <v>6176768.3084447002</v>
      </c>
      <c r="H43" s="1117">
        <f>'P&amp;L'!L74</f>
        <v>6400358.5071193147</v>
      </c>
      <c r="I43" s="1117">
        <f>'P&amp;L'!M74</f>
        <v>6668534.5031332374</v>
      </c>
      <c r="J43" s="1117">
        <f>'P&amp;L'!N74</f>
        <v>6864499.8596675787</v>
      </c>
      <c r="K43" s="1117">
        <f>'P&amp;L'!O74</f>
        <v>7631363.8749076193</v>
      </c>
      <c r="L43" s="1117">
        <f>'P&amp;L'!P74</f>
        <v>7995628.56795925</v>
      </c>
      <c r="M43" s="1117">
        <f>'P&amp;L'!Q74</f>
        <v>8233544.0284722419</v>
      </c>
      <c r="N43" s="1117">
        <f>'P&amp;L'!R74</f>
        <v>8478805.2593023404</v>
      </c>
      <c r="O43" s="1117">
        <f>'P&amp;L'!S74</f>
        <v>8822974.3280485645</v>
      </c>
      <c r="P43" s="1117">
        <f>'P&amp;L'!T74</f>
        <v>8450200.2067563329</v>
      </c>
      <c r="Q43" s="26"/>
      <c r="R43" s="26"/>
      <c r="S43" s="26"/>
      <c r="T43" s="26"/>
      <c r="U43" s="26"/>
      <c r="V43" s="26"/>
      <c r="W43" s="26"/>
      <c r="X43" s="26"/>
      <c r="Y43" s="26"/>
      <c r="Z43" s="26"/>
      <c r="AA43" s="26"/>
      <c r="AB43" s="26"/>
      <c r="AC43" s="26"/>
    </row>
    <row r="44" spans="1:29" ht="14.25" customHeight="1">
      <c r="A44" s="32"/>
      <c r="B44" s="32" t="s">
        <v>194</v>
      </c>
      <c r="C44" s="1118">
        <f>'P&amp;L'!G79</f>
        <v>0</v>
      </c>
      <c r="D44" s="1118">
        <f>'P&amp;L'!H79</f>
        <v>0</v>
      </c>
      <c r="E44" s="1118">
        <f>'P&amp;L'!I79</f>
        <v>0</v>
      </c>
      <c r="F44" s="1118">
        <f>'P&amp;L'!J79</f>
        <v>10240353.181728749</v>
      </c>
      <c r="G44" s="1118">
        <f>'P&amp;L'!K79</f>
        <v>10221610.60891173</v>
      </c>
      <c r="H44" s="1118">
        <f>'P&amp;L'!L79</f>
        <v>10726643.498227151</v>
      </c>
      <c r="I44" s="1118">
        <f>'P&amp;L'!M79</f>
        <v>11603173.631330766</v>
      </c>
      <c r="J44" s="1118">
        <f>'P&amp;L'!N79</f>
        <v>11825139.08000222</v>
      </c>
      <c r="K44" s="1118">
        <f>'P&amp;L'!O79</f>
        <v>11488417.36165344</v>
      </c>
      <c r="L44" s="1118">
        <f>'P&amp;L'!P79</f>
        <v>11566864.641117346</v>
      </c>
      <c r="M44" s="1118">
        <f>'P&amp;L'!Q79</f>
        <v>11784599.554180816</v>
      </c>
      <c r="N44" s="1118">
        <f>'P&amp;L'!R79</f>
        <v>12008306.676067084</v>
      </c>
      <c r="O44" s="1118">
        <f>'P&amp;L'!S79</f>
        <v>12146814.69024964</v>
      </c>
      <c r="P44" s="1118">
        <f>'P&amp;L'!T79</f>
        <v>13901342.685076447</v>
      </c>
      <c r="Q44" s="26"/>
      <c r="R44" s="26"/>
      <c r="S44" s="26"/>
      <c r="T44" s="26"/>
      <c r="U44" s="26"/>
      <c r="V44" s="26"/>
      <c r="W44" s="26"/>
      <c r="X44" s="26"/>
      <c r="Y44" s="26"/>
      <c r="Z44" s="26"/>
      <c r="AA44" s="26"/>
      <c r="AB44" s="26"/>
      <c r="AC44" s="26"/>
    </row>
    <row r="45" spans="1:29" ht="14.25" customHeight="1">
      <c r="A45" s="32"/>
      <c r="B45" s="32" t="s">
        <v>444</v>
      </c>
      <c r="C45" s="1119">
        <f t="shared" ref="C45:P45" si="0">IFERROR(C44/C40,0)</f>
        <v>0</v>
      </c>
      <c r="D45" s="1119">
        <f t="shared" si="0"/>
        <v>0</v>
      </c>
      <c r="E45" s="1119">
        <f t="shared" si="0"/>
        <v>0</v>
      </c>
      <c r="F45" s="1119">
        <f t="shared" si="0"/>
        <v>0.54550241333057792</v>
      </c>
      <c r="G45" s="1119">
        <f t="shared" si="0"/>
        <v>0.51948311030142869</v>
      </c>
      <c r="H45" s="1119">
        <f t="shared" si="0"/>
        <v>0.52031879471128173</v>
      </c>
      <c r="I45" s="1119">
        <f t="shared" si="0"/>
        <v>0.53204493854732027</v>
      </c>
      <c r="J45" s="1119">
        <f t="shared" si="0"/>
        <v>0.53025730217043332</v>
      </c>
      <c r="K45" s="1119">
        <f t="shared" si="0"/>
        <v>0.50371632201502659</v>
      </c>
      <c r="L45" s="1119">
        <f t="shared" si="0"/>
        <v>0.49582042672089688</v>
      </c>
      <c r="M45" s="1119">
        <f t="shared" si="0"/>
        <v>0.49379312674857712</v>
      </c>
      <c r="N45" s="1119">
        <f t="shared" si="0"/>
        <v>0.49178233248308945</v>
      </c>
      <c r="O45" s="1119">
        <f t="shared" si="0"/>
        <v>0.48613285560742409</v>
      </c>
      <c r="P45" s="1119">
        <f t="shared" si="0"/>
        <v>0.54361595301868237</v>
      </c>
      <c r="Q45" s="26"/>
      <c r="R45" s="26"/>
      <c r="S45" s="26"/>
      <c r="T45" s="26"/>
      <c r="U45" s="26"/>
      <c r="V45" s="26"/>
      <c r="W45" s="26"/>
      <c r="X45" s="26"/>
      <c r="Y45" s="26"/>
      <c r="Z45" s="26"/>
      <c r="AA45" s="26"/>
      <c r="AB45" s="26"/>
      <c r="AC45" s="26"/>
    </row>
    <row r="46" spans="1:29" ht="14.25" customHeight="1">
      <c r="A46" s="32"/>
      <c r="B46" s="32" t="s">
        <v>271</v>
      </c>
      <c r="C46" s="1118">
        <f>'P&amp;L'!G95</f>
        <v>0</v>
      </c>
      <c r="D46" s="1118">
        <f>'P&amp;L'!H95</f>
        <v>0</v>
      </c>
      <c r="E46" s="1118">
        <f>'P&amp;L'!I95</f>
        <v>-1463544.69</v>
      </c>
      <c r="F46" s="1118">
        <f>'P&amp;L'!J95</f>
        <v>6180518.5192101244</v>
      </c>
      <c r="G46" s="1118">
        <f>'P&amp;L'!K95</f>
        <v>5797988.5137382112</v>
      </c>
      <c r="H46" s="1118">
        <f>'P&amp;L'!L95</f>
        <v>6240242.941259006</v>
      </c>
      <c r="I46" s="1118">
        <f>'P&amp;L'!M95</f>
        <v>6942545.4394315369</v>
      </c>
      <c r="J46" s="1118">
        <f>'P&amp;L'!N95</f>
        <v>7186652.6585015543</v>
      </c>
      <c r="K46" s="1118">
        <f>'P&amp;L'!O95</f>
        <v>7039678.860657407</v>
      </c>
      <c r="L46" s="1118">
        <f>'P&amp;L'!P95</f>
        <v>7183323.3612821419</v>
      </c>
      <c r="M46" s="1118">
        <f>'P&amp;L'!Q95</f>
        <v>7424469.2054265719</v>
      </c>
      <c r="N46" s="1118">
        <f>'P&amp;L'!R95</f>
        <v>7669795.5957469596</v>
      </c>
      <c r="O46" s="1118">
        <f>'P&amp;L'!S95</f>
        <v>7811116.9081747485</v>
      </c>
      <c r="P46" s="1118">
        <f>'P&amp;L'!T95</f>
        <v>9039286.5045535136</v>
      </c>
      <c r="Q46" s="26"/>
      <c r="R46" s="26"/>
      <c r="S46" s="26"/>
      <c r="T46" s="26"/>
      <c r="U46" s="26"/>
      <c r="V46" s="26"/>
      <c r="W46" s="26"/>
      <c r="X46" s="26"/>
      <c r="Y46" s="26"/>
      <c r="Z46" s="26"/>
      <c r="AA46" s="26"/>
      <c r="AB46" s="26"/>
      <c r="AC46" s="26"/>
    </row>
    <row r="47" spans="1:29" ht="14.25" customHeight="1">
      <c r="A47" s="32"/>
      <c r="B47" s="32" t="s">
        <v>2150</v>
      </c>
      <c r="C47" s="1119">
        <f t="shared" ref="C47:P47" si="1">IFERROR(C46/C40,0)</f>
        <v>0</v>
      </c>
      <c r="D47" s="1119">
        <f t="shared" si="1"/>
        <v>0</v>
      </c>
      <c r="E47" s="1119">
        <f t="shared" si="1"/>
        <v>0</v>
      </c>
      <c r="F47" s="1119">
        <f t="shared" si="1"/>
        <v>0.32923549686538128</v>
      </c>
      <c r="G47" s="1119">
        <f t="shared" si="1"/>
        <v>0.29466560817555537</v>
      </c>
      <c r="H47" s="1119">
        <f t="shared" si="1"/>
        <v>0.30269633613143798</v>
      </c>
      <c r="I47" s="1119">
        <f t="shared" si="1"/>
        <v>0.31833929914747783</v>
      </c>
      <c r="J47" s="1119">
        <f t="shared" si="1"/>
        <v>0.32226048459569501</v>
      </c>
      <c r="K47" s="1119">
        <f t="shared" si="1"/>
        <v>0.30865880235978238</v>
      </c>
      <c r="L47" s="1119">
        <f t="shared" si="1"/>
        <v>0.3079173626364014</v>
      </c>
      <c r="M47" s="1119">
        <f t="shared" si="1"/>
        <v>0.31109685539509674</v>
      </c>
      <c r="N47" s="1119">
        <f t="shared" si="1"/>
        <v>0.31410506655883602</v>
      </c>
      <c r="O47" s="1119">
        <f t="shared" si="1"/>
        <v>0.31261204397087772</v>
      </c>
      <c r="P47" s="1119">
        <f t="shared" si="1"/>
        <v>0.35348386548710919</v>
      </c>
      <c r="Q47" s="26"/>
      <c r="R47" s="26"/>
      <c r="S47" s="26"/>
      <c r="T47" s="26"/>
      <c r="U47" s="26"/>
      <c r="V47" s="26"/>
      <c r="W47" s="26"/>
      <c r="X47" s="26"/>
      <c r="Y47" s="26"/>
      <c r="Z47" s="26"/>
      <c r="AA47" s="26"/>
      <c r="AB47" s="26"/>
      <c r="AC47" s="26"/>
    </row>
    <row r="48" spans="1:29" ht="14.25" customHeight="1">
      <c r="A48" s="32"/>
      <c r="B48" s="32" t="s">
        <v>360</v>
      </c>
      <c r="C48" s="1117">
        <f>'P&amp;L'!G104</f>
        <v>0</v>
      </c>
      <c r="D48" s="1117">
        <f>'P&amp;L'!H104</f>
        <v>0</v>
      </c>
      <c r="E48" s="1117">
        <f>'P&amp;L'!I104</f>
        <v>0</v>
      </c>
      <c r="F48" s="1117">
        <f>'P&amp;L'!J104</f>
        <v>0</v>
      </c>
      <c r="G48" s="1117">
        <f>'P&amp;L'!K104</f>
        <v>0</v>
      </c>
      <c r="H48" s="1117">
        <f>'P&amp;L'!L104</f>
        <v>0</v>
      </c>
      <c r="I48" s="1117">
        <f>'P&amp;L'!M104</f>
        <v>0</v>
      </c>
      <c r="J48" s="1117">
        <f>'P&amp;L'!N104</f>
        <v>0</v>
      </c>
      <c r="K48" s="1117">
        <f>'P&amp;L'!O104</f>
        <v>0</v>
      </c>
      <c r="L48" s="1117">
        <f>'P&amp;L'!P104</f>
        <v>0</v>
      </c>
      <c r="M48" s="1117">
        <f>'P&amp;L'!Q104</f>
        <v>0</v>
      </c>
      <c r="N48" s="1117">
        <f>'P&amp;L'!R104</f>
        <v>0</v>
      </c>
      <c r="O48" s="1117">
        <f>'P&amp;L'!S104</f>
        <v>0</v>
      </c>
      <c r="P48" s="1117">
        <f>'P&amp;L'!T104</f>
        <v>0</v>
      </c>
      <c r="Q48" s="26"/>
      <c r="R48" s="26"/>
      <c r="S48" s="26"/>
      <c r="T48" s="26"/>
      <c r="U48" s="26"/>
      <c r="V48" s="26"/>
      <c r="W48" s="26"/>
      <c r="X48" s="26"/>
      <c r="Y48" s="26"/>
      <c r="Z48" s="26"/>
      <c r="AA48" s="26"/>
      <c r="AB48" s="26"/>
      <c r="AC48" s="26"/>
    </row>
    <row r="49" spans="1:29" ht="14.25" customHeight="1">
      <c r="A49" s="32"/>
      <c r="B49" s="32" t="s">
        <v>2151</v>
      </c>
      <c r="C49" s="1117">
        <f>'P&amp;L'!G102</f>
        <v>0</v>
      </c>
      <c r="D49" s="1117">
        <f>'P&amp;L'!H102</f>
        <v>0</v>
      </c>
      <c r="E49" s="1117">
        <f>'P&amp;L'!I102</f>
        <v>0</v>
      </c>
      <c r="F49" s="1117">
        <f>'P&amp;L'!J102</f>
        <v>101622.77499999999</v>
      </c>
      <c r="G49" s="1117">
        <f>'P&amp;L'!K102</f>
        <v>103780.13</v>
      </c>
      <c r="H49" s="1117">
        <f>'P&amp;L'!L102</f>
        <v>105937.48500000002</v>
      </c>
      <c r="I49" s="1117">
        <f>'P&amp;L'!M102</f>
        <v>113545</v>
      </c>
      <c r="J49" s="1117">
        <f>'P&amp;L'!N102</f>
        <v>113545</v>
      </c>
      <c r="K49" s="1117">
        <f>'P&amp;L'!O102</f>
        <v>113545</v>
      </c>
      <c r="L49" s="1117">
        <f>'P&amp;L'!P102</f>
        <v>113545</v>
      </c>
      <c r="M49" s="1117">
        <f>'P&amp;L'!Q102</f>
        <v>113545</v>
      </c>
      <c r="N49" s="1117">
        <f>'P&amp;L'!R102</f>
        <v>113545</v>
      </c>
      <c r="O49" s="1117">
        <f>'P&amp;L'!S102</f>
        <v>113545</v>
      </c>
      <c r="P49" s="1117">
        <f>'P&amp;L'!T102</f>
        <v>113545</v>
      </c>
      <c r="Q49" s="26"/>
      <c r="R49" s="26"/>
      <c r="S49" s="26"/>
      <c r="T49" s="26"/>
      <c r="U49" s="26"/>
      <c r="V49" s="26"/>
      <c r="W49" s="26"/>
      <c r="X49" s="26"/>
      <c r="Y49" s="26"/>
      <c r="Z49" s="26"/>
      <c r="AA49" s="26"/>
      <c r="AB49" s="26"/>
      <c r="AC49" s="26"/>
    </row>
    <row r="50" spans="1:29" ht="14.25" customHeight="1">
      <c r="A50" s="32"/>
      <c r="B50" s="32"/>
      <c r="C50" s="32"/>
      <c r="D50" s="32"/>
      <c r="E50" s="32"/>
      <c r="F50" s="32"/>
      <c r="G50" s="32"/>
      <c r="H50" s="32"/>
      <c r="I50" s="32"/>
      <c r="J50" s="32"/>
      <c r="K50" s="32"/>
      <c r="L50" s="32"/>
      <c r="M50" s="32"/>
      <c r="N50" s="32"/>
      <c r="O50" s="32"/>
      <c r="P50" s="32"/>
      <c r="Q50" s="26"/>
      <c r="R50" s="26"/>
      <c r="S50" s="26"/>
      <c r="T50" s="26"/>
      <c r="U50" s="26"/>
      <c r="V50" s="26"/>
      <c r="W50" s="26"/>
      <c r="X50" s="26"/>
      <c r="Y50" s="26"/>
      <c r="Z50" s="26"/>
      <c r="AA50" s="26"/>
      <c r="AB50" s="26"/>
      <c r="AC50" s="26"/>
    </row>
    <row r="51" spans="1:29" ht="14.25" customHeight="1">
      <c r="A51" s="32"/>
      <c r="B51" s="1114" t="s">
        <v>2152</v>
      </c>
      <c r="C51" s="32"/>
      <c r="D51" s="32"/>
      <c r="E51" s="32"/>
      <c r="F51" s="32"/>
      <c r="G51" s="32"/>
      <c r="H51" s="32"/>
      <c r="I51" s="32"/>
      <c r="J51" s="32"/>
      <c r="K51" s="32"/>
      <c r="L51" s="32"/>
      <c r="M51" s="32"/>
      <c r="N51" s="32"/>
      <c r="O51" s="32"/>
      <c r="P51" s="32"/>
      <c r="Q51" s="26"/>
      <c r="R51" s="26"/>
      <c r="S51" s="26"/>
      <c r="T51" s="26"/>
      <c r="U51" s="26"/>
      <c r="V51" s="26"/>
      <c r="W51" s="26"/>
      <c r="X51" s="26"/>
      <c r="Y51" s="26"/>
      <c r="Z51" s="26"/>
      <c r="AA51" s="26"/>
      <c r="AB51" s="26"/>
      <c r="AC51" s="26"/>
    </row>
    <row r="52" spans="1:29" ht="14.25" customHeight="1">
      <c r="A52" s="32"/>
      <c r="B52" s="1115" t="s">
        <v>211</v>
      </c>
      <c r="C52" s="1116" t="str">
        <f t="shared" ref="C52:P52" si="2">C39</f>
        <v>FY25</v>
      </c>
      <c r="D52" s="1116" t="str">
        <f t="shared" si="2"/>
        <v>FY26</v>
      </c>
      <c r="E52" s="1116" t="str">
        <f t="shared" si="2"/>
        <v>FY27</v>
      </c>
      <c r="F52" s="1116" t="str">
        <f t="shared" si="2"/>
        <v>FY28</v>
      </c>
      <c r="G52" s="1116" t="str">
        <f t="shared" si="2"/>
        <v>FY29</v>
      </c>
      <c r="H52" s="1116" t="str">
        <f t="shared" si="2"/>
        <v>FY30</v>
      </c>
      <c r="I52" s="1116" t="str">
        <f t="shared" si="2"/>
        <v>FY31</v>
      </c>
      <c r="J52" s="1116" t="str">
        <f t="shared" si="2"/>
        <v>FY32</v>
      </c>
      <c r="K52" s="1116" t="str">
        <f t="shared" si="2"/>
        <v>FY33</v>
      </c>
      <c r="L52" s="1116" t="str">
        <f t="shared" si="2"/>
        <v>FY34</v>
      </c>
      <c r="M52" s="1116" t="str">
        <f t="shared" si="2"/>
        <v>FY35</v>
      </c>
      <c r="N52" s="1116" t="str">
        <f t="shared" si="2"/>
        <v>FY36</v>
      </c>
      <c r="O52" s="1116" t="str">
        <f t="shared" si="2"/>
        <v>FY37</v>
      </c>
      <c r="P52" s="1116" t="str">
        <f t="shared" si="2"/>
        <v>FY38</v>
      </c>
      <c r="Q52" s="26"/>
      <c r="R52" s="26"/>
      <c r="S52" s="26"/>
      <c r="T52" s="26"/>
      <c r="U52" s="26"/>
      <c r="V52" s="26"/>
      <c r="W52" s="26"/>
      <c r="X52" s="26"/>
      <c r="Y52" s="26"/>
      <c r="Z52" s="26"/>
      <c r="AA52" s="26"/>
      <c r="AB52" s="26"/>
      <c r="AC52" s="26"/>
    </row>
    <row r="53" spans="1:29" ht="14.25" customHeight="1">
      <c r="A53" s="32"/>
      <c r="B53" s="32" t="s">
        <v>2153</v>
      </c>
      <c r="C53" s="1117">
        <f>Cashflow!D76</f>
        <v>0</v>
      </c>
      <c r="D53" s="1117">
        <f>Cashflow!E76</f>
        <v>0</v>
      </c>
      <c r="E53" s="1117">
        <f>Cashflow!F76</f>
        <v>-20580525</v>
      </c>
      <c r="F53" s="1117">
        <f>Cashflow!G76</f>
        <v>9143626.5997075159</v>
      </c>
      <c r="G53" s="1117">
        <f>Cashflow!H76</f>
        <v>10208770.014453897</v>
      </c>
      <c r="H53" s="1117">
        <f>Cashflow!I76</f>
        <v>10667841.082212223</v>
      </c>
      <c r="I53" s="1117">
        <f>Cashflow!J76</f>
        <v>11527151.438783875</v>
      </c>
      <c r="J53" s="1117">
        <f>Cashflow!K76</f>
        <v>11800797.426747032</v>
      </c>
      <c r="K53" s="1117">
        <f>Cashflow!L76</f>
        <v>11509812.264045559</v>
      </c>
      <c r="L53" s="1117">
        <f>Cashflow!M76</f>
        <v>11553947.638578778</v>
      </c>
      <c r="M53" s="1117">
        <f>Cashflow!N76</f>
        <v>11760040.174562065</v>
      </c>
      <c r="N53" s="1117">
        <f>Cashflow!O76</f>
        <v>11983056.529188737</v>
      </c>
      <c r="O53" s="1117">
        <f>Cashflow!P76</f>
        <v>12128361.311953463</v>
      </c>
      <c r="P53" s="1117">
        <f>Cashflow!Q76</f>
        <v>111131989.3831263</v>
      </c>
      <c r="Q53" s="26"/>
      <c r="R53" s="26"/>
      <c r="S53" s="26"/>
      <c r="T53" s="26"/>
      <c r="U53" s="26"/>
      <c r="V53" s="26"/>
      <c r="W53" s="26"/>
      <c r="X53" s="26"/>
      <c r="Y53" s="26"/>
      <c r="Z53" s="26"/>
      <c r="AA53" s="26"/>
      <c r="AB53" s="26"/>
      <c r="AC53" s="26"/>
    </row>
    <row r="54" spans="1:29" ht="14.25" customHeight="1">
      <c r="A54" s="32"/>
      <c r="B54" s="32" t="s">
        <v>2154</v>
      </c>
      <c r="C54" s="1117">
        <f>Cashflow!D77</f>
        <v>0</v>
      </c>
      <c r="D54" s="1117">
        <f>Cashflow!E77</f>
        <v>0</v>
      </c>
      <c r="E54" s="1117">
        <f>Cashflow!F77</f>
        <v>-8970383.0899999999</v>
      </c>
      <c r="F54" s="1117">
        <f>Cashflow!G77</f>
        <v>0</v>
      </c>
      <c r="G54" s="1117">
        <f>Cashflow!H77</f>
        <v>0</v>
      </c>
      <c r="H54" s="1117">
        <f>Cashflow!I77</f>
        <v>0</v>
      </c>
      <c r="I54" s="1117">
        <f>Cashflow!J77</f>
        <v>0</v>
      </c>
      <c r="J54" s="1117">
        <f>Cashflow!K77</f>
        <v>0</v>
      </c>
      <c r="K54" s="1117">
        <f>Cashflow!L77</f>
        <v>0</v>
      </c>
      <c r="L54" s="1117">
        <f>Cashflow!M77</f>
        <v>0</v>
      </c>
      <c r="M54" s="1117">
        <f>Cashflow!N77</f>
        <v>0</v>
      </c>
      <c r="N54" s="1117">
        <f>Cashflow!O77</f>
        <v>0</v>
      </c>
      <c r="O54" s="1117">
        <f>Cashflow!P77</f>
        <v>0</v>
      </c>
      <c r="P54" s="1117">
        <f>Cashflow!Q77</f>
        <v>97309398.795535132</v>
      </c>
      <c r="Q54" s="26"/>
      <c r="R54" s="26"/>
      <c r="S54" s="26"/>
      <c r="T54" s="26"/>
      <c r="U54" s="26"/>
      <c r="V54" s="26"/>
      <c r="W54" s="26"/>
      <c r="X54" s="26"/>
      <c r="Y54" s="26"/>
      <c r="Z54" s="26"/>
      <c r="AA54" s="26"/>
      <c r="AB54" s="26"/>
      <c r="AC54" s="26"/>
    </row>
    <row r="55" spans="1:29" ht="14.25" customHeight="1">
      <c r="A55" s="32"/>
      <c r="B55" s="32" t="s">
        <v>643</v>
      </c>
      <c r="C55" s="1117">
        <f>C54</f>
        <v>0</v>
      </c>
      <c r="D55" s="1117">
        <f t="shared" ref="D55:P55" si="3">C55+D54</f>
        <v>0</v>
      </c>
      <c r="E55" s="1117">
        <f t="shared" si="3"/>
        <v>-8970383.0899999999</v>
      </c>
      <c r="F55" s="1117">
        <f t="shared" si="3"/>
        <v>-8970383.0899999999</v>
      </c>
      <c r="G55" s="1117">
        <f t="shared" si="3"/>
        <v>-8970383.0899999999</v>
      </c>
      <c r="H55" s="1117">
        <f t="shared" si="3"/>
        <v>-8970383.0899999999</v>
      </c>
      <c r="I55" s="1117">
        <f t="shared" si="3"/>
        <v>-8970383.0899999999</v>
      </c>
      <c r="J55" s="1117">
        <f t="shared" si="3"/>
        <v>-8970383.0899999999</v>
      </c>
      <c r="K55" s="1117">
        <f t="shared" si="3"/>
        <v>-8970383.0899999999</v>
      </c>
      <c r="L55" s="1117">
        <f t="shared" si="3"/>
        <v>-8970383.0899999999</v>
      </c>
      <c r="M55" s="1117">
        <f t="shared" si="3"/>
        <v>-8970383.0899999999</v>
      </c>
      <c r="N55" s="1117">
        <f t="shared" si="3"/>
        <v>-8970383.0899999999</v>
      </c>
      <c r="O55" s="1117">
        <f t="shared" si="3"/>
        <v>-8970383.0899999999</v>
      </c>
      <c r="P55" s="1117">
        <f t="shared" si="3"/>
        <v>88339015.705535129</v>
      </c>
      <c r="Q55" s="26"/>
      <c r="R55" s="26"/>
      <c r="S55" s="26"/>
      <c r="T55" s="26"/>
      <c r="U55" s="26"/>
      <c r="V55" s="26"/>
      <c r="W55" s="26"/>
      <c r="X55" s="26"/>
      <c r="Y55" s="26"/>
      <c r="Z55" s="26"/>
      <c r="AA55" s="26"/>
      <c r="AB55" s="26"/>
      <c r="AC55" s="26"/>
    </row>
    <row r="56" spans="1:29" ht="14.25" customHeight="1">
      <c r="A56" s="32"/>
      <c r="B56" s="32" t="s">
        <v>365</v>
      </c>
      <c r="C56" s="1117">
        <f>Cashflow!D38</f>
        <v>0</v>
      </c>
      <c r="D56" s="1117">
        <f>Cashflow!E38</f>
        <v>0</v>
      </c>
      <c r="E56" s="1117">
        <f>Cashflow!F38</f>
        <v>452228.39999999851</v>
      </c>
      <c r="F56" s="1117">
        <f>Cashflow!G38</f>
        <v>1724785.5788420234</v>
      </c>
      <c r="G56" s="1117">
        <f>Cashflow!H38</f>
        <v>2184190.0265896698</v>
      </c>
      <c r="H56" s="1117">
        <f>Cashflow!I38</f>
        <v>2729888.0048414734</v>
      </c>
      <c r="I56" s="1117">
        <f>Cashflow!J38</f>
        <v>3408438.9677277789</v>
      </c>
      <c r="J56" s="1117">
        <f>Cashflow!K38</f>
        <v>4135811.3744280911</v>
      </c>
      <c r="K56" s="1117">
        <f>Cashflow!L38</f>
        <v>4833789.0215595746</v>
      </c>
      <c r="L56" s="1117">
        <f>Cashflow!M38</f>
        <v>5560495.5688160015</v>
      </c>
      <c r="M56" s="1117">
        <f>Cashflow!N38</f>
        <v>6335431.2849013144</v>
      </c>
      <c r="N56" s="1117">
        <f>Cashflow!O38</f>
        <v>7159432.279050706</v>
      </c>
      <c r="O56" s="1117">
        <f>Cashflow!P38</f>
        <v>9596186.910685651</v>
      </c>
      <c r="P56" s="1117">
        <f>Cashflow!Q38</f>
        <v>12278575.461596355</v>
      </c>
      <c r="Q56" s="26"/>
      <c r="R56" s="26"/>
      <c r="S56" s="26"/>
      <c r="T56" s="26"/>
      <c r="U56" s="26"/>
      <c r="V56" s="26"/>
      <c r="W56" s="26"/>
      <c r="X56" s="26"/>
      <c r="Y56" s="26"/>
      <c r="Z56" s="26"/>
      <c r="AA56" s="26"/>
      <c r="AB56" s="26"/>
      <c r="AC56" s="26"/>
    </row>
    <row r="57" spans="1:29" ht="14.25" customHeight="1">
      <c r="A57" s="32"/>
      <c r="B57" s="32" t="s">
        <v>2155</v>
      </c>
      <c r="C57" s="1117">
        <f>Debt!H24</f>
        <v>0</v>
      </c>
      <c r="D57" s="1117">
        <f>Debt!I24</f>
        <v>0</v>
      </c>
      <c r="E57" s="1117">
        <f>Debt!J24</f>
        <v>12675915</v>
      </c>
      <c r="F57" s="1117">
        <f>Debt!K24</f>
        <v>12675915</v>
      </c>
      <c r="G57" s="1117">
        <f>Debt!L24</f>
        <v>11091425.625</v>
      </c>
      <c r="H57" s="1117">
        <f>Debt!M24</f>
        <v>9506936.25</v>
      </c>
      <c r="I57" s="1117">
        <f>Debt!N24</f>
        <v>7922446.875</v>
      </c>
      <c r="J57" s="1117">
        <f>Debt!O24</f>
        <v>6337957.5</v>
      </c>
      <c r="K57" s="1117">
        <f>Debt!P24</f>
        <v>4753468.125</v>
      </c>
      <c r="L57" s="1117">
        <f>Debt!Q24</f>
        <v>3168978.75</v>
      </c>
      <c r="M57" s="1117">
        <f>Debt!R24</f>
        <v>1584489.375</v>
      </c>
      <c r="N57" s="1117">
        <f>Debt!S24</f>
        <v>0</v>
      </c>
      <c r="O57" s="1117">
        <f>Debt!T24</f>
        <v>0</v>
      </c>
      <c r="P57" s="1117">
        <f>Debt!U24</f>
        <v>0</v>
      </c>
      <c r="Q57" s="26"/>
      <c r="R57" s="26"/>
      <c r="S57" s="26"/>
      <c r="T57" s="26"/>
      <c r="U57" s="26"/>
      <c r="V57" s="26"/>
      <c r="W57" s="26"/>
      <c r="X57" s="26"/>
      <c r="Y57" s="26"/>
      <c r="Z57" s="26"/>
      <c r="AA57" s="26"/>
      <c r="AB57" s="26"/>
      <c r="AC57" s="26"/>
    </row>
    <row r="58" spans="1:29" ht="14.25" customHeight="1">
      <c r="A58" s="32"/>
      <c r="B58" s="32" t="s">
        <v>2156</v>
      </c>
      <c r="C58" s="1117">
        <f>Debt!H58</f>
        <v>0</v>
      </c>
      <c r="D58" s="1117">
        <f>Debt!I58</f>
        <v>0</v>
      </c>
      <c r="E58" s="1117">
        <f>Debt!J58</f>
        <v>507036.60000000003</v>
      </c>
      <c r="F58" s="1117">
        <f>Debt!K58</f>
        <v>1014073.2000000001</v>
      </c>
      <c r="G58" s="1117">
        <f>Debt!L58</f>
        <v>2535183</v>
      </c>
      <c r="H58" s="1117">
        <f>Debt!M58</f>
        <v>2408423.85</v>
      </c>
      <c r="I58" s="1117">
        <f>Debt!N58</f>
        <v>2281664.7000000002</v>
      </c>
      <c r="J58" s="1117">
        <f>Debt!O58</f>
        <v>2154905.5499999998</v>
      </c>
      <c r="K58" s="1117">
        <f>Debt!P58</f>
        <v>2028146.4</v>
      </c>
      <c r="L58" s="1117">
        <f>Debt!Q58</f>
        <v>1901387.25</v>
      </c>
      <c r="M58" s="1117">
        <f>Debt!R58</f>
        <v>1774628.1</v>
      </c>
      <c r="N58" s="1117">
        <f>Debt!S58</f>
        <v>1647868.95</v>
      </c>
      <c r="O58" s="1117">
        <f>Debt!T58</f>
        <v>0</v>
      </c>
      <c r="P58" s="1117">
        <f>Debt!U58</f>
        <v>0</v>
      </c>
      <c r="Q58" s="26"/>
      <c r="R58" s="26"/>
      <c r="S58" s="26"/>
      <c r="T58" s="26"/>
      <c r="U58" s="26"/>
      <c r="V58" s="26"/>
      <c r="W58" s="26"/>
      <c r="X58" s="26"/>
      <c r="Y58" s="26"/>
      <c r="Z58" s="26"/>
      <c r="AA58" s="26"/>
      <c r="AB58" s="26"/>
      <c r="AC58" s="26"/>
    </row>
    <row r="59" spans="1:29" ht="14.25" customHeight="1">
      <c r="A59" s="32"/>
      <c r="B59" s="32" t="s">
        <v>2157</v>
      </c>
      <c r="C59" s="1117">
        <f>Debt!H22</f>
        <v>0</v>
      </c>
      <c r="D59" s="1117">
        <f>Debt!I22</f>
        <v>0</v>
      </c>
      <c r="E59" s="1117">
        <f>Debt!J22</f>
        <v>507036.60000000003</v>
      </c>
      <c r="F59" s="1117">
        <f>Debt!K22</f>
        <v>1014073.2000000001</v>
      </c>
      <c r="G59" s="1117">
        <f>Debt!L22</f>
        <v>950693.625</v>
      </c>
      <c r="H59" s="1117">
        <f>Debt!M22</f>
        <v>823934.47499999998</v>
      </c>
      <c r="I59" s="1117">
        <f>Debt!N22</f>
        <v>697175.32500000007</v>
      </c>
      <c r="J59" s="1117">
        <f>Debt!O22</f>
        <v>570416.17500000005</v>
      </c>
      <c r="K59" s="1117">
        <f>Debt!P22</f>
        <v>443657.02500000002</v>
      </c>
      <c r="L59" s="1117">
        <f>Debt!Q22</f>
        <v>316897.875</v>
      </c>
      <c r="M59" s="1117">
        <f>Debt!R22</f>
        <v>190138.72500000001</v>
      </c>
      <c r="N59" s="1117">
        <f>Debt!S22</f>
        <v>63379.575000000004</v>
      </c>
      <c r="O59" s="1117">
        <f>Debt!T22</f>
        <v>0</v>
      </c>
      <c r="P59" s="1117">
        <f>Debt!U22</f>
        <v>0</v>
      </c>
      <c r="Q59" s="26"/>
      <c r="R59" s="26"/>
      <c r="S59" s="26"/>
      <c r="T59" s="26"/>
      <c r="U59" s="26"/>
      <c r="V59" s="26"/>
      <c r="W59" s="26"/>
      <c r="X59" s="26"/>
      <c r="Y59" s="26"/>
      <c r="Z59" s="26"/>
      <c r="AA59" s="26"/>
      <c r="AB59" s="26"/>
      <c r="AC59" s="26"/>
    </row>
    <row r="60" spans="1:29" ht="14.25" customHeight="1">
      <c r="A60" s="32"/>
      <c r="B60" s="32" t="s">
        <v>2158</v>
      </c>
      <c r="C60" s="1117">
        <f>Debt!H21</f>
        <v>0</v>
      </c>
      <c r="D60" s="1117">
        <f>Debt!I21</f>
        <v>0</v>
      </c>
      <c r="E60" s="1117">
        <f>Debt!J21</f>
        <v>0</v>
      </c>
      <c r="F60" s="1117">
        <f>Debt!K21</f>
        <v>0</v>
      </c>
      <c r="G60" s="1117">
        <f>Debt!L21</f>
        <v>1584489.375</v>
      </c>
      <c r="H60" s="1117">
        <f>Debt!M21</f>
        <v>1584489.375</v>
      </c>
      <c r="I60" s="1117">
        <f>Debt!N21</f>
        <v>1584489.375</v>
      </c>
      <c r="J60" s="1117">
        <f>Debt!O21</f>
        <v>1584489.375</v>
      </c>
      <c r="K60" s="1117">
        <f>Debt!P21</f>
        <v>1584489.375</v>
      </c>
      <c r="L60" s="1117">
        <f>Debt!Q21</f>
        <v>1584489.375</v>
      </c>
      <c r="M60" s="1117">
        <f>Debt!R21</f>
        <v>1584489.375</v>
      </c>
      <c r="N60" s="1117">
        <f>Debt!S21</f>
        <v>1584489.375</v>
      </c>
      <c r="O60" s="1117">
        <f>Debt!T21</f>
        <v>0</v>
      </c>
      <c r="P60" s="1117">
        <f>Debt!U21</f>
        <v>0</v>
      </c>
      <c r="Q60" s="26"/>
      <c r="R60" s="26"/>
      <c r="S60" s="26"/>
      <c r="T60" s="26"/>
      <c r="U60" s="26"/>
      <c r="V60" s="26"/>
      <c r="W60" s="26"/>
      <c r="X60" s="26"/>
      <c r="Y60" s="26"/>
      <c r="Z60" s="26"/>
      <c r="AA60" s="26"/>
      <c r="AB60" s="26"/>
      <c r="AC60" s="26"/>
    </row>
    <row r="61" spans="1:29" ht="14.25" customHeight="1">
      <c r="A61" s="32"/>
      <c r="B61" s="32" t="s">
        <v>197</v>
      </c>
      <c r="C61" s="1120" t="str">
        <f>IFERROR(Cashflow!D67,0)</f>
        <v/>
      </c>
      <c r="D61" s="1120" t="str">
        <f>IFERROR(Cashflow!E67,0)</f>
        <v/>
      </c>
      <c r="E61" s="1120" t="str">
        <f>IFERROR(Cashflow!F67,0)</f>
        <v/>
      </c>
      <c r="F61" s="1120">
        <f>IFERROR(Cashflow!G67,0)</f>
        <v>3.7480650108967009</v>
      </c>
      <c r="G61" s="1120">
        <f>IFERROR(Cashflow!H67,0)</f>
        <v>3.0466904338978202</v>
      </c>
      <c r="H61" s="1120">
        <f>IFERROR(Cashflow!I67,0)</f>
        <v>3.3189553617167831</v>
      </c>
      <c r="I61" s="1120">
        <f>IFERROR(Cashflow!J67,0)</f>
        <v>3.7480418669249009</v>
      </c>
      <c r="J61" s="1120">
        <f>IFERROR(Cashflow!K67,0)</f>
        <v>4.046953904892197</v>
      </c>
      <c r="K61" s="1120">
        <f>IFERROR(Cashflow!L67,0)</f>
        <v>4.1874723826887088</v>
      </c>
      <c r="L61" s="1120">
        <f>IFERROR(Cashflow!M67,0)</f>
        <v>4.4574720293004884</v>
      </c>
      <c r="M61" s="1120">
        <f>IFERROR(Cashflow!N67,0)</f>
        <v>4.8337591413140704</v>
      </c>
      <c r="N61" s="1120">
        <f>IFERROR(Cashflow!O67,0)</f>
        <v>5.2771194419729879</v>
      </c>
      <c r="O61" s="1120" t="str">
        <f>IFERROR(Cashflow!P67,0)</f>
        <v/>
      </c>
      <c r="P61" s="1120" t="str">
        <f>IFERROR(Cashflow!Q67,0)</f>
        <v/>
      </c>
      <c r="Q61" s="26"/>
      <c r="R61" s="26"/>
      <c r="S61" s="26"/>
      <c r="T61" s="26"/>
      <c r="U61" s="26"/>
      <c r="V61" s="26"/>
      <c r="W61" s="26"/>
      <c r="X61" s="26"/>
      <c r="Y61" s="26"/>
      <c r="Z61" s="26"/>
      <c r="AA61" s="26"/>
      <c r="AB61" s="26"/>
      <c r="AC61" s="26"/>
    </row>
    <row r="62" spans="1:29" ht="14.25" customHeight="1">
      <c r="A62" s="32"/>
      <c r="B62" s="32" t="s">
        <v>2159</v>
      </c>
      <c r="C62" s="1117">
        <f>'Balance Sheet'!F45</f>
        <v>0</v>
      </c>
      <c r="D62" s="1117">
        <f>'Balance Sheet'!G45</f>
        <v>0</v>
      </c>
      <c r="E62" s="1117">
        <f>'Balance Sheet'!H45</f>
        <v>7506838.4000000004</v>
      </c>
      <c r="F62" s="1117">
        <f>'Balance Sheet'!I45</f>
        <v>9839668.6858632565</v>
      </c>
      <c r="G62" s="1117">
        <f>'Balance Sheet'!J45</f>
        <v>11012106.983068733</v>
      </c>
      <c r="H62" s="1117">
        <f>'Balance Sheet'!K45</f>
        <v>12318957.987335462</v>
      </c>
      <c r="I62" s="1117">
        <f>'Balance Sheet'!L45</f>
        <v>13783489.267768661</v>
      </c>
      <c r="J62" s="1117">
        <f>'Balance Sheet'!M45</f>
        <v>15245161.452724159</v>
      </c>
      <c r="K62" s="1117">
        <f>'Balance Sheet'!N45</f>
        <v>16631702.322463522</v>
      </c>
      <c r="L62" s="1117">
        <f>'Balance Sheet'!O45</f>
        <v>18081283.997258518</v>
      </c>
      <c r="M62" s="1117">
        <f>'Balance Sheet'!P45</f>
        <v>19590737.217962582</v>
      </c>
      <c r="N62" s="1117">
        <f>'Balance Sheet'!Q45</f>
        <v>21149946.483990319</v>
      </c>
      <c r="O62" s="1117">
        <f>'Balance Sheet'!R45</f>
        <v>22730623.243921448</v>
      </c>
      <c r="P62" s="1117">
        <f>'Balance Sheet'!S45</f>
        <v>24617232.642317418</v>
      </c>
      <c r="Q62" s="26"/>
      <c r="R62" s="26"/>
      <c r="S62" s="26"/>
      <c r="T62" s="26"/>
      <c r="U62" s="26"/>
      <c r="V62" s="26"/>
      <c r="W62" s="26"/>
      <c r="X62" s="26"/>
      <c r="Y62" s="26"/>
      <c r="Z62" s="26"/>
      <c r="AA62" s="26"/>
      <c r="AB62" s="26"/>
      <c r="AC62" s="26"/>
    </row>
    <row r="63" spans="1:29" ht="14.25" customHeight="1">
      <c r="A63" s="32"/>
      <c r="B63" s="32" t="s">
        <v>504</v>
      </c>
      <c r="C63" s="1117">
        <f>'Balance Sheet'!F25</f>
        <v>0</v>
      </c>
      <c r="D63" s="1117">
        <f>'Balance Sheet'!G25</f>
        <v>0</v>
      </c>
      <c r="E63" s="1117">
        <f>'Balance Sheet'!H25</f>
        <v>21032753.399999999</v>
      </c>
      <c r="F63" s="1117">
        <f>'Balance Sheet'!I25</f>
        <v>23140060.994663939</v>
      </c>
      <c r="G63" s="1117">
        <f>'Balance Sheet'!J25</f>
        <v>22802382.198823094</v>
      </c>
      <c r="H63" s="1117">
        <f>'Balance Sheet'!K25</f>
        <v>22556604.419235684</v>
      </c>
      <c r="I63" s="1117">
        <f>'Balance Sheet'!L25</f>
        <v>22462549.36932756</v>
      </c>
      <c r="J63" s="1117">
        <f>'Balance Sheet'!M25</f>
        <v>22361936.838663965</v>
      </c>
      <c r="K63" s="1117">
        <f>'Balance Sheet'!N25</f>
        <v>22233299.107744537</v>
      </c>
      <c r="L63" s="1117">
        <f>'Balance Sheet'!O25</f>
        <v>22134800.252290793</v>
      </c>
      <c r="M63" s="1117">
        <f>'Balance Sheet'!P25</f>
        <v>22085982.152746443</v>
      </c>
      <c r="N63" s="1117">
        <f>'Balance Sheet'!Q25</f>
        <v>22087723.761250652</v>
      </c>
      <c r="O63" s="1117">
        <f>'Balance Sheet'!R25</f>
        <v>23703757.547798254</v>
      </c>
      <c r="P63" s="1117">
        <f>'Balance Sheet'!S25</f>
        <v>25567009.210011873</v>
      </c>
      <c r="Q63" s="26"/>
      <c r="R63" s="26"/>
      <c r="S63" s="26"/>
      <c r="T63" s="26"/>
      <c r="U63" s="26"/>
      <c r="V63" s="26"/>
      <c r="W63" s="26"/>
      <c r="X63" s="26"/>
      <c r="Y63" s="26"/>
      <c r="Z63" s="26"/>
      <c r="AA63" s="26"/>
      <c r="AB63" s="26"/>
      <c r="AC63" s="26"/>
    </row>
    <row r="64" spans="1:29" ht="14.25" customHeight="1">
      <c r="A64" s="32"/>
      <c r="B64" s="32"/>
      <c r="C64" s="32"/>
      <c r="D64" s="32"/>
      <c r="E64" s="32"/>
      <c r="F64" s="32"/>
      <c r="G64" s="32"/>
      <c r="H64" s="32"/>
      <c r="I64" s="32"/>
      <c r="J64" s="32"/>
      <c r="K64" s="32"/>
      <c r="L64" s="32"/>
      <c r="M64" s="32"/>
      <c r="N64" s="32"/>
      <c r="O64" s="32"/>
      <c r="P64" s="32"/>
      <c r="Q64" s="26"/>
      <c r="R64" s="26"/>
      <c r="S64" s="26"/>
      <c r="T64" s="26"/>
      <c r="U64" s="26"/>
      <c r="V64" s="26"/>
      <c r="W64" s="26"/>
      <c r="X64" s="26"/>
      <c r="Y64" s="26"/>
      <c r="Z64" s="26"/>
      <c r="AA64" s="26"/>
      <c r="AB64" s="26"/>
      <c r="AC64" s="26"/>
    </row>
    <row r="65" spans="1:29" ht="14.25" customHeight="1">
      <c r="A65" s="32"/>
      <c r="B65" s="1114" t="s">
        <v>2160</v>
      </c>
      <c r="C65" s="32"/>
      <c r="D65" s="32"/>
      <c r="E65" s="32"/>
      <c r="F65" s="32"/>
      <c r="G65" s="32"/>
      <c r="H65" s="32"/>
      <c r="I65" s="32"/>
      <c r="J65" s="32"/>
      <c r="K65" s="32"/>
      <c r="L65" s="32"/>
      <c r="M65" s="32"/>
      <c r="N65" s="32"/>
      <c r="O65" s="32"/>
      <c r="P65" s="32"/>
      <c r="Q65" s="26"/>
      <c r="R65" s="26"/>
      <c r="S65" s="26"/>
      <c r="T65" s="26"/>
      <c r="U65" s="26"/>
      <c r="V65" s="26"/>
      <c r="W65" s="26"/>
      <c r="X65" s="26"/>
      <c r="Y65" s="26"/>
      <c r="Z65" s="26"/>
      <c r="AA65" s="26"/>
      <c r="AB65" s="26"/>
      <c r="AC65" s="26"/>
    </row>
    <row r="66" spans="1:29" ht="14.25" customHeight="1">
      <c r="A66" s="32"/>
      <c r="B66" s="1115" t="s">
        <v>279</v>
      </c>
      <c r="C66" s="1116" t="str">
        <f t="shared" ref="C66:P66" si="4">C39</f>
        <v>FY25</v>
      </c>
      <c r="D66" s="1116" t="str">
        <f t="shared" si="4"/>
        <v>FY26</v>
      </c>
      <c r="E66" s="1116" t="str">
        <f t="shared" si="4"/>
        <v>FY27</v>
      </c>
      <c r="F66" s="1116" t="str">
        <f t="shared" si="4"/>
        <v>FY28</v>
      </c>
      <c r="G66" s="1116" t="str">
        <f t="shared" si="4"/>
        <v>FY29</v>
      </c>
      <c r="H66" s="1116" t="str">
        <f t="shared" si="4"/>
        <v>FY30</v>
      </c>
      <c r="I66" s="1116" t="str">
        <f t="shared" si="4"/>
        <v>FY31</v>
      </c>
      <c r="J66" s="1116" t="str">
        <f t="shared" si="4"/>
        <v>FY32</v>
      </c>
      <c r="K66" s="1116" t="str">
        <f t="shared" si="4"/>
        <v>FY33</v>
      </c>
      <c r="L66" s="1116" t="str">
        <f t="shared" si="4"/>
        <v>FY34</v>
      </c>
      <c r="M66" s="1116" t="str">
        <f t="shared" si="4"/>
        <v>FY35</v>
      </c>
      <c r="N66" s="1116" t="str">
        <f t="shared" si="4"/>
        <v>FY36</v>
      </c>
      <c r="O66" s="1116" t="str">
        <f t="shared" si="4"/>
        <v>FY37</v>
      </c>
      <c r="P66" s="1116" t="str">
        <f t="shared" si="4"/>
        <v>FY38</v>
      </c>
      <c r="Q66" s="26"/>
      <c r="R66" s="26"/>
      <c r="S66" s="26"/>
      <c r="T66" s="26"/>
      <c r="U66" s="26"/>
      <c r="V66" s="26"/>
      <c r="W66" s="26"/>
      <c r="X66" s="26"/>
      <c r="Y66" s="26"/>
      <c r="Z66" s="26"/>
      <c r="AA66" s="26"/>
      <c r="AB66" s="26"/>
      <c r="AC66" s="26"/>
    </row>
    <row r="67" spans="1:29" ht="14.25" customHeight="1">
      <c r="A67" s="32"/>
      <c r="B67" s="32" t="s">
        <v>2161</v>
      </c>
      <c r="C67" s="1121">
        <f>'P&amp;L'!G14</f>
        <v>0</v>
      </c>
      <c r="D67" s="1121">
        <f>'P&amp;L'!H14</f>
        <v>0</v>
      </c>
      <c r="E67" s="1121">
        <f>'P&amp;L'!I14</f>
        <v>0</v>
      </c>
      <c r="F67" s="1121">
        <f>'P&amp;L'!J14</f>
        <v>5143660.7649999997</v>
      </c>
      <c r="G67" s="1121">
        <f>'P&amp;L'!K14</f>
        <v>5410441.4719400005</v>
      </c>
      <c r="H67" s="1121">
        <f>'P&amp;L'!L14</f>
        <v>5688599.726607901</v>
      </c>
      <c r="I67" s="1121">
        <f>'P&amp;L'!M14</f>
        <v>6280018.9907890018</v>
      </c>
      <c r="J67" s="1121">
        <f>'P&amp;L'!N14</f>
        <v>6468419.5605126703</v>
      </c>
      <c r="K67" s="1121">
        <f>'P&amp;L'!O14</f>
        <v>6662472.1473280489</v>
      </c>
      <c r="L67" s="1121">
        <f>'P&amp;L'!P14</f>
        <v>6862346.3117478909</v>
      </c>
      <c r="M67" s="1121">
        <f>'P&amp;L'!Q14</f>
        <v>7068216.7011003289</v>
      </c>
      <c r="N67" s="1121">
        <f>'P&amp;L'!R14</f>
        <v>7280263.2021333389</v>
      </c>
      <c r="O67" s="1121">
        <f>'P&amp;L'!S14</f>
        <v>7498671.0981973391</v>
      </c>
      <c r="P67" s="1121">
        <f>'P&amp;L'!T14</f>
        <v>7723631.2311432613</v>
      </c>
      <c r="Q67" s="26"/>
      <c r="R67" s="26"/>
      <c r="S67" s="26"/>
      <c r="T67" s="26"/>
      <c r="U67" s="26"/>
      <c r="V67" s="26"/>
      <c r="W67" s="26"/>
      <c r="X67" s="26"/>
      <c r="Y67" s="26"/>
      <c r="Z67" s="26"/>
      <c r="AA67" s="26"/>
      <c r="AB67" s="26"/>
      <c r="AC67" s="26"/>
    </row>
    <row r="68" spans="1:29" ht="14.25" customHeight="1">
      <c r="A68" s="32"/>
      <c r="B68" s="32" t="s">
        <v>283</v>
      </c>
      <c r="C68" s="1121">
        <f>'P&amp;L'!G15</f>
        <v>0</v>
      </c>
      <c r="D68" s="1121">
        <f>'P&amp;L'!H15</f>
        <v>0</v>
      </c>
      <c r="E68" s="1121">
        <f>'P&amp;L'!I15</f>
        <v>0</v>
      </c>
      <c r="F68" s="1121">
        <f>'P&amp;L'!J15</f>
        <v>722399.25</v>
      </c>
      <c r="G68" s="1121">
        <f>'P&amp;L'!K15</f>
        <v>759867.15300000005</v>
      </c>
      <c r="H68" s="1121">
        <f>'P&amp;L'!L15</f>
        <v>798932.97085499985</v>
      </c>
      <c r="I68" s="1121">
        <f>'P&amp;L'!M15</f>
        <v>881994.59804999991</v>
      </c>
      <c r="J68" s="1121">
        <f>'P&amp;L'!N15</f>
        <v>908454.43599150004</v>
      </c>
      <c r="K68" s="1121">
        <f>'P&amp;L'!O15</f>
        <v>935708.06907124503</v>
      </c>
      <c r="L68" s="1121">
        <f>'P&amp;L'!P15</f>
        <v>963779.31114338245</v>
      </c>
      <c r="M68" s="1121">
        <f>'P&amp;L'!Q15</f>
        <v>992692.69047768391</v>
      </c>
      <c r="N68" s="1121">
        <f>'P&amp;L'!R15</f>
        <v>1022473.4711920144</v>
      </c>
      <c r="O68" s="1121">
        <f>'P&amp;L'!S15</f>
        <v>1053147.6753277748</v>
      </c>
      <c r="P68" s="1121">
        <f>'P&amp;L'!T15</f>
        <v>1084742.1055876082</v>
      </c>
      <c r="Q68" s="26"/>
      <c r="R68" s="26"/>
      <c r="S68" s="26"/>
      <c r="T68" s="26"/>
      <c r="U68" s="26"/>
      <c r="V68" s="26"/>
      <c r="W68" s="26"/>
      <c r="X68" s="26"/>
      <c r="Y68" s="26"/>
      <c r="Z68" s="26"/>
      <c r="AA68" s="26"/>
      <c r="AB68" s="26"/>
      <c r="AC68" s="26"/>
    </row>
    <row r="69" spans="1:29" ht="14.25" customHeight="1">
      <c r="A69" s="32"/>
      <c r="B69" s="32" t="s">
        <v>285</v>
      </c>
      <c r="C69" s="1121">
        <f>'P&amp;L'!G16</f>
        <v>0</v>
      </c>
      <c r="D69" s="1121">
        <f>'P&amp;L'!H16</f>
        <v>0</v>
      </c>
      <c r="E69" s="1121">
        <f>'P&amp;L'!I16</f>
        <v>0</v>
      </c>
      <c r="F69" s="1121">
        <f>'P&amp;L'!J16</f>
        <v>163355.4</v>
      </c>
      <c r="G69" s="1121">
        <f>'P&amp;L'!K16</f>
        <v>166823.28</v>
      </c>
      <c r="H69" s="1121">
        <f>'P&amp;L'!L16</f>
        <v>170291.16000000003</v>
      </c>
      <c r="I69" s="1121">
        <f>'P&amp;L'!M16</f>
        <v>182520</v>
      </c>
      <c r="J69" s="1121">
        <f>'P&amp;L'!N16</f>
        <v>182520</v>
      </c>
      <c r="K69" s="1121">
        <f>'P&amp;L'!O16</f>
        <v>182520</v>
      </c>
      <c r="L69" s="1121">
        <f>'P&amp;L'!P16</f>
        <v>182520</v>
      </c>
      <c r="M69" s="1121">
        <f>'P&amp;L'!Q16</f>
        <v>182520</v>
      </c>
      <c r="N69" s="1121">
        <f>'P&amp;L'!R16</f>
        <v>182520</v>
      </c>
      <c r="O69" s="1121">
        <f>'P&amp;L'!S16</f>
        <v>182520</v>
      </c>
      <c r="P69" s="1121">
        <f>'P&amp;L'!T16</f>
        <v>182520</v>
      </c>
      <c r="Q69" s="26"/>
      <c r="R69" s="26"/>
      <c r="S69" s="26"/>
      <c r="T69" s="26"/>
      <c r="U69" s="26"/>
      <c r="V69" s="26"/>
      <c r="W69" s="26"/>
      <c r="X69" s="26"/>
      <c r="Y69" s="26"/>
      <c r="Z69" s="26"/>
      <c r="AA69" s="26"/>
      <c r="AB69" s="26"/>
      <c r="AC69" s="26"/>
    </row>
    <row r="70" spans="1:29" ht="14.25" customHeight="1">
      <c r="A70" s="32"/>
      <c r="B70" s="32" t="s">
        <v>287</v>
      </c>
      <c r="C70" s="1121">
        <f>'P&amp;L'!G17</f>
        <v>0</v>
      </c>
      <c r="D70" s="1121">
        <f>'P&amp;L'!H17</f>
        <v>0</v>
      </c>
      <c r="E70" s="1121">
        <f>'P&amp;L'!I17</f>
        <v>0</v>
      </c>
      <c r="F70" s="1121">
        <f>'P&amp;L'!J17</f>
        <v>6033732</v>
      </c>
      <c r="G70" s="1121">
        <f>'P&amp;L'!K17</f>
        <v>6478610.1839999985</v>
      </c>
      <c r="H70" s="1121">
        <f>'P&amp;L'!L17</f>
        <v>6943848</v>
      </c>
      <c r="I70" s="1121">
        <f>'P&amp;L'!M17</f>
        <v>7065841.1999999993</v>
      </c>
      <c r="J70" s="1121">
        <f>'P&amp;L'!N17</f>
        <v>7277816.4360000016</v>
      </c>
      <c r="K70" s="1121">
        <f>'P&amp;L'!O17</f>
        <v>7496150.929080002</v>
      </c>
      <c r="L70" s="1121">
        <f>'P&amp;L'!P17</f>
        <v>7721035.4569524014</v>
      </c>
      <c r="M70" s="1121">
        <f>'P&amp;L'!Q17</f>
        <v>7952666.5206609741</v>
      </c>
      <c r="N70" s="1121">
        <f>'P&amp;L'!R17</f>
        <v>8191246.5162808029</v>
      </c>
      <c r="O70" s="1121">
        <f>'P&amp;L'!S17</f>
        <v>8436983.9117692299</v>
      </c>
      <c r="P70" s="1121">
        <f>'P&amp;L'!T17</f>
        <v>8690093.4291223064</v>
      </c>
      <c r="Q70" s="26"/>
      <c r="R70" s="26"/>
      <c r="S70" s="26"/>
      <c r="T70" s="26"/>
      <c r="U70" s="26"/>
      <c r="V70" s="26"/>
      <c r="W70" s="26"/>
      <c r="X70" s="26"/>
      <c r="Y70" s="26"/>
      <c r="Z70" s="26"/>
      <c r="AA70" s="26"/>
      <c r="AB70" s="26"/>
      <c r="AC70" s="26"/>
    </row>
    <row r="71" spans="1:29" ht="14.25" customHeight="1">
      <c r="A71" s="32"/>
      <c r="B71" s="32" t="s">
        <v>289</v>
      </c>
      <c r="C71" s="1121">
        <f>'P&amp;L'!G18</f>
        <v>0</v>
      </c>
      <c r="D71" s="1121">
        <f>'P&amp;L'!H18</f>
        <v>0</v>
      </c>
      <c r="E71" s="1121">
        <f>'P&amp;L'!I18</f>
        <v>0</v>
      </c>
      <c r="F71" s="1121">
        <f>'P&amp;L'!J18</f>
        <v>745356</v>
      </c>
      <c r="G71" s="1121">
        <f>'P&amp;L'!K18</f>
        <v>761179.2</v>
      </c>
      <c r="H71" s="1121">
        <f>'P&amp;L'!L18</f>
        <v>777002.4</v>
      </c>
      <c r="I71" s="1121">
        <f>'P&amp;L'!M18</f>
        <v>832800</v>
      </c>
      <c r="J71" s="1121">
        <f>'P&amp;L'!N18</f>
        <v>832800</v>
      </c>
      <c r="K71" s="1121">
        <f>'P&amp;L'!O18</f>
        <v>832800</v>
      </c>
      <c r="L71" s="1121">
        <f>'P&amp;L'!P18</f>
        <v>832800</v>
      </c>
      <c r="M71" s="1121">
        <f>'P&amp;L'!Q18</f>
        <v>832800</v>
      </c>
      <c r="N71" s="1121">
        <f>'P&amp;L'!R18</f>
        <v>832800</v>
      </c>
      <c r="O71" s="1121">
        <f>'P&amp;L'!S18</f>
        <v>832800</v>
      </c>
      <c r="P71" s="1121">
        <f>'P&amp;L'!T18</f>
        <v>832800</v>
      </c>
      <c r="Q71" s="26"/>
      <c r="R71" s="26"/>
      <c r="S71" s="26"/>
      <c r="T71" s="26"/>
      <c r="U71" s="26"/>
      <c r="V71" s="26"/>
      <c r="W71" s="26"/>
      <c r="X71" s="26"/>
      <c r="Y71" s="26"/>
      <c r="Z71" s="26"/>
      <c r="AA71" s="26"/>
      <c r="AB71" s="26"/>
      <c r="AC71" s="26"/>
    </row>
    <row r="72" spans="1:29" ht="14.25" customHeight="1">
      <c r="A72" s="32"/>
      <c r="B72" s="32" t="s">
        <v>404</v>
      </c>
      <c r="C72" s="1121">
        <f>'P&amp;L'!G19</f>
        <v>0</v>
      </c>
      <c r="D72" s="1121">
        <f>'P&amp;L'!H19</f>
        <v>0</v>
      </c>
      <c r="E72" s="1121">
        <f>'P&amp;L'!I19</f>
        <v>0</v>
      </c>
      <c r="F72" s="1121">
        <f>'P&amp;L'!J19</f>
        <v>1202880</v>
      </c>
      <c r="G72" s="1121">
        <f>'P&amp;L'!K19</f>
        <v>1228416</v>
      </c>
      <c r="H72" s="1121">
        <f>'P&amp;L'!L19</f>
        <v>1253952.0000000002</v>
      </c>
      <c r="I72" s="1121">
        <f>'P&amp;L'!M19</f>
        <v>1344000</v>
      </c>
      <c r="J72" s="1121">
        <f>'P&amp;L'!N19</f>
        <v>1344000</v>
      </c>
      <c r="K72" s="1121">
        <f>'P&amp;L'!O19</f>
        <v>1344000</v>
      </c>
      <c r="L72" s="1121">
        <f>'P&amp;L'!P19</f>
        <v>1344000</v>
      </c>
      <c r="M72" s="1121">
        <f>'P&amp;L'!Q19</f>
        <v>1344000</v>
      </c>
      <c r="N72" s="1121">
        <f>'P&amp;L'!R19</f>
        <v>1344000</v>
      </c>
      <c r="O72" s="1121">
        <f>'P&amp;L'!S19</f>
        <v>1344000</v>
      </c>
      <c r="P72" s="1121">
        <f>'P&amp;L'!T19</f>
        <v>1344000</v>
      </c>
      <c r="Q72" s="26"/>
      <c r="R72" s="26"/>
      <c r="S72" s="26"/>
      <c r="T72" s="26"/>
      <c r="U72" s="26"/>
      <c r="V72" s="26"/>
      <c r="W72" s="26"/>
      <c r="X72" s="26"/>
      <c r="Y72" s="26"/>
      <c r="Z72" s="26"/>
      <c r="AA72" s="26"/>
      <c r="AB72" s="26"/>
      <c r="AC72" s="26"/>
    </row>
    <row r="73" spans="1:29" ht="14.25" customHeight="1">
      <c r="A73" s="32"/>
      <c r="B73" s="32" t="s">
        <v>291</v>
      </c>
      <c r="C73" s="1121">
        <f>'P&amp;L'!G20</f>
        <v>0</v>
      </c>
      <c r="D73" s="1121">
        <f>'P&amp;L'!H20</f>
        <v>0</v>
      </c>
      <c r="E73" s="1121">
        <f>'P&amp;L'!I20</f>
        <v>0</v>
      </c>
      <c r="F73" s="1121">
        <f>'P&amp;L'!J20</f>
        <v>2335950</v>
      </c>
      <c r="G73" s="1121">
        <f>'P&amp;L'!K20</f>
        <v>2385540</v>
      </c>
      <c r="H73" s="1121">
        <f>'P&amp;L'!L20</f>
        <v>2435130</v>
      </c>
      <c r="I73" s="1121">
        <f>'P&amp;L'!M20</f>
        <v>2610000</v>
      </c>
      <c r="J73" s="1121">
        <f>'P&amp;L'!N20</f>
        <v>2610000</v>
      </c>
      <c r="K73" s="1121">
        <f>'P&amp;L'!O20</f>
        <v>2610000</v>
      </c>
      <c r="L73" s="1121">
        <f>'P&amp;L'!P20</f>
        <v>2610000</v>
      </c>
      <c r="M73" s="1121">
        <f>'P&amp;L'!Q20</f>
        <v>2610000</v>
      </c>
      <c r="N73" s="1121">
        <f>'P&amp;L'!R20</f>
        <v>2610000</v>
      </c>
      <c r="O73" s="1121">
        <f>'P&amp;L'!S20</f>
        <v>2610000</v>
      </c>
      <c r="P73" s="1121">
        <f>'P&amp;L'!T20</f>
        <v>2610000</v>
      </c>
      <c r="Q73" s="26"/>
      <c r="R73" s="26"/>
      <c r="S73" s="26"/>
      <c r="T73" s="26"/>
      <c r="U73" s="26"/>
      <c r="V73" s="26"/>
      <c r="W73" s="26"/>
      <c r="X73" s="26"/>
      <c r="Y73" s="26"/>
      <c r="Z73" s="26"/>
      <c r="AA73" s="26"/>
      <c r="AB73" s="26"/>
      <c r="AC73" s="26"/>
    </row>
    <row r="74" spans="1:29" ht="14.25" customHeight="1">
      <c r="A74" s="32"/>
      <c r="B74" s="32" t="s">
        <v>292</v>
      </c>
      <c r="C74" s="1121">
        <f>'P&amp;L'!G24</f>
        <v>0</v>
      </c>
      <c r="D74" s="1121">
        <f>'P&amp;L'!H24</f>
        <v>0</v>
      </c>
      <c r="E74" s="1121">
        <f>'P&amp;L'!I24</f>
        <v>0</v>
      </c>
      <c r="F74" s="1121">
        <f>'P&amp;L'!J24</f>
        <v>1850000</v>
      </c>
      <c r="G74" s="1121">
        <f>'P&amp;L'!K24</f>
        <v>1896250</v>
      </c>
      <c r="H74" s="1121">
        <f>'P&amp;L'!L24</f>
        <v>1943656.25</v>
      </c>
      <c r="I74" s="1121">
        <f>'P&amp;L'!M24</f>
        <v>1992247.6562499998</v>
      </c>
      <c r="J74" s="1121">
        <f>'P&amp;L'!N24</f>
        <v>2042053.8476562495</v>
      </c>
      <c r="K74" s="1121">
        <f>'P&amp;L'!O24</f>
        <v>2093105.1938476556</v>
      </c>
      <c r="L74" s="1121">
        <f>'P&amp;L'!P24</f>
        <v>2145432.8236938468</v>
      </c>
      <c r="M74" s="1121">
        <f>'P&amp;L'!Q24</f>
        <v>2199068.644286193</v>
      </c>
      <c r="N74" s="1121">
        <f>'P&amp;L'!R24</f>
        <v>2254045.3603933472</v>
      </c>
      <c r="O74" s="1121">
        <f>'P&amp;L'!S24</f>
        <v>2310396.4944031811</v>
      </c>
      <c r="P74" s="1121">
        <f>'P&amp;L'!T24</f>
        <v>2368156.4067632607</v>
      </c>
      <c r="Q74" s="26"/>
      <c r="R74" s="26"/>
      <c r="S74" s="26"/>
      <c r="T74" s="26"/>
      <c r="U74" s="26"/>
      <c r="V74" s="26"/>
      <c r="W74" s="26"/>
      <c r="X74" s="26"/>
      <c r="Y74" s="26"/>
      <c r="Z74" s="26"/>
      <c r="AA74" s="26"/>
      <c r="AB74" s="26"/>
      <c r="AC74" s="26"/>
    </row>
    <row r="75" spans="1:29" ht="14.25" customHeight="1">
      <c r="A75" s="32"/>
      <c r="B75" s="32" t="s">
        <v>294</v>
      </c>
      <c r="C75" s="1121">
        <f>'P&amp;L'!G25</f>
        <v>0</v>
      </c>
      <c r="D75" s="1121">
        <f>'P&amp;L'!H25</f>
        <v>0</v>
      </c>
      <c r="E75" s="1121">
        <f>'P&amp;L'!I25</f>
        <v>0</v>
      </c>
      <c r="F75" s="1121">
        <f>'P&amp;L'!J25</f>
        <v>575000</v>
      </c>
      <c r="G75" s="1121">
        <f>'P&amp;L'!K25</f>
        <v>589374.99999999988</v>
      </c>
      <c r="H75" s="1121">
        <f>'P&amp;L'!L25</f>
        <v>604109.37499999977</v>
      </c>
      <c r="I75" s="1121">
        <f>'P&amp;L'!M25</f>
        <v>619212.10937499977</v>
      </c>
      <c r="J75" s="1121">
        <f>'P&amp;L'!N25</f>
        <v>634692.41210937465</v>
      </c>
      <c r="K75" s="1121">
        <f>'P&amp;L'!O25</f>
        <v>650559.72241210891</v>
      </c>
      <c r="L75" s="1121">
        <f>'P&amp;L'!P25</f>
        <v>666823.7154724116</v>
      </c>
      <c r="M75" s="1121">
        <f>'P&amp;L'!Q25</f>
        <v>683494.30835922179</v>
      </c>
      <c r="N75" s="1121">
        <f>'P&amp;L'!R25</f>
        <v>700581.66606820235</v>
      </c>
      <c r="O75" s="1121">
        <f>'P&amp;L'!S25</f>
        <v>718096.2077199074</v>
      </c>
      <c r="P75" s="1121">
        <f>'P&amp;L'!T25</f>
        <v>736048.61291290494</v>
      </c>
      <c r="Q75" s="26"/>
      <c r="R75" s="26"/>
      <c r="S75" s="26"/>
      <c r="T75" s="26"/>
      <c r="U75" s="26"/>
      <c r="V75" s="26"/>
      <c r="W75" s="26"/>
      <c r="X75" s="26"/>
      <c r="Y75" s="26"/>
      <c r="Z75" s="26"/>
      <c r="AA75" s="26"/>
      <c r="AB75" s="26"/>
      <c r="AC75" s="26"/>
    </row>
    <row r="76" spans="1:29" ht="14.25" customHeight="1">
      <c r="A76" s="32"/>
      <c r="B76" s="216" t="s">
        <v>156</v>
      </c>
      <c r="C76" s="1122">
        <f t="shared" ref="C76:P76" si="5">SUM(C67:C75)</f>
        <v>0</v>
      </c>
      <c r="D76" s="1122">
        <f t="shared" si="5"/>
        <v>0</v>
      </c>
      <c r="E76" s="1122">
        <f t="shared" si="5"/>
        <v>0</v>
      </c>
      <c r="F76" s="1122">
        <f t="shared" si="5"/>
        <v>18772333.414999999</v>
      </c>
      <c r="G76" s="1122">
        <f t="shared" si="5"/>
        <v>19676502.288939998</v>
      </c>
      <c r="H76" s="1122">
        <f t="shared" si="5"/>
        <v>20615521.882462904</v>
      </c>
      <c r="I76" s="1122">
        <f t="shared" si="5"/>
        <v>21808634.554464001</v>
      </c>
      <c r="J76" s="1122">
        <f t="shared" si="5"/>
        <v>22300756.692269798</v>
      </c>
      <c r="K76" s="1122">
        <f t="shared" si="5"/>
        <v>22807316.061739061</v>
      </c>
      <c r="L76" s="1122">
        <f t="shared" si="5"/>
        <v>23328737.619009931</v>
      </c>
      <c r="M76" s="1122">
        <f t="shared" si="5"/>
        <v>23865458.864884399</v>
      </c>
      <c r="N76" s="1122">
        <f t="shared" si="5"/>
        <v>24417930.216067709</v>
      </c>
      <c r="O76" s="1122">
        <f t="shared" si="5"/>
        <v>24986615.387417432</v>
      </c>
      <c r="P76" s="1122">
        <f t="shared" si="5"/>
        <v>25571991.785529338</v>
      </c>
      <c r="Q76" s="26"/>
      <c r="R76" s="26"/>
      <c r="S76" s="26"/>
      <c r="T76" s="26"/>
      <c r="U76" s="26"/>
      <c r="V76" s="26"/>
      <c r="W76" s="26"/>
      <c r="X76" s="26"/>
      <c r="Y76" s="26"/>
      <c r="Z76" s="26"/>
      <c r="AA76" s="26"/>
      <c r="AB76" s="26"/>
      <c r="AC76" s="26"/>
    </row>
    <row r="77" spans="1:29" ht="14.25" customHeight="1">
      <c r="A77" s="32"/>
      <c r="B77" s="32"/>
      <c r="C77" s="32"/>
      <c r="D77" s="32"/>
      <c r="E77" s="32"/>
      <c r="F77" s="32"/>
      <c r="G77" s="32"/>
      <c r="H77" s="32"/>
      <c r="I77" s="32"/>
      <c r="J77" s="32"/>
      <c r="K77" s="32"/>
      <c r="L77" s="32"/>
      <c r="M77" s="32"/>
      <c r="N77" s="32"/>
      <c r="O77" s="32"/>
      <c r="P77" s="32"/>
      <c r="Q77" s="26"/>
      <c r="R77" s="26"/>
      <c r="S77" s="26"/>
      <c r="T77" s="26"/>
      <c r="U77" s="26"/>
      <c r="V77" s="26"/>
      <c r="W77" s="26"/>
      <c r="X77" s="26"/>
      <c r="Y77" s="26"/>
      <c r="Z77" s="26"/>
      <c r="AA77" s="26"/>
      <c r="AB77" s="26"/>
      <c r="AC77" s="26"/>
    </row>
    <row r="78" spans="1:29" ht="14.25" customHeight="1">
      <c r="A78" s="32"/>
      <c r="B78" s="1114" t="s">
        <v>2162</v>
      </c>
      <c r="C78" s="32"/>
      <c r="D78" s="32"/>
      <c r="E78" s="32"/>
      <c r="F78" s="32"/>
      <c r="G78" s="32"/>
      <c r="H78" s="32"/>
      <c r="I78" s="32"/>
      <c r="J78" s="32"/>
      <c r="K78" s="32"/>
      <c r="L78" s="32"/>
      <c r="M78" s="32"/>
      <c r="N78" s="32"/>
      <c r="O78" s="32"/>
      <c r="P78" s="32"/>
      <c r="Q78" s="26"/>
      <c r="R78" s="26"/>
      <c r="S78" s="26"/>
      <c r="T78" s="26"/>
      <c r="U78" s="26"/>
      <c r="V78" s="26"/>
      <c r="W78" s="26"/>
      <c r="X78" s="26"/>
      <c r="Y78" s="26"/>
      <c r="Z78" s="26"/>
      <c r="AA78" s="26"/>
      <c r="AB78" s="26"/>
      <c r="AC78" s="26"/>
    </row>
    <row r="79" spans="1:29" ht="14.25" customHeight="1">
      <c r="A79" s="32"/>
      <c r="B79" s="1123" t="s">
        <v>2163</v>
      </c>
      <c r="C79" s="1123" t="s">
        <v>96</v>
      </c>
      <c r="D79" s="1123" t="s">
        <v>97</v>
      </c>
      <c r="E79" s="1124" t="s">
        <v>98</v>
      </c>
      <c r="F79" s="1123" t="s">
        <v>99</v>
      </c>
      <c r="G79" s="1123" t="s">
        <v>100</v>
      </c>
      <c r="H79" s="32"/>
      <c r="I79" s="32"/>
      <c r="J79" s="32"/>
      <c r="K79" s="32"/>
      <c r="L79" s="32"/>
      <c r="M79" s="32"/>
      <c r="N79" s="32"/>
      <c r="O79" s="32"/>
      <c r="P79" s="32"/>
      <c r="Q79" s="26"/>
      <c r="R79" s="26"/>
      <c r="S79" s="26"/>
      <c r="T79" s="26"/>
      <c r="U79" s="26"/>
      <c r="V79" s="26"/>
      <c r="W79" s="26"/>
      <c r="X79" s="26"/>
      <c r="Y79" s="26"/>
      <c r="Z79" s="26"/>
      <c r="AA79" s="26"/>
      <c r="AB79" s="26"/>
      <c r="AC79" s="26"/>
    </row>
    <row r="80" spans="1:29" ht="14.25" customHeight="1">
      <c r="A80" s="32"/>
      <c r="B80" s="1125">
        <v>0.08</v>
      </c>
      <c r="C80" s="1126">
        <f>Valuations!D139</f>
        <v>63401161.517881677</v>
      </c>
      <c r="D80" s="1126">
        <f>Valuations!E139</f>
        <v>70048481.062748015</v>
      </c>
      <c r="E80" s="1126">
        <f>Valuations!F139</f>
        <v>76695800.607614338</v>
      </c>
      <c r="F80" s="1126">
        <f>Valuations!G139</f>
        <v>83343120.152480677</v>
      </c>
      <c r="G80" s="1126">
        <f>Valuations!H139</f>
        <v>89990439.697347015</v>
      </c>
      <c r="H80" s="32"/>
      <c r="I80" s="32"/>
      <c r="J80" s="32"/>
      <c r="K80" s="32"/>
      <c r="L80" s="32"/>
      <c r="M80" s="32"/>
      <c r="N80" s="32"/>
      <c r="O80" s="32"/>
      <c r="P80" s="32"/>
      <c r="Q80" s="26"/>
      <c r="R80" s="26"/>
      <c r="S80" s="26"/>
      <c r="T80" s="26"/>
      <c r="U80" s="26"/>
      <c r="V80" s="26"/>
      <c r="W80" s="26"/>
      <c r="X80" s="26"/>
      <c r="Y80" s="26"/>
      <c r="Z80" s="26"/>
      <c r="AA80" s="26"/>
      <c r="AB80" s="26"/>
      <c r="AC80" s="26"/>
    </row>
    <row r="81" spans="1:29" ht="14.25" customHeight="1">
      <c r="A81" s="32"/>
      <c r="B81" s="1125">
        <v>0.09</v>
      </c>
      <c r="C81" s="1126">
        <f>Valuations!D140</f>
        <v>60028461.423050061</v>
      </c>
      <c r="D81" s="1126">
        <f>Valuations!E140</f>
        <v>66113664.285444453</v>
      </c>
      <c r="E81" s="1126">
        <f>Valuations!F140</f>
        <v>72198867.147838846</v>
      </c>
      <c r="F81" s="1126">
        <f>Valuations!G140</f>
        <v>78284070.010233238</v>
      </c>
      <c r="G81" s="1126">
        <f>Valuations!H140</f>
        <v>84369272.872627646</v>
      </c>
      <c r="H81" s="32"/>
      <c r="I81" s="32"/>
      <c r="J81" s="32"/>
      <c r="K81" s="32"/>
      <c r="L81" s="32"/>
      <c r="M81" s="32"/>
      <c r="N81" s="32"/>
      <c r="O81" s="32"/>
      <c r="P81" s="32"/>
      <c r="Q81" s="26"/>
      <c r="R81" s="26"/>
      <c r="S81" s="26"/>
      <c r="T81" s="26"/>
      <c r="U81" s="26"/>
      <c r="V81" s="26"/>
      <c r="W81" s="26"/>
      <c r="X81" s="26"/>
      <c r="Y81" s="26"/>
      <c r="Z81" s="26"/>
      <c r="AA81" s="26"/>
      <c r="AB81" s="26"/>
      <c r="AC81" s="26"/>
    </row>
    <row r="82" spans="1:29" ht="14.25" customHeight="1">
      <c r="A82" s="32"/>
      <c r="B82" s="1127">
        <v>0.1</v>
      </c>
      <c r="C82" s="1126">
        <f>Valuations!D141</f>
        <v>56967946.93867366</v>
      </c>
      <c r="D82" s="1126">
        <f>Valuations!E141</f>
        <v>62543064.053671986</v>
      </c>
      <c r="E82" s="1128">
        <f>Valuations!F141</f>
        <v>68118181.168670326</v>
      </c>
      <c r="F82" s="1126">
        <f>Valuations!G141</f>
        <v>73693298.283668652</v>
      </c>
      <c r="G82" s="1126">
        <f>Valuations!H141</f>
        <v>79268415.398666993</v>
      </c>
      <c r="H82" s="32"/>
      <c r="I82" s="32"/>
      <c r="J82" s="32"/>
      <c r="K82" s="32"/>
      <c r="L82" s="32"/>
      <c r="M82" s="32"/>
      <c r="N82" s="32"/>
      <c r="O82" s="32"/>
      <c r="P82" s="32"/>
      <c r="Q82" s="26"/>
      <c r="R82" s="26"/>
      <c r="S82" s="26"/>
      <c r="T82" s="26"/>
      <c r="U82" s="26"/>
      <c r="V82" s="26"/>
      <c r="W82" s="26"/>
      <c r="X82" s="26"/>
      <c r="Y82" s="26"/>
      <c r="Z82" s="26"/>
      <c r="AA82" s="26"/>
      <c r="AB82" s="26"/>
      <c r="AC82" s="26"/>
    </row>
    <row r="83" spans="1:29" ht="14.25" customHeight="1">
      <c r="A83" s="32"/>
      <c r="B83" s="1125">
        <v>0.11</v>
      </c>
      <c r="C83" s="1126">
        <f>Valuations!D142</f>
        <v>54188267.562956184</v>
      </c>
      <c r="D83" s="1126">
        <f>Valuations!E142</f>
        <v>59300104.7820016</v>
      </c>
      <c r="E83" s="1126">
        <f>Valuations!F142</f>
        <v>64411942.001047015</v>
      </c>
      <c r="F83" s="1126">
        <f>Valuations!G142</f>
        <v>69523779.220092431</v>
      </c>
      <c r="G83" s="1126">
        <f>Valuations!H142</f>
        <v>74635616.439137861</v>
      </c>
      <c r="H83" s="32"/>
      <c r="I83" s="32"/>
      <c r="J83" s="32"/>
      <c r="K83" s="32"/>
      <c r="L83" s="32"/>
      <c r="M83" s="32"/>
      <c r="N83" s="32"/>
      <c r="O83" s="32"/>
      <c r="P83" s="32"/>
      <c r="Q83" s="26"/>
      <c r="R83" s="26"/>
      <c r="S83" s="26"/>
      <c r="T83" s="26"/>
      <c r="U83" s="26"/>
      <c r="V83" s="26"/>
      <c r="W83" s="26"/>
      <c r="X83" s="26"/>
      <c r="Y83" s="26"/>
      <c r="Z83" s="26"/>
      <c r="AA83" s="26"/>
      <c r="AB83" s="26"/>
      <c r="AC83" s="26"/>
    </row>
    <row r="84" spans="1:29" ht="14.25" customHeight="1">
      <c r="A84" s="32"/>
      <c r="B84" s="1125">
        <v>0.12</v>
      </c>
      <c r="C84" s="1126">
        <f>Valuations!D143</f>
        <v>51661463.253472403</v>
      </c>
      <c r="D84" s="1126">
        <f>Valuations!E143</f>
        <v>56352166.420937181</v>
      </c>
      <c r="E84" s="1126">
        <f>Valuations!F143</f>
        <v>61042869.588401973</v>
      </c>
      <c r="F84" s="1126">
        <f>Valuations!G143</f>
        <v>65733572.755866751</v>
      </c>
      <c r="G84" s="1126">
        <f>Valuations!H143</f>
        <v>70424275.923331544</v>
      </c>
      <c r="H84" s="32"/>
      <c r="I84" s="32"/>
      <c r="J84" s="32"/>
      <c r="K84" s="32"/>
      <c r="L84" s="32"/>
      <c r="M84" s="32"/>
      <c r="N84" s="32"/>
      <c r="O84" s="32"/>
      <c r="P84" s="32"/>
      <c r="Q84" s="26"/>
      <c r="R84" s="26"/>
      <c r="S84" s="26"/>
      <c r="T84" s="26"/>
      <c r="U84" s="26"/>
      <c r="V84" s="26"/>
      <c r="W84" s="26"/>
      <c r="X84" s="26"/>
      <c r="Y84" s="26"/>
      <c r="Z84" s="26"/>
      <c r="AA84" s="26"/>
      <c r="AB84" s="26"/>
      <c r="AC84" s="26"/>
    </row>
    <row r="85" spans="1:29" ht="14.25" customHeight="1">
      <c r="A85" s="32"/>
      <c r="B85" s="32"/>
      <c r="C85" s="32"/>
      <c r="D85" s="32"/>
      <c r="E85" s="32"/>
      <c r="F85" s="32"/>
      <c r="G85" s="32"/>
      <c r="H85" s="32"/>
      <c r="I85" s="32"/>
      <c r="J85" s="32"/>
      <c r="K85" s="32"/>
      <c r="L85" s="32"/>
      <c r="M85" s="32"/>
      <c r="N85" s="32"/>
      <c r="O85" s="32"/>
      <c r="P85" s="32"/>
      <c r="Q85" s="26"/>
      <c r="R85" s="26"/>
      <c r="S85" s="26"/>
      <c r="T85" s="26"/>
      <c r="U85" s="26"/>
      <c r="V85" s="26"/>
      <c r="W85" s="26"/>
      <c r="X85" s="26"/>
      <c r="Y85" s="26"/>
      <c r="Z85" s="26"/>
      <c r="AA85" s="26"/>
      <c r="AB85" s="26"/>
      <c r="AC85" s="26"/>
    </row>
    <row r="86" spans="1:29" ht="14.25" customHeight="1">
      <c r="A86" s="32"/>
      <c r="B86" s="1114" t="s">
        <v>2164</v>
      </c>
      <c r="C86" s="32"/>
      <c r="D86" s="32"/>
      <c r="E86" s="32"/>
      <c r="F86" s="32"/>
      <c r="G86" s="32"/>
      <c r="H86" s="32"/>
      <c r="I86" s="32"/>
      <c r="J86" s="32"/>
      <c r="K86" s="32"/>
      <c r="L86" s="32"/>
      <c r="M86" s="32"/>
      <c r="N86" s="32"/>
      <c r="O86" s="32"/>
      <c r="P86" s="32"/>
      <c r="Q86" s="26"/>
      <c r="R86" s="26"/>
      <c r="S86" s="26"/>
      <c r="T86" s="26"/>
      <c r="U86" s="26"/>
      <c r="V86" s="26"/>
      <c r="W86" s="26"/>
      <c r="X86" s="26"/>
      <c r="Y86" s="26"/>
      <c r="Z86" s="26"/>
      <c r="AA86" s="26"/>
      <c r="AB86" s="26"/>
      <c r="AC86" s="26"/>
    </row>
    <row r="87" spans="1:29" ht="14.25" customHeight="1">
      <c r="A87" s="32"/>
      <c r="B87" s="1123" t="s">
        <v>2165</v>
      </c>
      <c r="C87" s="1123" t="s">
        <v>96</v>
      </c>
      <c r="D87" s="1123" t="s">
        <v>97</v>
      </c>
      <c r="E87" s="1124" t="s">
        <v>98</v>
      </c>
      <c r="F87" s="1123" t="s">
        <v>99</v>
      </c>
      <c r="G87" s="1123" t="s">
        <v>100</v>
      </c>
      <c r="H87" s="32"/>
      <c r="I87" s="32"/>
      <c r="J87" s="32"/>
      <c r="K87" s="32"/>
      <c r="L87" s="32"/>
      <c r="M87" s="32"/>
      <c r="N87" s="32"/>
      <c r="O87" s="32"/>
      <c r="P87" s="32"/>
      <c r="Q87" s="26"/>
      <c r="R87" s="26"/>
      <c r="S87" s="26"/>
      <c r="T87" s="26"/>
      <c r="U87" s="26"/>
      <c r="V87" s="26"/>
      <c r="W87" s="26"/>
      <c r="X87" s="26"/>
      <c r="Y87" s="26"/>
      <c r="Z87" s="26"/>
      <c r="AA87" s="26"/>
      <c r="AB87" s="26"/>
      <c r="AC87" s="26"/>
    </row>
    <row r="88" spans="1:29" ht="14.25" customHeight="1">
      <c r="A88" s="32"/>
      <c r="B88" s="1129">
        <v>-0.2</v>
      </c>
      <c r="C88" s="1130">
        <f>Valuations!D150</f>
        <v>0.23284823592363457</v>
      </c>
      <c r="D88" s="1130">
        <f>Valuations!E150</f>
        <v>0.25283306591157939</v>
      </c>
      <c r="E88" s="1130">
        <f>Valuations!F150</f>
        <v>0.27040638312803944</v>
      </c>
      <c r="F88" s="1130">
        <f>Valuations!G150</f>
        <v>0.28611164076450946</v>
      </c>
      <c r="G88" s="1130">
        <f>Valuations!H150</f>
        <v>0.30032491948679896</v>
      </c>
      <c r="H88" s="32"/>
      <c r="I88" s="32"/>
      <c r="J88" s="32"/>
      <c r="K88" s="32"/>
      <c r="L88" s="32"/>
      <c r="M88" s="32"/>
      <c r="N88" s="32"/>
      <c r="O88" s="32"/>
      <c r="P88" s="32"/>
      <c r="Q88" s="26"/>
      <c r="R88" s="26"/>
      <c r="S88" s="26"/>
      <c r="T88" s="26"/>
      <c r="U88" s="26"/>
      <c r="V88" s="26"/>
      <c r="W88" s="26"/>
      <c r="X88" s="26"/>
      <c r="Y88" s="26"/>
      <c r="Z88" s="26"/>
      <c r="AA88" s="26"/>
      <c r="AB88" s="26"/>
      <c r="AC88" s="26"/>
    </row>
    <row r="89" spans="1:29" ht="14.25" customHeight="1">
      <c r="A89" s="32"/>
      <c r="B89" s="1129">
        <v>-0.1</v>
      </c>
      <c r="C89" s="1130">
        <f>Valuations!D151</f>
        <v>0.24808918514192646</v>
      </c>
      <c r="D89" s="1130">
        <f>Valuations!E151</f>
        <v>0.26832107536819372</v>
      </c>
      <c r="E89" s="1130">
        <f>Valuations!F151</f>
        <v>0.28611164076450946</v>
      </c>
      <c r="F89" s="1130">
        <f>Valuations!G151</f>
        <v>0.30201105290201458</v>
      </c>
      <c r="G89" s="1130">
        <f>Valuations!H151</f>
        <v>0.31640004170192748</v>
      </c>
      <c r="H89" s="32"/>
      <c r="I89" s="32"/>
      <c r="J89" s="32"/>
      <c r="K89" s="32"/>
      <c r="L89" s="32"/>
      <c r="M89" s="32"/>
      <c r="N89" s="32"/>
      <c r="O89" s="32"/>
      <c r="P89" s="32"/>
      <c r="Q89" s="26"/>
      <c r="R89" s="26"/>
      <c r="S89" s="26"/>
      <c r="T89" s="26"/>
      <c r="U89" s="26"/>
      <c r="V89" s="26"/>
      <c r="W89" s="26"/>
      <c r="X89" s="26"/>
      <c r="Y89" s="26"/>
      <c r="Z89" s="26"/>
      <c r="AA89" s="26"/>
      <c r="AB89" s="26"/>
      <c r="AC89" s="26"/>
    </row>
    <row r="90" spans="1:29" ht="14.25" customHeight="1">
      <c r="A90" s="32"/>
      <c r="B90" s="1131" t="s">
        <v>102</v>
      </c>
      <c r="C90" s="1130">
        <f>Valuations!D152</f>
        <v>0.26188226413789328</v>
      </c>
      <c r="D90" s="1130">
        <f>Valuations!E152</f>
        <v>0.28233774420329283</v>
      </c>
      <c r="E90" s="1132">
        <f>Valuations!F152</f>
        <v>0.30032491948679896</v>
      </c>
      <c r="F90" s="1130">
        <f>Valuations!G152</f>
        <v>0.31640004170192748</v>
      </c>
      <c r="G90" s="1130">
        <f>Valuations!H152</f>
        <v>0.33094804835212854</v>
      </c>
      <c r="H90" s="32"/>
      <c r="I90" s="32"/>
      <c r="J90" s="32"/>
      <c r="K90" s="32"/>
      <c r="L90" s="32"/>
      <c r="M90" s="32"/>
      <c r="N90" s="32"/>
      <c r="O90" s="32"/>
      <c r="P90" s="32"/>
      <c r="Q90" s="26"/>
      <c r="R90" s="26"/>
      <c r="S90" s="26"/>
      <c r="T90" s="26"/>
      <c r="U90" s="26"/>
      <c r="V90" s="26"/>
      <c r="W90" s="26"/>
      <c r="X90" s="26"/>
      <c r="Y90" s="26"/>
      <c r="Z90" s="26"/>
      <c r="AA90" s="26"/>
      <c r="AB90" s="26"/>
      <c r="AC90" s="26"/>
    </row>
    <row r="91" spans="1:29" ht="14.25" customHeight="1">
      <c r="A91" s="32"/>
      <c r="B91" s="1129">
        <v>0.1</v>
      </c>
      <c r="C91" s="1130">
        <f>Valuations!D153</f>
        <v>0.27449089080165257</v>
      </c>
      <c r="D91" s="1130">
        <f>Valuations!E153</f>
        <v>0.29515076038793087</v>
      </c>
      <c r="E91" s="1130">
        <f>Valuations!F153</f>
        <v>0.31331766208833867</v>
      </c>
      <c r="F91" s="1130">
        <f>Valuations!G153</f>
        <v>0.3295534056390268</v>
      </c>
      <c r="G91" s="1130">
        <f>Valuations!H153</f>
        <v>0.34424677480819432</v>
      </c>
      <c r="H91" s="32"/>
      <c r="I91" s="32"/>
      <c r="J91" s="32"/>
      <c r="K91" s="32"/>
      <c r="L91" s="32"/>
      <c r="M91" s="32"/>
      <c r="N91" s="32"/>
      <c r="O91" s="32"/>
      <c r="P91" s="32"/>
      <c r="Q91" s="26"/>
      <c r="R91" s="26"/>
      <c r="S91" s="26"/>
      <c r="T91" s="26"/>
      <c r="U91" s="26"/>
      <c r="V91" s="26"/>
      <c r="W91" s="26"/>
      <c r="X91" s="26"/>
      <c r="Y91" s="26"/>
      <c r="Z91" s="26"/>
      <c r="AA91" s="26"/>
      <c r="AB91" s="26"/>
      <c r="AC91" s="26"/>
    </row>
    <row r="92" spans="1:29" ht="14.25" customHeight="1">
      <c r="A92" s="32"/>
      <c r="B92" s="1129">
        <v>0.2</v>
      </c>
      <c r="C92" s="1130">
        <f>Valuations!D154</f>
        <v>0.28611164076450946</v>
      </c>
      <c r="D92" s="1130">
        <f>Valuations!E154</f>
        <v>0.30695988610181124</v>
      </c>
      <c r="E92" s="1130">
        <f>Valuations!F154</f>
        <v>0.32529243278547004</v>
      </c>
      <c r="F92" s="1130">
        <f>Valuations!G154</f>
        <v>0.3416762131072526</v>
      </c>
      <c r="G92" s="1130">
        <f>Valuations!H154</f>
        <v>0.35650355574807002</v>
      </c>
      <c r="H92" s="32"/>
      <c r="I92" s="32"/>
      <c r="J92" s="32"/>
      <c r="K92" s="32"/>
      <c r="L92" s="32"/>
      <c r="M92" s="32"/>
      <c r="N92" s="32"/>
      <c r="O92" s="32"/>
      <c r="P92" s="32"/>
      <c r="Q92" s="26"/>
      <c r="R92" s="26"/>
      <c r="S92" s="26"/>
      <c r="T92" s="26"/>
      <c r="U92" s="26"/>
      <c r="V92" s="26"/>
      <c r="W92" s="26"/>
      <c r="X92" s="26"/>
      <c r="Y92" s="26"/>
      <c r="Z92" s="26"/>
      <c r="AA92" s="26"/>
      <c r="AB92" s="26"/>
      <c r="AC92" s="26"/>
    </row>
    <row r="93" spans="1:29" ht="14.25" customHeight="1">
      <c r="A93" s="32"/>
      <c r="B93" s="32"/>
      <c r="C93" s="32"/>
      <c r="D93" s="32"/>
      <c r="E93" s="32"/>
      <c r="F93" s="32"/>
      <c r="G93" s="32"/>
      <c r="H93" s="32"/>
      <c r="I93" s="32"/>
      <c r="J93" s="32"/>
      <c r="K93" s="32"/>
      <c r="L93" s="32"/>
      <c r="M93" s="32"/>
      <c r="N93" s="32"/>
      <c r="O93" s="32"/>
      <c r="P93" s="32"/>
      <c r="Q93" s="26"/>
      <c r="R93" s="26"/>
      <c r="S93" s="26"/>
      <c r="T93" s="26"/>
      <c r="U93" s="26"/>
      <c r="V93" s="26"/>
      <c r="W93" s="26"/>
      <c r="X93" s="26"/>
      <c r="Y93" s="26"/>
      <c r="Z93" s="26"/>
      <c r="AA93" s="26"/>
      <c r="AB93" s="26"/>
      <c r="AC93" s="26"/>
    </row>
    <row r="94" spans="1:29" ht="14.25" customHeight="1">
      <c r="A94" s="32"/>
      <c r="B94" s="1435" t="s">
        <v>2166</v>
      </c>
      <c r="C94" s="1342"/>
      <c r="D94" s="1342"/>
      <c r="E94" s="1342"/>
      <c r="F94" s="1342"/>
      <c r="G94" s="1342"/>
      <c r="H94" s="1342"/>
      <c r="I94" s="1342"/>
      <c r="J94" s="1342"/>
      <c r="K94" s="1342"/>
      <c r="L94" s="1342"/>
      <c r="M94" s="1342"/>
      <c r="N94" s="1303"/>
      <c r="O94" s="32"/>
      <c r="P94" s="32"/>
      <c r="Q94" s="26"/>
      <c r="R94" s="26"/>
      <c r="S94" s="26"/>
      <c r="T94" s="26"/>
      <c r="U94" s="26"/>
      <c r="V94" s="26"/>
      <c r="W94" s="26"/>
      <c r="X94" s="26"/>
      <c r="Y94" s="26"/>
      <c r="Z94" s="26"/>
      <c r="AA94" s="26"/>
      <c r="AB94" s="26"/>
      <c r="AC94" s="26"/>
    </row>
    <row r="95" spans="1:29" ht="14.25" customHeight="1">
      <c r="A95" s="32"/>
      <c r="B95" s="1133" t="s">
        <v>2167</v>
      </c>
      <c r="C95" s="32"/>
      <c r="D95" s="32"/>
      <c r="E95" s="32"/>
      <c r="F95" s="32"/>
      <c r="G95" s="32"/>
      <c r="H95" s="32"/>
      <c r="I95" s="32"/>
      <c r="J95" s="32"/>
      <c r="K95" s="32"/>
      <c r="L95" s="32"/>
      <c r="M95" s="32"/>
      <c r="N95" s="32"/>
      <c r="O95" s="32"/>
      <c r="P95" s="32"/>
      <c r="Q95" s="26"/>
      <c r="R95" s="26"/>
      <c r="S95" s="26"/>
      <c r="T95" s="26"/>
      <c r="U95" s="26"/>
      <c r="V95" s="26"/>
      <c r="W95" s="26"/>
      <c r="X95" s="26"/>
      <c r="Y95" s="26"/>
      <c r="Z95" s="26"/>
      <c r="AA95" s="26"/>
      <c r="AB95" s="26"/>
      <c r="AC95" s="26"/>
    </row>
    <row r="96" spans="1:29" ht="14.25" customHeight="1">
      <c r="A96" s="32"/>
      <c r="B96" s="32"/>
      <c r="C96" s="32"/>
      <c r="D96" s="32"/>
      <c r="E96" s="32"/>
      <c r="F96" s="32"/>
      <c r="G96" s="32"/>
      <c r="H96" s="32"/>
      <c r="I96" s="32"/>
      <c r="J96" s="32"/>
      <c r="K96" s="32"/>
      <c r="L96" s="32"/>
      <c r="M96" s="32"/>
      <c r="N96" s="32"/>
      <c r="O96" s="32"/>
      <c r="P96" s="32"/>
      <c r="Q96" s="26"/>
      <c r="R96" s="26"/>
      <c r="S96" s="26"/>
      <c r="T96" s="26"/>
      <c r="U96" s="26"/>
      <c r="V96" s="26"/>
      <c r="W96" s="26"/>
      <c r="X96" s="26"/>
      <c r="Y96" s="26"/>
      <c r="Z96" s="26"/>
      <c r="AA96" s="26"/>
      <c r="AB96" s="26"/>
      <c r="AC96" s="26"/>
    </row>
    <row r="97" spans="1:29" ht="14.25" customHeight="1">
      <c r="A97" s="32"/>
      <c r="B97" s="1115" t="s">
        <v>2168</v>
      </c>
      <c r="C97" s="32"/>
      <c r="D97" s="32"/>
      <c r="E97" s="32"/>
      <c r="F97" s="32"/>
      <c r="G97" s="32"/>
      <c r="H97" s="32"/>
      <c r="I97" s="32"/>
      <c r="J97" s="32"/>
      <c r="K97" s="32"/>
      <c r="L97" s="32"/>
      <c r="M97" s="32"/>
      <c r="N97" s="32"/>
      <c r="O97" s="32"/>
      <c r="P97" s="32"/>
      <c r="Q97" s="26"/>
      <c r="R97" s="26"/>
      <c r="S97" s="26"/>
      <c r="T97" s="26"/>
      <c r="U97" s="26"/>
      <c r="V97" s="26"/>
      <c r="W97" s="26"/>
      <c r="X97" s="26"/>
      <c r="Y97" s="26"/>
      <c r="Z97" s="26"/>
      <c r="AA97" s="26"/>
      <c r="AB97" s="26"/>
      <c r="AC97" s="26"/>
    </row>
    <row r="98" spans="1:29" ht="14.25" customHeight="1">
      <c r="A98" s="32"/>
      <c r="B98" s="32" t="s">
        <v>211</v>
      </c>
      <c r="C98" s="32" t="s">
        <v>150</v>
      </c>
      <c r="D98" s="32" t="s">
        <v>151</v>
      </c>
      <c r="E98" s="32" t="s">
        <v>152</v>
      </c>
      <c r="F98" s="32" t="s">
        <v>153</v>
      </c>
      <c r="G98" s="32" t="s">
        <v>154</v>
      </c>
      <c r="H98" s="32" t="s">
        <v>155</v>
      </c>
      <c r="I98" s="32" t="s">
        <v>201</v>
      </c>
      <c r="J98" s="32" t="s">
        <v>202</v>
      </c>
      <c r="K98" s="32" t="s">
        <v>203</v>
      </c>
      <c r="L98" s="32" t="s">
        <v>204</v>
      </c>
      <c r="M98" s="32" t="s">
        <v>205</v>
      </c>
      <c r="N98" s="32" t="s">
        <v>206</v>
      </c>
      <c r="O98" s="32" t="s">
        <v>207</v>
      </c>
      <c r="P98" s="32" t="s">
        <v>208</v>
      </c>
      <c r="Q98" s="26"/>
      <c r="R98" s="26"/>
      <c r="S98" s="26"/>
      <c r="T98" s="26"/>
      <c r="U98" s="26"/>
      <c r="V98" s="26"/>
      <c r="W98" s="26"/>
      <c r="X98" s="26"/>
      <c r="Y98" s="26"/>
      <c r="Z98" s="26"/>
      <c r="AA98" s="26"/>
      <c r="AB98" s="26"/>
      <c r="AC98" s="26"/>
    </row>
    <row r="99" spans="1:29" ht="14.25" customHeight="1">
      <c r="A99" s="32"/>
      <c r="B99" s="32" t="s">
        <v>193</v>
      </c>
      <c r="C99" s="1134">
        <f t="shared" ref="C99:P99" si="6">C40</f>
        <v>0</v>
      </c>
      <c r="D99" s="1134">
        <f t="shared" si="6"/>
        <v>0</v>
      </c>
      <c r="E99" s="1134">
        <f t="shared" si="6"/>
        <v>0</v>
      </c>
      <c r="F99" s="1134">
        <f t="shared" si="6"/>
        <v>18772333.414999999</v>
      </c>
      <c r="G99" s="1134">
        <f t="shared" si="6"/>
        <v>19676502.288939998</v>
      </c>
      <c r="H99" s="1134">
        <f t="shared" si="6"/>
        <v>20615521.882462904</v>
      </c>
      <c r="I99" s="1134">
        <f t="shared" si="6"/>
        <v>21808634.554464001</v>
      </c>
      <c r="J99" s="1134">
        <f t="shared" si="6"/>
        <v>22300756.692269798</v>
      </c>
      <c r="K99" s="1134">
        <f t="shared" si="6"/>
        <v>22807316.061739061</v>
      </c>
      <c r="L99" s="1134">
        <f t="shared" si="6"/>
        <v>23328737.619009934</v>
      </c>
      <c r="M99" s="1134">
        <f t="shared" si="6"/>
        <v>23865458.864884399</v>
      </c>
      <c r="N99" s="1134">
        <f t="shared" si="6"/>
        <v>24417930.216067705</v>
      </c>
      <c r="O99" s="1134">
        <f t="shared" si="6"/>
        <v>24986615.387417436</v>
      </c>
      <c r="P99" s="1134">
        <f t="shared" si="6"/>
        <v>25571991.785529338</v>
      </c>
      <c r="Q99" s="26"/>
      <c r="R99" s="26"/>
      <c r="S99" s="26"/>
      <c r="T99" s="26"/>
      <c r="U99" s="26"/>
      <c r="V99" s="26"/>
      <c r="W99" s="26"/>
      <c r="X99" s="26"/>
      <c r="Y99" s="26"/>
      <c r="Z99" s="26"/>
      <c r="AA99" s="26"/>
      <c r="AB99" s="26"/>
      <c r="AC99" s="26"/>
    </row>
    <row r="100" spans="1:29" ht="14.25" customHeight="1">
      <c r="A100" s="32"/>
      <c r="B100" s="32" t="s">
        <v>194</v>
      </c>
      <c r="C100" s="1134">
        <f t="shared" ref="C100:P100" si="7">C44</f>
        <v>0</v>
      </c>
      <c r="D100" s="1134">
        <f t="shared" si="7"/>
        <v>0</v>
      </c>
      <c r="E100" s="1134">
        <f t="shared" si="7"/>
        <v>0</v>
      </c>
      <c r="F100" s="1134">
        <f t="shared" si="7"/>
        <v>10240353.181728749</v>
      </c>
      <c r="G100" s="1134">
        <f t="shared" si="7"/>
        <v>10221610.60891173</v>
      </c>
      <c r="H100" s="1134">
        <f t="shared" si="7"/>
        <v>10726643.498227151</v>
      </c>
      <c r="I100" s="1134">
        <f t="shared" si="7"/>
        <v>11603173.631330766</v>
      </c>
      <c r="J100" s="1134">
        <f t="shared" si="7"/>
        <v>11825139.08000222</v>
      </c>
      <c r="K100" s="1134">
        <f t="shared" si="7"/>
        <v>11488417.36165344</v>
      </c>
      <c r="L100" s="1134">
        <f t="shared" si="7"/>
        <v>11566864.641117346</v>
      </c>
      <c r="M100" s="1134">
        <f t="shared" si="7"/>
        <v>11784599.554180816</v>
      </c>
      <c r="N100" s="1134">
        <f t="shared" si="7"/>
        <v>12008306.676067084</v>
      </c>
      <c r="O100" s="1134">
        <f t="shared" si="7"/>
        <v>12146814.69024964</v>
      </c>
      <c r="P100" s="1134">
        <f t="shared" si="7"/>
        <v>13901342.685076447</v>
      </c>
      <c r="Q100" s="26"/>
      <c r="R100" s="26"/>
      <c r="S100" s="26"/>
      <c r="T100" s="26"/>
      <c r="U100" s="26"/>
      <c r="V100" s="26"/>
      <c r="W100" s="26"/>
      <c r="X100" s="26"/>
      <c r="Y100" s="26"/>
      <c r="Z100" s="26"/>
      <c r="AA100" s="26"/>
      <c r="AB100" s="26"/>
      <c r="AC100" s="26"/>
    </row>
    <row r="101" spans="1:29" ht="14.25" customHeight="1">
      <c r="A101" s="26"/>
      <c r="B101" s="32" t="s">
        <v>271</v>
      </c>
      <c r="C101" s="1135">
        <f t="shared" ref="C101:P101" si="8">C46</f>
        <v>0</v>
      </c>
      <c r="D101" s="1135">
        <f t="shared" si="8"/>
        <v>0</v>
      </c>
      <c r="E101" s="1135">
        <f t="shared" si="8"/>
        <v>-1463544.69</v>
      </c>
      <c r="F101" s="1135">
        <f t="shared" si="8"/>
        <v>6180518.5192101244</v>
      </c>
      <c r="G101" s="1135">
        <f t="shared" si="8"/>
        <v>5797988.5137382112</v>
      </c>
      <c r="H101" s="1135">
        <f t="shared" si="8"/>
        <v>6240242.941259006</v>
      </c>
      <c r="I101" s="1135">
        <f t="shared" si="8"/>
        <v>6942545.4394315369</v>
      </c>
      <c r="J101" s="1135">
        <f t="shared" si="8"/>
        <v>7186652.6585015543</v>
      </c>
      <c r="K101" s="1135">
        <f t="shared" si="8"/>
        <v>7039678.860657407</v>
      </c>
      <c r="L101" s="1135">
        <f t="shared" si="8"/>
        <v>7183323.3612821419</v>
      </c>
      <c r="M101" s="1135">
        <f t="shared" si="8"/>
        <v>7424469.2054265719</v>
      </c>
      <c r="N101" s="1135">
        <f t="shared" si="8"/>
        <v>7669795.5957469596</v>
      </c>
      <c r="O101" s="1135">
        <f t="shared" si="8"/>
        <v>7811116.9081747485</v>
      </c>
      <c r="P101" s="1135">
        <f t="shared" si="8"/>
        <v>9039286.5045535136</v>
      </c>
      <c r="Q101" s="26"/>
      <c r="R101" s="26"/>
      <c r="S101" s="26"/>
      <c r="T101" s="26"/>
      <c r="U101" s="26"/>
      <c r="V101" s="26"/>
      <c r="W101" s="26"/>
      <c r="X101" s="26"/>
      <c r="Y101" s="26"/>
      <c r="Z101" s="26"/>
      <c r="AA101" s="26"/>
      <c r="AB101" s="26"/>
      <c r="AC101" s="26"/>
    </row>
    <row r="102" spans="1:29" ht="14.2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row>
    <row r="103" spans="1:29" ht="14.25" customHeight="1">
      <c r="A103" s="26"/>
      <c r="B103" s="1115" t="s">
        <v>2169</v>
      </c>
      <c r="C103" s="26"/>
      <c r="D103" s="26"/>
      <c r="E103" s="1115" t="s">
        <v>2170</v>
      </c>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row>
    <row r="104" spans="1:29" ht="14.25" customHeight="1">
      <c r="A104" s="26"/>
      <c r="B104" s="26" t="s">
        <v>2161</v>
      </c>
      <c r="C104" s="1136">
        <f t="shared" ref="C104:C112" si="9">H67</f>
        <v>5688599.726607901</v>
      </c>
      <c r="D104" s="26"/>
      <c r="E104" s="26" t="s">
        <v>2161</v>
      </c>
      <c r="F104" s="1136">
        <f t="shared" ref="F104:F112" si="10">P67</f>
        <v>7723631.2311432613</v>
      </c>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row>
    <row r="105" spans="1:29" ht="14.25" customHeight="1">
      <c r="A105" s="26"/>
      <c r="B105" s="26" t="s">
        <v>283</v>
      </c>
      <c r="C105" s="1136">
        <f t="shared" si="9"/>
        <v>798932.97085499985</v>
      </c>
      <c r="D105" s="26"/>
      <c r="E105" s="26" t="s">
        <v>283</v>
      </c>
      <c r="F105" s="1136">
        <f t="shared" si="10"/>
        <v>1084742.1055876082</v>
      </c>
      <c r="G105" s="26"/>
      <c r="H105" s="26"/>
      <c r="I105" s="26"/>
      <c r="J105" s="26"/>
      <c r="K105" s="26"/>
      <c r="L105" s="26"/>
      <c r="M105" s="26"/>
      <c r="N105" s="26"/>
      <c r="O105" s="26"/>
      <c r="P105" s="26"/>
      <c r="Q105" s="26"/>
      <c r="R105" s="26"/>
      <c r="S105" s="26"/>
      <c r="T105" s="26"/>
      <c r="U105" s="26"/>
      <c r="V105" s="26"/>
      <c r="W105" s="26"/>
      <c r="X105" s="26"/>
      <c r="Y105" s="26"/>
      <c r="Z105" s="26"/>
      <c r="AA105" s="26"/>
      <c r="AB105" s="26"/>
      <c r="AC105" s="26"/>
    </row>
    <row r="106" spans="1:29" ht="14.25" customHeight="1">
      <c r="A106" s="26"/>
      <c r="B106" s="26" t="s">
        <v>285</v>
      </c>
      <c r="C106" s="1136">
        <f t="shared" si="9"/>
        <v>170291.16000000003</v>
      </c>
      <c r="D106" s="26"/>
      <c r="E106" s="26" t="s">
        <v>285</v>
      </c>
      <c r="F106" s="1136">
        <f t="shared" si="10"/>
        <v>182520</v>
      </c>
      <c r="G106" s="26"/>
      <c r="H106" s="26"/>
      <c r="I106" s="26"/>
      <c r="J106" s="26"/>
      <c r="K106" s="26"/>
      <c r="L106" s="26"/>
      <c r="M106" s="26"/>
      <c r="N106" s="26"/>
      <c r="O106" s="26"/>
      <c r="P106" s="26"/>
      <c r="Q106" s="26"/>
      <c r="R106" s="26"/>
      <c r="S106" s="26"/>
      <c r="T106" s="26"/>
      <c r="U106" s="26"/>
      <c r="V106" s="26"/>
      <c r="W106" s="26"/>
      <c r="X106" s="26"/>
      <c r="Y106" s="26"/>
      <c r="Z106" s="26"/>
      <c r="AA106" s="26"/>
      <c r="AB106" s="26"/>
      <c r="AC106" s="26"/>
    </row>
    <row r="107" spans="1:29" ht="14.25" customHeight="1">
      <c r="A107" s="26"/>
      <c r="B107" s="26" t="s">
        <v>287</v>
      </c>
      <c r="C107" s="1136">
        <f t="shared" si="9"/>
        <v>6943848</v>
      </c>
      <c r="D107" s="26"/>
      <c r="E107" s="26" t="s">
        <v>287</v>
      </c>
      <c r="F107" s="1136">
        <f t="shared" si="10"/>
        <v>8690093.4291223064</v>
      </c>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row>
    <row r="108" spans="1:29" ht="14.25" customHeight="1">
      <c r="A108" s="26"/>
      <c r="B108" s="26" t="s">
        <v>289</v>
      </c>
      <c r="C108" s="1136">
        <f t="shared" si="9"/>
        <v>777002.4</v>
      </c>
      <c r="D108" s="26"/>
      <c r="E108" s="26" t="s">
        <v>289</v>
      </c>
      <c r="F108" s="1136">
        <f t="shared" si="10"/>
        <v>832800</v>
      </c>
      <c r="G108" s="26"/>
      <c r="H108" s="26"/>
      <c r="I108" s="26"/>
      <c r="J108" s="26"/>
      <c r="K108" s="26"/>
      <c r="L108" s="26"/>
      <c r="M108" s="26"/>
      <c r="N108" s="26"/>
      <c r="O108" s="26"/>
      <c r="P108" s="26"/>
      <c r="Q108" s="26"/>
      <c r="R108" s="26"/>
      <c r="S108" s="26"/>
      <c r="T108" s="26"/>
      <c r="U108" s="26"/>
      <c r="V108" s="26"/>
      <c r="W108" s="26"/>
      <c r="X108" s="26"/>
      <c r="Y108" s="26"/>
      <c r="Z108" s="26"/>
      <c r="AA108" s="26"/>
      <c r="AB108" s="26"/>
      <c r="AC108" s="26"/>
    </row>
    <row r="109" spans="1:29" ht="14.25" customHeight="1">
      <c r="A109" s="26"/>
      <c r="B109" s="26" t="s">
        <v>404</v>
      </c>
      <c r="C109" s="1136">
        <f t="shared" si="9"/>
        <v>1253952.0000000002</v>
      </c>
      <c r="D109" s="26"/>
      <c r="E109" s="26" t="s">
        <v>404</v>
      </c>
      <c r="F109" s="1136">
        <f t="shared" si="10"/>
        <v>1344000</v>
      </c>
      <c r="G109" s="26"/>
      <c r="H109" s="26"/>
      <c r="I109" s="26"/>
      <c r="J109" s="26"/>
      <c r="K109" s="26"/>
      <c r="L109" s="26"/>
      <c r="M109" s="26"/>
      <c r="N109" s="26"/>
      <c r="O109" s="26"/>
      <c r="P109" s="26"/>
      <c r="Q109" s="26"/>
      <c r="R109" s="26"/>
      <c r="S109" s="26"/>
      <c r="T109" s="26"/>
      <c r="U109" s="26"/>
      <c r="V109" s="26"/>
      <c r="W109" s="26"/>
      <c r="X109" s="26"/>
      <c r="Y109" s="26"/>
      <c r="Z109" s="26"/>
      <c r="AA109" s="26"/>
      <c r="AB109" s="26"/>
      <c r="AC109" s="26"/>
    </row>
    <row r="110" spans="1:29" ht="14.25" customHeight="1">
      <c r="A110" s="26"/>
      <c r="B110" s="26" t="s">
        <v>291</v>
      </c>
      <c r="C110" s="1136">
        <f t="shared" si="9"/>
        <v>2435130</v>
      </c>
      <c r="D110" s="26"/>
      <c r="E110" s="26" t="s">
        <v>291</v>
      </c>
      <c r="F110" s="1136">
        <f t="shared" si="10"/>
        <v>2610000</v>
      </c>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row>
    <row r="111" spans="1:29" ht="14.25" customHeight="1">
      <c r="A111" s="26"/>
      <c r="B111" s="26" t="s">
        <v>292</v>
      </c>
      <c r="C111" s="1136">
        <f t="shared" si="9"/>
        <v>1943656.25</v>
      </c>
      <c r="D111" s="26"/>
      <c r="E111" s="26" t="s">
        <v>292</v>
      </c>
      <c r="F111" s="1136">
        <f t="shared" si="10"/>
        <v>2368156.4067632607</v>
      </c>
      <c r="G111" s="26"/>
      <c r="H111" s="26"/>
      <c r="I111" s="26"/>
      <c r="J111" s="26"/>
      <c r="K111" s="26"/>
      <c r="L111" s="26"/>
      <c r="M111" s="26"/>
      <c r="N111" s="26"/>
      <c r="O111" s="26"/>
      <c r="P111" s="26"/>
      <c r="Q111" s="26"/>
      <c r="R111" s="26"/>
      <c r="S111" s="26"/>
      <c r="T111" s="26"/>
      <c r="U111" s="26"/>
      <c r="V111" s="26"/>
      <c r="W111" s="26"/>
      <c r="X111" s="26"/>
      <c r="Y111" s="26"/>
      <c r="Z111" s="26"/>
      <c r="AA111" s="26"/>
      <c r="AB111" s="26"/>
      <c r="AC111" s="26"/>
    </row>
    <row r="112" spans="1:29" ht="14.25" customHeight="1">
      <c r="A112" s="26"/>
      <c r="B112" s="26" t="s">
        <v>294</v>
      </c>
      <c r="C112" s="1136">
        <f t="shared" si="9"/>
        <v>604109.37499999977</v>
      </c>
      <c r="D112" s="26"/>
      <c r="E112" s="26" t="s">
        <v>294</v>
      </c>
      <c r="F112" s="1136">
        <f t="shared" si="10"/>
        <v>736048.61291290494</v>
      </c>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row>
    <row r="113" spans="1:29" ht="14.2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row>
    <row r="114" spans="1:29" ht="14.25" customHeight="1">
      <c r="A114" s="26"/>
      <c r="B114" s="1137" t="s">
        <v>2171</v>
      </c>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row>
    <row r="115" spans="1:29" ht="14.25" customHeight="1">
      <c r="A115" s="26"/>
      <c r="B115" s="26" t="s">
        <v>211</v>
      </c>
      <c r="C115" s="26" t="str">
        <f t="shared" ref="C115:P115" si="11">C98</f>
        <v>FY25</v>
      </c>
      <c r="D115" s="26" t="str">
        <f t="shared" si="11"/>
        <v>FY26</v>
      </c>
      <c r="E115" s="26" t="str">
        <f t="shared" si="11"/>
        <v>FY27</v>
      </c>
      <c r="F115" s="26" t="str">
        <f t="shared" si="11"/>
        <v>FY28</v>
      </c>
      <c r="G115" s="26" t="str">
        <f t="shared" si="11"/>
        <v>FY29</v>
      </c>
      <c r="H115" s="26" t="str">
        <f t="shared" si="11"/>
        <v>FY30</v>
      </c>
      <c r="I115" s="26" t="str">
        <f t="shared" si="11"/>
        <v>FY31</v>
      </c>
      <c r="J115" s="26" t="str">
        <f t="shared" si="11"/>
        <v>FY32</v>
      </c>
      <c r="K115" s="26" t="str">
        <f t="shared" si="11"/>
        <v>FY33</v>
      </c>
      <c r="L115" s="26" t="str">
        <f t="shared" si="11"/>
        <v>FY34</v>
      </c>
      <c r="M115" s="26" t="str">
        <f t="shared" si="11"/>
        <v>FY35</v>
      </c>
      <c r="N115" s="26" t="str">
        <f t="shared" si="11"/>
        <v>FY36</v>
      </c>
      <c r="O115" s="26" t="str">
        <f t="shared" si="11"/>
        <v>FY37</v>
      </c>
      <c r="P115" s="26" t="str">
        <f t="shared" si="11"/>
        <v>FY38</v>
      </c>
      <c r="Q115" s="26"/>
      <c r="R115" s="26"/>
      <c r="S115" s="26"/>
      <c r="T115" s="26"/>
      <c r="U115" s="26"/>
      <c r="V115" s="26"/>
      <c r="W115" s="26"/>
      <c r="X115" s="26"/>
      <c r="Y115" s="26"/>
      <c r="Z115" s="26"/>
      <c r="AA115" s="26"/>
      <c r="AB115" s="26"/>
      <c r="AC115" s="26"/>
    </row>
    <row r="116" spans="1:29" ht="14.25" customHeight="1">
      <c r="A116" s="26"/>
      <c r="B116" s="26" t="s">
        <v>2155</v>
      </c>
      <c r="C116" s="1135">
        <f t="shared" ref="C116:P116" si="12">C57</f>
        <v>0</v>
      </c>
      <c r="D116" s="1135">
        <f t="shared" si="12"/>
        <v>0</v>
      </c>
      <c r="E116" s="1135">
        <f t="shared" si="12"/>
        <v>12675915</v>
      </c>
      <c r="F116" s="1135">
        <f t="shared" si="12"/>
        <v>12675915</v>
      </c>
      <c r="G116" s="1135">
        <f t="shared" si="12"/>
        <v>11091425.625</v>
      </c>
      <c r="H116" s="1135">
        <f t="shared" si="12"/>
        <v>9506936.25</v>
      </c>
      <c r="I116" s="1135">
        <f t="shared" si="12"/>
        <v>7922446.875</v>
      </c>
      <c r="J116" s="1135">
        <f t="shared" si="12"/>
        <v>6337957.5</v>
      </c>
      <c r="K116" s="1135">
        <f t="shared" si="12"/>
        <v>4753468.125</v>
      </c>
      <c r="L116" s="1135">
        <f t="shared" si="12"/>
        <v>3168978.75</v>
      </c>
      <c r="M116" s="1135">
        <f t="shared" si="12"/>
        <v>1584489.375</v>
      </c>
      <c r="N116" s="1135">
        <f t="shared" si="12"/>
        <v>0</v>
      </c>
      <c r="O116" s="1135">
        <f t="shared" si="12"/>
        <v>0</v>
      </c>
      <c r="P116" s="1135">
        <f t="shared" si="12"/>
        <v>0</v>
      </c>
      <c r="Q116" s="26"/>
      <c r="R116" s="26"/>
      <c r="S116" s="26"/>
      <c r="T116" s="26"/>
      <c r="U116" s="26"/>
      <c r="V116" s="26"/>
      <c r="W116" s="26"/>
      <c r="X116" s="26"/>
      <c r="Y116" s="26"/>
      <c r="Z116" s="26"/>
      <c r="AA116" s="26"/>
      <c r="AB116" s="26"/>
      <c r="AC116" s="26"/>
    </row>
    <row r="117" spans="1:29" ht="14.25" customHeight="1">
      <c r="A117" s="26"/>
      <c r="B117" s="26" t="s">
        <v>2172</v>
      </c>
      <c r="C117" s="1135">
        <f t="shared" ref="C117:P117" si="13">C56</f>
        <v>0</v>
      </c>
      <c r="D117" s="1135">
        <f t="shared" si="13"/>
        <v>0</v>
      </c>
      <c r="E117" s="1135">
        <f t="shared" si="13"/>
        <v>452228.39999999851</v>
      </c>
      <c r="F117" s="1135">
        <f t="shared" si="13"/>
        <v>1724785.5788420234</v>
      </c>
      <c r="G117" s="1135">
        <f t="shared" si="13"/>
        <v>2184190.0265896698</v>
      </c>
      <c r="H117" s="1135">
        <f t="shared" si="13"/>
        <v>2729888.0048414734</v>
      </c>
      <c r="I117" s="1135">
        <f t="shared" si="13"/>
        <v>3408438.9677277789</v>
      </c>
      <c r="J117" s="1135">
        <f t="shared" si="13"/>
        <v>4135811.3744280911</v>
      </c>
      <c r="K117" s="1135">
        <f t="shared" si="13"/>
        <v>4833789.0215595746</v>
      </c>
      <c r="L117" s="1135">
        <f t="shared" si="13"/>
        <v>5560495.5688160015</v>
      </c>
      <c r="M117" s="1135">
        <f t="shared" si="13"/>
        <v>6335431.2849013144</v>
      </c>
      <c r="N117" s="1135">
        <f t="shared" si="13"/>
        <v>7159432.279050706</v>
      </c>
      <c r="O117" s="1135">
        <f t="shared" si="13"/>
        <v>9596186.910685651</v>
      </c>
      <c r="P117" s="1135">
        <f t="shared" si="13"/>
        <v>12278575.461596355</v>
      </c>
      <c r="Q117" s="26"/>
      <c r="R117" s="26"/>
      <c r="S117" s="26"/>
      <c r="T117" s="26"/>
      <c r="U117" s="26"/>
      <c r="V117" s="26"/>
      <c r="W117" s="26"/>
      <c r="X117" s="26"/>
      <c r="Y117" s="26"/>
      <c r="Z117" s="26"/>
      <c r="AA117" s="26"/>
      <c r="AB117" s="26"/>
      <c r="AC117" s="26"/>
    </row>
    <row r="118" spans="1:29" ht="14.2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c r="AB118" s="26"/>
      <c r="AC118" s="26"/>
    </row>
    <row r="119" spans="1:29" ht="14.25" customHeight="1">
      <c r="A119" s="26"/>
      <c r="B119" s="1137" t="s">
        <v>2173</v>
      </c>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c r="AC119" s="26"/>
    </row>
    <row r="120" spans="1:29" ht="14.25" customHeight="1">
      <c r="A120" s="26"/>
      <c r="B120" s="26" t="s">
        <v>211</v>
      </c>
      <c r="C120" s="26" t="str">
        <f t="shared" ref="C120:P120" si="14">C115</f>
        <v>FY25</v>
      </c>
      <c r="D120" s="26" t="str">
        <f t="shared" si="14"/>
        <v>FY26</v>
      </c>
      <c r="E120" s="26" t="str">
        <f t="shared" si="14"/>
        <v>FY27</v>
      </c>
      <c r="F120" s="26" t="str">
        <f t="shared" si="14"/>
        <v>FY28</v>
      </c>
      <c r="G120" s="26" t="str">
        <f t="shared" si="14"/>
        <v>FY29</v>
      </c>
      <c r="H120" s="26" t="str">
        <f t="shared" si="14"/>
        <v>FY30</v>
      </c>
      <c r="I120" s="26" t="str">
        <f t="shared" si="14"/>
        <v>FY31</v>
      </c>
      <c r="J120" s="26" t="str">
        <f t="shared" si="14"/>
        <v>FY32</v>
      </c>
      <c r="K120" s="26" t="str">
        <f t="shared" si="14"/>
        <v>FY33</v>
      </c>
      <c r="L120" s="26" t="str">
        <f t="shared" si="14"/>
        <v>FY34</v>
      </c>
      <c r="M120" s="26" t="str">
        <f t="shared" si="14"/>
        <v>FY35</v>
      </c>
      <c r="N120" s="26" t="str">
        <f t="shared" si="14"/>
        <v>FY36</v>
      </c>
      <c r="O120" s="26" t="str">
        <f t="shared" si="14"/>
        <v>FY37</v>
      </c>
      <c r="P120" s="26" t="str">
        <f t="shared" si="14"/>
        <v>FY38</v>
      </c>
      <c r="Q120" s="26"/>
      <c r="R120" s="26"/>
      <c r="S120" s="26"/>
      <c r="T120" s="26"/>
      <c r="U120" s="26"/>
      <c r="V120" s="26"/>
      <c r="W120" s="26"/>
      <c r="X120" s="26"/>
      <c r="Y120" s="26"/>
      <c r="Z120" s="26"/>
      <c r="AA120" s="26"/>
      <c r="AB120" s="26"/>
      <c r="AC120" s="26"/>
    </row>
    <row r="121" spans="1:29" ht="14.25" customHeight="1">
      <c r="A121" s="26"/>
      <c r="B121" s="26" t="s">
        <v>197</v>
      </c>
      <c r="C121" s="1138" t="str">
        <f t="shared" ref="C121:P121" si="15">IFERROR(C61,0)</f>
        <v/>
      </c>
      <c r="D121" s="1138" t="str">
        <f t="shared" si="15"/>
        <v/>
      </c>
      <c r="E121" s="1138" t="str">
        <f t="shared" si="15"/>
        <v/>
      </c>
      <c r="F121" s="1138">
        <f t="shared" si="15"/>
        <v>3.7480650108967009</v>
      </c>
      <c r="G121" s="1138">
        <f t="shared" si="15"/>
        <v>3.0466904338978202</v>
      </c>
      <c r="H121" s="1138">
        <f t="shared" si="15"/>
        <v>3.3189553617167831</v>
      </c>
      <c r="I121" s="1138">
        <f t="shared" si="15"/>
        <v>3.7480418669249009</v>
      </c>
      <c r="J121" s="1138">
        <f t="shared" si="15"/>
        <v>4.046953904892197</v>
      </c>
      <c r="K121" s="1138">
        <f t="shared" si="15"/>
        <v>4.1874723826887088</v>
      </c>
      <c r="L121" s="1138">
        <f t="shared" si="15"/>
        <v>4.4574720293004884</v>
      </c>
      <c r="M121" s="1138">
        <f t="shared" si="15"/>
        <v>4.8337591413140704</v>
      </c>
      <c r="N121" s="1138">
        <f t="shared" si="15"/>
        <v>5.2771194419729879</v>
      </c>
      <c r="O121" s="1138" t="str">
        <f t="shared" si="15"/>
        <v/>
      </c>
      <c r="P121" s="1138" t="str">
        <f t="shared" si="15"/>
        <v/>
      </c>
      <c r="Q121" s="26"/>
      <c r="R121" s="26"/>
      <c r="S121" s="26"/>
      <c r="T121" s="26"/>
      <c r="U121" s="26"/>
      <c r="V121" s="26"/>
      <c r="W121" s="26"/>
      <c r="X121" s="26"/>
      <c r="Y121" s="26"/>
      <c r="Z121" s="26"/>
      <c r="AA121" s="26"/>
      <c r="AB121" s="26"/>
      <c r="AC121" s="26"/>
    </row>
    <row r="122" spans="1:29" ht="14.25" customHeight="1">
      <c r="A122" s="26"/>
      <c r="B122" s="26" t="s">
        <v>2174</v>
      </c>
      <c r="C122" s="1138">
        <f>Inputs!E604</f>
        <v>1.2</v>
      </c>
      <c r="D122" s="1138">
        <f t="shared" ref="D122:P122" si="16">C122</f>
        <v>1.2</v>
      </c>
      <c r="E122" s="1138">
        <f t="shared" si="16"/>
        <v>1.2</v>
      </c>
      <c r="F122" s="1138">
        <f t="shared" si="16"/>
        <v>1.2</v>
      </c>
      <c r="G122" s="1138">
        <f t="shared" si="16"/>
        <v>1.2</v>
      </c>
      <c r="H122" s="1138">
        <f t="shared" si="16"/>
        <v>1.2</v>
      </c>
      <c r="I122" s="1138">
        <f t="shared" si="16"/>
        <v>1.2</v>
      </c>
      <c r="J122" s="1138">
        <f t="shared" si="16"/>
        <v>1.2</v>
      </c>
      <c r="K122" s="1138">
        <f t="shared" si="16"/>
        <v>1.2</v>
      </c>
      <c r="L122" s="1138">
        <f t="shared" si="16"/>
        <v>1.2</v>
      </c>
      <c r="M122" s="1138">
        <f t="shared" si="16"/>
        <v>1.2</v>
      </c>
      <c r="N122" s="1138">
        <f t="shared" si="16"/>
        <v>1.2</v>
      </c>
      <c r="O122" s="1138">
        <f t="shared" si="16"/>
        <v>1.2</v>
      </c>
      <c r="P122" s="1138">
        <f t="shared" si="16"/>
        <v>1.2</v>
      </c>
      <c r="Q122" s="26"/>
      <c r="R122" s="26"/>
      <c r="S122" s="26"/>
      <c r="T122" s="26"/>
      <c r="U122" s="26"/>
      <c r="V122" s="26"/>
      <c r="W122" s="26"/>
      <c r="X122" s="26"/>
      <c r="Y122" s="26"/>
      <c r="Z122" s="26"/>
      <c r="AA122" s="26"/>
      <c r="AB122" s="26"/>
      <c r="AC122" s="26"/>
    </row>
    <row r="123" spans="1:29" ht="14.2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row>
    <row r="124" spans="1:29" ht="14.25" customHeight="1">
      <c r="A124" s="26"/>
      <c r="B124" s="1137" t="s">
        <v>2175</v>
      </c>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c r="AB124" s="26"/>
      <c r="AC124" s="26"/>
    </row>
    <row r="125" spans="1:29" ht="14.25" customHeight="1">
      <c r="A125" s="26"/>
      <c r="B125" s="26" t="s">
        <v>211</v>
      </c>
      <c r="C125" s="26" t="str">
        <f t="shared" ref="C125:P125" si="17">C120</f>
        <v>FY25</v>
      </c>
      <c r="D125" s="26" t="str">
        <f t="shared" si="17"/>
        <v>FY26</v>
      </c>
      <c r="E125" s="26" t="str">
        <f t="shared" si="17"/>
        <v>FY27</v>
      </c>
      <c r="F125" s="26" t="str">
        <f t="shared" si="17"/>
        <v>FY28</v>
      </c>
      <c r="G125" s="26" t="str">
        <f t="shared" si="17"/>
        <v>FY29</v>
      </c>
      <c r="H125" s="26" t="str">
        <f t="shared" si="17"/>
        <v>FY30</v>
      </c>
      <c r="I125" s="26" t="str">
        <f t="shared" si="17"/>
        <v>FY31</v>
      </c>
      <c r="J125" s="26" t="str">
        <f t="shared" si="17"/>
        <v>FY32</v>
      </c>
      <c r="K125" s="26" t="str">
        <f t="shared" si="17"/>
        <v>FY33</v>
      </c>
      <c r="L125" s="26" t="str">
        <f t="shared" si="17"/>
        <v>FY34</v>
      </c>
      <c r="M125" s="26" t="str">
        <f t="shared" si="17"/>
        <v>FY35</v>
      </c>
      <c r="N125" s="26" t="str">
        <f t="shared" si="17"/>
        <v>FY36</v>
      </c>
      <c r="O125" s="26" t="str">
        <f t="shared" si="17"/>
        <v>FY37</v>
      </c>
      <c r="P125" s="26" t="str">
        <f t="shared" si="17"/>
        <v>FY38</v>
      </c>
      <c r="Q125" s="26"/>
      <c r="R125" s="26"/>
      <c r="S125" s="26"/>
      <c r="T125" s="26"/>
      <c r="U125" s="26"/>
      <c r="V125" s="26"/>
      <c r="W125" s="26"/>
      <c r="X125" s="26"/>
      <c r="Y125" s="26"/>
      <c r="Z125" s="26"/>
      <c r="AA125" s="26"/>
      <c r="AB125" s="26"/>
      <c r="AC125" s="26"/>
    </row>
    <row r="126" spans="1:29" ht="14.25" customHeight="1">
      <c r="A126" s="26"/>
      <c r="B126" s="26" t="s">
        <v>390</v>
      </c>
      <c r="C126" s="1136">
        <f t="shared" ref="C126:Q126" si="18">C53</f>
        <v>0</v>
      </c>
      <c r="D126" s="1136">
        <f t="shared" si="18"/>
        <v>0</v>
      </c>
      <c r="E126" s="1136">
        <f t="shared" si="18"/>
        <v>-20580525</v>
      </c>
      <c r="F126" s="1136">
        <f t="shared" si="18"/>
        <v>9143626.5997075159</v>
      </c>
      <c r="G126" s="1136">
        <f t="shared" si="18"/>
        <v>10208770.014453897</v>
      </c>
      <c r="H126" s="1136">
        <f t="shared" si="18"/>
        <v>10667841.082212223</v>
      </c>
      <c r="I126" s="1136">
        <f t="shared" si="18"/>
        <v>11527151.438783875</v>
      </c>
      <c r="J126" s="1136">
        <f t="shared" si="18"/>
        <v>11800797.426747032</v>
      </c>
      <c r="K126" s="1136">
        <f t="shared" si="18"/>
        <v>11509812.264045559</v>
      </c>
      <c r="L126" s="1136">
        <f t="shared" si="18"/>
        <v>11553947.638578778</v>
      </c>
      <c r="M126" s="1136">
        <f t="shared" si="18"/>
        <v>11760040.174562065</v>
      </c>
      <c r="N126" s="1136">
        <f t="shared" si="18"/>
        <v>11983056.529188737</v>
      </c>
      <c r="O126" s="1136">
        <f t="shared" si="18"/>
        <v>12128361.311953463</v>
      </c>
      <c r="P126" s="1136">
        <f t="shared" si="18"/>
        <v>111131989.3831263</v>
      </c>
      <c r="Q126" s="1136">
        <f t="shared" si="18"/>
        <v>0</v>
      </c>
      <c r="R126" s="26"/>
      <c r="S126" s="26"/>
      <c r="T126" s="26"/>
      <c r="U126" s="26"/>
      <c r="V126" s="26"/>
      <c r="W126" s="26"/>
      <c r="X126" s="26"/>
      <c r="Y126" s="26"/>
      <c r="Z126" s="26"/>
      <c r="AA126" s="26"/>
      <c r="AB126" s="26"/>
      <c r="AC126" s="26"/>
    </row>
    <row r="127" spans="1:29" ht="14.25" customHeight="1">
      <c r="A127" s="26"/>
      <c r="B127" s="26" t="s">
        <v>391</v>
      </c>
      <c r="C127" s="1136">
        <f t="shared" ref="C127:P127" si="19">C54</f>
        <v>0</v>
      </c>
      <c r="D127" s="1136">
        <f t="shared" si="19"/>
        <v>0</v>
      </c>
      <c r="E127" s="1136">
        <f t="shared" si="19"/>
        <v>-8970383.0899999999</v>
      </c>
      <c r="F127" s="1136">
        <f t="shared" si="19"/>
        <v>0</v>
      </c>
      <c r="G127" s="1136">
        <f t="shared" si="19"/>
        <v>0</v>
      </c>
      <c r="H127" s="1136">
        <f t="shared" si="19"/>
        <v>0</v>
      </c>
      <c r="I127" s="1136">
        <f t="shared" si="19"/>
        <v>0</v>
      </c>
      <c r="J127" s="1136">
        <f t="shared" si="19"/>
        <v>0</v>
      </c>
      <c r="K127" s="1136">
        <f t="shared" si="19"/>
        <v>0</v>
      </c>
      <c r="L127" s="1136">
        <f t="shared" si="19"/>
        <v>0</v>
      </c>
      <c r="M127" s="1136">
        <f t="shared" si="19"/>
        <v>0</v>
      </c>
      <c r="N127" s="1136">
        <f t="shared" si="19"/>
        <v>0</v>
      </c>
      <c r="O127" s="1136">
        <f t="shared" si="19"/>
        <v>0</v>
      </c>
      <c r="P127" s="1136">
        <f t="shared" si="19"/>
        <v>97309398.795535132</v>
      </c>
      <c r="Q127" s="26"/>
      <c r="R127" s="26"/>
      <c r="S127" s="26"/>
      <c r="T127" s="26"/>
      <c r="U127" s="26"/>
      <c r="V127" s="26"/>
      <c r="W127" s="26"/>
      <c r="X127" s="26"/>
      <c r="Y127" s="26"/>
      <c r="Z127" s="26"/>
      <c r="AA127" s="26"/>
      <c r="AB127" s="26"/>
      <c r="AC127" s="26"/>
    </row>
    <row r="128" spans="1:29" ht="14.25" customHeight="1">
      <c r="A128" s="26"/>
      <c r="B128" s="26" t="s">
        <v>643</v>
      </c>
      <c r="C128" s="1136">
        <f>C127</f>
        <v>0</v>
      </c>
      <c r="D128" s="1136">
        <f t="shared" ref="D128:P128" si="20">C128+D127</f>
        <v>0</v>
      </c>
      <c r="E128" s="1136">
        <f t="shared" si="20"/>
        <v>-8970383.0899999999</v>
      </c>
      <c r="F128" s="1136">
        <f t="shared" si="20"/>
        <v>-8970383.0899999999</v>
      </c>
      <c r="G128" s="1136">
        <f t="shared" si="20"/>
        <v>-8970383.0899999999</v>
      </c>
      <c r="H128" s="1136">
        <f t="shared" si="20"/>
        <v>-8970383.0899999999</v>
      </c>
      <c r="I128" s="1136">
        <f t="shared" si="20"/>
        <v>-8970383.0899999999</v>
      </c>
      <c r="J128" s="1136">
        <f t="shared" si="20"/>
        <v>-8970383.0899999999</v>
      </c>
      <c r="K128" s="1136">
        <f t="shared" si="20"/>
        <v>-8970383.0899999999</v>
      </c>
      <c r="L128" s="1136">
        <f t="shared" si="20"/>
        <v>-8970383.0899999999</v>
      </c>
      <c r="M128" s="1136">
        <f t="shared" si="20"/>
        <v>-8970383.0899999999</v>
      </c>
      <c r="N128" s="1136">
        <f t="shared" si="20"/>
        <v>-8970383.0899999999</v>
      </c>
      <c r="O128" s="1136">
        <f t="shared" si="20"/>
        <v>-8970383.0899999999</v>
      </c>
      <c r="P128" s="1136">
        <f t="shared" si="20"/>
        <v>88339015.705535129</v>
      </c>
      <c r="Q128" s="26"/>
      <c r="R128" s="26"/>
      <c r="S128" s="26"/>
      <c r="T128" s="26"/>
      <c r="U128" s="26"/>
      <c r="V128" s="26"/>
      <c r="W128" s="26"/>
      <c r="X128" s="26"/>
      <c r="Y128" s="26"/>
      <c r="Z128" s="26"/>
      <c r="AA128" s="26"/>
      <c r="AB128" s="26"/>
      <c r="AC128" s="26"/>
    </row>
    <row r="129" spans="1:29" ht="14.2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c r="AB129" s="26"/>
      <c r="AC129" s="26"/>
    </row>
    <row r="130" spans="1:29" ht="14.25" customHeight="1">
      <c r="A130" s="26"/>
      <c r="B130" s="1137" t="s">
        <v>2176</v>
      </c>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row>
    <row r="131" spans="1:29" ht="14.25" customHeight="1">
      <c r="A131" s="26"/>
      <c r="B131" s="26" t="s">
        <v>211</v>
      </c>
      <c r="C131" s="26" t="str">
        <f t="shared" ref="C131:P131" si="21">C125</f>
        <v>FY25</v>
      </c>
      <c r="D131" s="26" t="str">
        <f t="shared" si="21"/>
        <v>FY26</v>
      </c>
      <c r="E131" s="26" t="str">
        <f t="shared" si="21"/>
        <v>FY27</v>
      </c>
      <c r="F131" s="26" t="str">
        <f t="shared" si="21"/>
        <v>FY28</v>
      </c>
      <c r="G131" s="26" t="str">
        <f t="shared" si="21"/>
        <v>FY29</v>
      </c>
      <c r="H131" s="26" t="str">
        <f t="shared" si="21"/>
        <v>FY30</v>
      </c>
      <c r="I131" s="26" t="str">
        <f t="shared" si="21"/>
        <v>FY31</v>
      </c>
      <c r="J131" s="26" t="str">
        <f t="shared" si="21"/>
        <v>FY32</v>
      </c>
      <c r="K131" s="26" t="str">
        <f t="shared" si="21"/>
        <v>FY33</v>
      </c>
      <c r="L131" s="26" t="str">
        <f t="shared" si="21"/>
        <v>FY34</v>
      </c>
      <c r="M131" s="26" t="str">
        <f t="shared" si="21"/>
        <v>FY35</v>
      </c>
      <c r="N131" s="26" t="str">
        <f t="shared" si="21"/>
        <v>FY36</v>
      </c>
      <c r="O131" s="26" t="str">
        <f t="shared" si="21"/>
        <v>FY37</v>
      </c>
      <c r="P131" s="26" t="str">
        <f t="shared" si="21"/>
        <v>FY38</v>
      </c>
      <c r="Q131" s="26"/>
      <c r="R131" s="26"/>
      <c r="S131" s="26"/>
      <c r="T131" s="26"/>
      <c r="U131" s="26"/>
      <c r="V131" s="26"/>
      <c r="W131" s="26"/>
      <c r="X131" s="26"/>
      <c r="Y131" s="26"/>
      <c r="Z131" s="26"/>
      <c r="AA131" s="26"/>
      <c r="AB131" s="26"/>
      <c r="AC131" s="26"/>
    </row>
    <row r="132" spans="1:29" ht="14.25" customHeight="1">
      <c r="A132" s="26"/>
      <c r="B132" s="26" t="s">
        <v>360</v>
      </c>
      <c r="C132" s="1135">
        <f t="shared" ref="C132:P132" si="22">C48</f>
        <v>0</v>
      </c>
      <c r="D132" s="1135">
        <f t="shared" si="22"/>
        <v>0</v>
      </c>
      <c r="E132" s="1135">
        <f t="shared" si="22"/>
        <v>0</v>
      </c>
      <c r="F132" s="1135">
        <f t="shared" si="22"/>
        <v>0</v>
      </c>
      <c r="G132" s="1135">
        <f t="shared" si="22"/>
        <v>0</v>
      </c>
      <c r="H132" s="1135">
        <f t="shared" si="22"/>
        <v>0</v>
      </c>
      <c r="I132" s="1135">
        <f t="shared" si="22"/>
        <v>0</v>
      </c>
      <c r="J132" s="1135">
        <f t="shared" si="22"/>
        <v>0</v>
      </c>
      <c r="K132" s="1135">
        <f t="shared" si="22"/>
        <v>0</v>
      </c>
      <c r="L132" s="1135">
        <f t="shared" si="22"/>
        <v>0</v>
      </c>
      <c r="M132" s="1135">
        <f t="shared" si="22"/>
        <v>0</v>
      </c>
      <c r="N132" s="1135">
        <f t="shared" si="22"/>
        <v>0</v>
      </c>
      <c r="O132" s="1135">
        <f t="shared" si="22"/>
        <v>0</v>
      </c>
      <c r="P132" s="1135">
        <f t="shared" si="22"/>
        <v>0</v>
      </c>
      <c r="Q132" s="26"/>
      <c r="R132" s="26"/>
      <c r="S132" s="26"/>
      <c r="T132" s="26"/>
      <c r="U132" s="26"/>
      <c r="V132" s="26"/>
      <c r="W132" s="26"/>
      <c r="X132" s="26"/>
      <c r="Y132" s="26"/>
      <c r="Z132" s="26"/>
      <c r="AA132" s="26"/>
      <c r="AB132" s="26"/>
      <c r="AC132" s="26"/>
    </row>
    <row r="133" spans="1:29" ht="14.25" customHeight="1">
      <c r="A133" s="26"/>
      <c r="B133" s="26" t="s">
        <v>2151</v>
      </c>
      <c r="C133" s="1139">
        <f t="shared" ref="C133:P133" si="23">C49</f>
        <v>0</v>
      </c>
      <c r="D133" s="1139">
        <f t="shared" si="23"/>
        <v>0</v>
      </c>
      <c r="E133" s="1139">
        <f t="shared" si="23"/>
        <v>0</v>
      </c>
      <c r="F133" s="1139">
        <f t="shared" si="23"/>
        <v>101622.77499999999</v>
      </c>
      <c r="G133" s="1139">
        <f t="shared" si="23"/>
        <v>103780.13</v>
      </c>
      <c r="H133" s="1139">
        <f t="shared" si="23"/>
        <v>105937.48500000002</v>
      </c>
      <c r="I133" s="1139">
        <f t="shared" si="23"/>
        <v>113545</v>
      </c>
      <c r="J133" s="1139">
        <f t="shared" si="23"/>
        <v>113545</v>
      </c>
      <c r="K133" s="1139">
        <f t="shared" si="23"/>
        <v>113545</v>
      </c>
      <c r="L133" s="1139">
        <f t="shared" si="23"/>
        <v>113545</v>
      </c>
      <c r="M133" s="1139">
        <f t="shared" si="23"/>
        <v>113545</v>
      </c>
      <c r="N133" s="1139">
        <f t="shared" si="23"/>
        <v>113545</v>
      </c>
      <c r="O133" s="1139">
        <f t="shared" si="23"/>
        <v>113545</v>
      </c>
      <c r="P133" s="1139">
        <f t="shared" si="23"/>
        <v>113545</v>
      </c>
      <c r="Q133" s="26"/>
      <c r="R133" s="26"/>
      <c r="S133" s="26"/>
      <c r="T133" s="26"/>
      <c r="U133" s="26"/>
      <c r="V133" s="26"/>
      <c r="W133" s="26"/>
      <c r="X133" s="26"/>
      <c r="Y133" s="26"/>
      <c r="Z133" s="26"/>
      <c r="AA133" s="26"/>
      <c r="AB133" s="26"/>
      <c r="AC133" s="26"/>
    </row>
    <row r="134" spans="1:29" ht="14.2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row>
    <row r="135" spans="1:29" ht="14.25" customHeight="1">
      <c r="A135" s="26"/>
      <c r="B135" s="1137" t="s">
        <v>2177</v>
      </c>
      <c r="C135" s="26"/>
      <c r="D135" s="26"/>
      <c r="E135" s="1137" t="s">
        <v>2177</v>
      </c>
      <c r="F135" s="26"/>
      <c r="G135" s="26"/>
      <c r="H135" s="26"/>
      <c r="I135" s="26"/>
      <c r="J135" s="26"/>
      <c r="K135" s="26"/>
      <c r="L135" s="26"/>
      <c r="M135" s="26"/>
      <c r="N135" s="26"/>
      <c r="O135" s="26"/>
      <c r="P135" s="26"/>
      <c r="Q135" s="26"/>
      <c r="R135" s="26"/>
      <c r="S135" s="26"/>
      <c r="T135" s="26"/>
      <c r="U135" s="26"/>
      <c r="V135" s="26"/>
      <c r="W135" s="26"/>
      <c r="X135" s="26"/>
      <c r="Y135" s="26"/>
      <c r="Z135" s="26"/>
      <c r="AA135" s="26"/>
      <c r="AB135" s="26"/>
      <c r="AC135" s="26"/>
    </row>
    <row r="136" spans="1:29" ht="14.25" customHeight="1">
      <c r="A136" s="26"/>
      <c r="B136" s="26" t="s">
        <v>686</v>
      </c>
      <c r="C136" s="26" t="s">
        <v>2178</v>
      </c>
      <c r="D136" s="26"/>
      <c r="E136" s="26" t="s">
        <v>686</v>
      </c>
      <c r="F136" s="26" t="s">
        <v>2178</v>
      </c>
      <c r="G136" s="26"/>
      <c r="H136" s="26"/>
      <c r="I136" s="26"/>
      <c r="J136" s="26"/>
      <c r="K136" s="26"/>
      <c r="L136" s="26"/>
      <c r="M136" s="26"/>
      <c r="N136" s="26"/>
      <c r="O136" s="26"/>
      <c r="P136" s="26"/>
      <c r="Q136" s="26"/>
      <c r="R136" s="26"/>
      <c r="S136" s="26"/>
      <c r="T136" s="26"/>
      <c r="U136" s="26"/>
      <c r="V136" s="26"/>
      <c r="W136" s="26"/>
      <c r="X136" s="26"/>
      <c r="Y136" s="26"/>
      <c r="Z136" s="26"/>
      <c r="AA136" s="26"/>
      <c r="AB136" s="26"/>
      <c r="AC136" s="26"/>
    </row>
    <row r="137" spans="1:29" ht="14.25" customHeight="1">
      <c r="A137" s="26"/>
      <c r="B137" s="26" t="s">
        <v>2179</v>
      </c>
      <c r="C137" s="1140">
        <f t="shared" ref="C137:C138" si="24">C30</f>
        <v>1500000</v>
      </c>
      <c r="D137" s="26"/>
      <c r="E137" s="26" t="s">
        <v>2179</v>
      </c>
      <c r="F137" s="1140">
        <v>0</v>
      </c>
      <c r="G137" s="26"/>
      <c r="H137" s="26"/>
      <c r="I137" s="26"/>
      <c r="J137" s="26"/>
      <c r="K137" s="26"/>
      <c r="L137" s="26"/>
      <c r="M137" s="26"/>
      <c r="N137" s="26"/>
      <c r="O137" s="26"/>
      <c r="P137" s="26"/>
      <c r="Q137" s="26"/>
      <c r="R137" s="26"/>
      <c r="S137" s="26"/>
      <c r="T137" s="26"/>
      <c r="U137" s="26"/>
      <c r="V137" s="26"/>
      <c r="W137" s="26"/>
      <c r="X137" s="26"/>
      <c r="Y137" s="26"/>
      <c r="Z137" s="26"/>
      <c r="AA137" s="26"/>
      <c r="AB137" s="26"/>
      <c r="AC137" s="26"/>
    </row>
    <row r="138" spans="1:29" ht="14.25" customHeight="1">
      <c r="A138" s="26"/>
      <c r="B138" s="26" t="s">
        <v>217</v>
      </c>
      <c r="C138" s="1140">
        <f t="shared" si="24"/>
        <v>7470383.0899999999</v>
      </c>
      <c r="D138" s="26"/>
      <c r="E138" s="26" t="s">
        <v>217</v>
      </c>
      <c r="F138" s="1140">
        <f>'Balance Sheet'!S42</f>
        <v>8970383.0899999999</v>
      </c>
      <c r="G138" s="26"/>
      <c r="H138" s="26"/>
      <c r="I138" s="26"/>
      <c r="J138" s="26"/>
      <c r="K138" s="26"/>
      <c r="L138" s="26"/>
      <c r="M138" s="26"/>
      <c r="N138" s="26"/>
      <c r="O138" s="26"/>
      <c r="P138" s="26"/>
      <c r="Q138" s="26"/>
      <c r="R138" s="26"/>
      <c r="S138" s="26"/>
      <c r="T138" s="26"/>
      <c r="U138" s="26"/>
      <c r="V138" s="26"/>
      <c r="W138" s="26"/>
      <c r="X138" s="26"/>
      <c r="Y138" s="26"/>
      <c r="Z138" s="26"/>
      <c r="AA138" s="26"/>
      <c r="AB138" s="26"/>
      <c r="AC138" s="26"/>
    </row>
    <row r="139" spans="1:29" ht="14.25" customHeight="1">
      <c r="A139" s="26"/>
      <c r="B139" s="26" t="s">
        <v>2180</v>
      </c>
      <c r="C139" s="1140">
        <f>Inputs!E51</f>
        <v>850000</v>
      </c>
      <c r="D139" s="26"/>
      <c r="E139" s="26" t="s">
        <v>2180</v>
      </c>
      <c r="F139" s="1140">
        <f>'Balance Sheet'!S31</f>
        <v>0</v>
      </c>
      <c r="G139" s="26"/>
      <c r="H139" s="26"/>
      <c r="I139" s="26"/>
      <c r="J139" s="26"/>
      <c r="K139" s="26"/>
      <c r="L139" s="26"/>
      <c r="M139" s="26"/>
      <c r="N139" s="26"/>
      <c r="O139" s="26"/>
      <c r="P139" s="26"/>
      <c r="Q139" s="26"/>
      <c r="R139" s="26"/>
      <c r="S139" s="26"/>
      <c r="T139" s="26"/>
      <c r="U139" s="26"/>
      <c r="V139" s="26"/>
      <c r="W139" s="26"/>
      <c r="X139" s="26"/>
      <c r="Y139" s="26"/>
      <c r="Z139" s="26"/>
      <c r="AA139" s="26"/>
      <c r="AB139" s="26"/>
      <c r="AC139" s="26"/>
    </row>
    <row r="140" spans="1:29" ht="14.25" customHeight="1">
      <c r="A140" s="26"/>
      <c r="B140" s="26" t="s">
        <v>2181</v>
      </c>
      <c r="C140" s="1140">
        <f>C32</f>
        <v>12675915</v>
      </c>
      <c r="D140" s="26"/>
      <c r="E140" s="26" t="s">
        <v>2181</v>
      </c>
      <c r="F140" s="1140">
        <f>'Balance Sheet'!S37</f>
        <v>0</v>
      </c>
      <c r="G140" s="26"/>
      <c r="H140" s="26"/>
      <c r="I140" s="26"/>
      <c r="J140" s="26"/>
      <c r="K140" s="26"/>
      <c r="L140" s="26"/>
      <c r="M140" s="26"/>
      <c r="N140" s="26"/>
      <c r="O140" s="26"/>
      <c r="P140" s="26"/>
      <c r="Q140" s="26"/>
      <c r="R140" s="26"/>
      <c r="S140" s="26"/>
      <c r="T140" s="26"/>
      <c r="U140" s="26"/>
      <c r="V140" s="26"/>
      <c r="W140" s="26"/>
      <c r="X140" s="26"/>
      <c r="Y140" s="26"/>
      <c r="Z140" s="26"/>
      <c r="AA140" s="26"/>
      <c r="AB140" s="26"/>
      <c r="AC140" s="26"/>
    </row>
    <row r="141" spans="1:29" ht="14.2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c r="AB141" s="26"/>
      <c r="AC141" s="26"/>
    </row>
    <row r="142" spans="1:29" ht="14.25" customHeight="1">
      <c r="A142" s="26"/>
      <c r="B142" s="1137" t="s">
        <v>2182</v>
      </c>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c r="AB142" s="26"/>
      <c r="AC142" s="26"/>
    </row>
    <row r="143" spans="1:29" ht="14.25" customHeight="1">
      <c r="A143" s="26"/>
      <c r="B143" s="26" t="s">
        <v>211</v>
      </c>
      <c r="C143" s="26" t="str">
        <f t="shared" ref="C143:P143" si="25">C131</f>
        <v>FY25</v>
      </c>
      <c r="D143" s="26" t="str">
        <f t="shared" si="25"/>
        <v>FY26</v>
      </c>
      <c r="E143" s="26" t="str">
        <f t="shared" si="25"/>
        <v>FY27</v>
      </c>
      <c r="F143" s="26" t="str">
        <f t="shared" si="25"/>
        <v>FY28</v>
      </c>
      <c r="G143" s="26" t="str">
        <f t="shared" si="25"/>
        <v>FY29</v>
      </c>
      <c r="H143" s="26" t="str">
        <f t="shared" si="25"/>
        <v>FY30</v>
      </c>
      <c r="I143" s="26" t="str">
        <f t="shared" si="25"/>
        <v>FY31</v>
      </c>
      <c r="J143" s="26" t="str">
        <f t="shared" si="25"/>
        <v>FY32</v>
      </c>
      <c r="K143" s="26" t="str">
        <f t="shared" si="25"/>
        <v>FY33</v>
      </c>
      <c r="L143" s="26" t="str">
        <f t="shared" si="25"/>
        <v>FY34</v>
      </c>
      <c r="M143" s="26" t="str">
        <f t="shared" si="25"/>
        <v>FY35</v>
      </c>
      <c r="N143" s="26" t="str">
        <f t="shared" si="25"/>
        <v>FY36</v>
      </c>
      <c r="O143" s="26" t="str">
        <f t="shared" si="25"/>
        <v>FY37</v>
      </c>
      <c r="P143" s="26" t="str">
        <f t="shared" si="25"/>
        <v>FY38</v>
      </c>
      <c r="Q143" s="26"/>
      <c r="R143" s="26"/>
      <c r="S143" s="26"/>
      <c r="T143" s="26"/>
      <c r="U143" s="26"/>
      <c r="V143" s="26"/>
      <c r="W143" s="26"/>
      <c r="X143" s="26"/>
      <c r="Y143" s="26"/>
      <c r="Z143" s="26"/>
      <c r="AA143" s="26"/>
      <c r="AB143" s="26"/>
      <c r="AC143" s="26"/>
    </row>
    <row r="144" spans="1:29" ht="14.25" customHeight="1">
      <c r="A144" s="26"/>
      <c r="B144" s="26" t="s">
        <v>2159</v>
      </c>
      <c r="C144" s="1135">
        <f t="shared" ref="C144:P144" si="26">C62</f>
        <v>0</v>
      </c>
      <c r="D144" s="1135">
        <f t="shared" si="26"/>
        <v>0</v>
      </c>
      <c r="E144" s="1135">
        <f t="shared" si="26"/>
        <v>7506838.4000000004</v>
      </c>
      <c r="F144" s="1135">
        <f t="shared" si="26"/>
        <v>9839668.6858632565</v>
      </c>
      <c r="G144" s="1135">
        <f t="shared" si="26"/>
        <v>11012106.983068733</v>
      </c>
      <c r="H144" s="1135">
        <f t="shared" si="26"/>
        <v>12318957.987335462</v>
      </c>
      <c r="I144" s="1135">
        <f t="shared" si="26"/>
        <v>13783489.267768661</v>
      </c>
      <c r="J144" s="1135">
        <f t="shared" si="26"/>
        <v>15245161.452724159</v>
      </c>
      <c r="K144" s="1135">
        <f t="shared" si="26"/>
        <v>16631702.322463522</v>
      </c>
      <c r="L144" s="1135">
        <f t="shared" si="26"/>
        <v>18081283.997258518</v>
      </c>
      <c r="M144" s="1135">
        <f t="shared" si="26"/>
        <v>19590737.217962582</v>
      </c>
      <c r="N144" s="1135">
        <f t="shared" si="26"/>
        <v>21149946.483990319</v>
      </c>
      <c r="O144" s="1135">
        <f t="shared" si="26"/>
        <v>22730623.243921448</v>
      </c>
      <c r="P144" s="1135">
        <f t="shared" si="26"/>
        <v>24617232.642317418</v>
      </c>
      <c r="Q144" s="26"/>
      <c r="R144" s="26"/>
      <c r="S144" s="26"/>
      <c r="T144" s="26"/>
      <c r="U144" s="26"/>
      <c r="V144" s="26"/>
      <c r="W144" s="26"/>
      <c r="X144" s="26"/>
      <c r="Y144" s="26"/>
      <c r="Z144" s="26"/>
      <c r="AA144" s="26"/>
      <c r="AB144" s="26"/>
      <c r="AC144" s="26"/>
    </row>
    <row r="145" spans="1:29" ht="14.25" customHeight="1">
      <c r="A145" s="26"/>
      <c r="B145" s="26" t="s">
        <v>504</v>
      </c>
      <c r="C145" s="1135">
        <f t="shared" ref="C145:P145" si="27">C63</f>
        <v>0</v>
      </c>
      <c r="D145" s="1135">
        <f t="shared" si="27"/>
        <v>0</v>
      </c>
      <c r="E145" s="1135">
        <f t="shared" si="27"/>
        <v>21032753.399999999</v>
      </c>
      <c r="F145" s="1135">
        <f t="shared" si="27"/>
        <v>23140060.994663939</v>
      </c>
      <c r="G145" s="1135">
        <f t="shared" si="27"/>
        <v>22802382.198823094</v>
      </c>
      <c r="H145" s="1135">
        <f t="shared" si="27"/>
        <v>22556604.419235684</v>
      </c>
      <c r="I145" s="1135">
        <f t="shared" si="27"/>
        <v>22462549.36932756</v>
      </c>
      <c r="J145" s="1135">
        <f t="shared" si="27"/>
        <v>22361936.838663965</v>
      </c>
      <c r="K145" s="1135">
        <f t="shared" si="27"/>
        <v>22233299.107744537</v>
      </c>
      <c r="L145" s="1135">
        <f t="shared" si="27"/>
        <v>22134800.252290793</v>
      </c>
      <c r="M145" s="1135">
        <f t="shared" si="27"/>
        <v>22085982.152746443</v>
      </c>
      <c r="N145" s="1135">
        <f t="shared" si="27"/>
        <v>22087723.761250652</v>
      </c>
      <c r="O145" s="1135">
        <f t="shared" si="27"/>
        <v>23703757.547798254</v>
      </c>
      <c r="P145" s="1135">
        <f t="shared" si="27"/>
        <v>25567009.210011873</v>
      </c>
      <c r="Q145" s="26"/>
      <c r="R145" s="26"/>
      <c r="S145" s="26"/>
      <c r="T145" s="26"/>
      <c r="U145" s="26"/>
      <c r="V145" s="26"/>
      <c r="W145" s="26"/>
      <c r="X145" s="26"/>
      <c r="Y145" s="26"/>
      <c r="Z145" s="26"/>
      <c r="AA145" s="26"/>
      <c r="AB145" s="26"/>
      <c r="AC145" s="26"/>
    </row>
    <row r="146" spans="1:29" ht="14.2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c r="AB146" s="26"/>
      <c r="AC146" s="26"/>
    </row>
    <row r="147" spans="1:29" ht="14.2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c r="AB147" s="26"/>
      <c r="AC147" s="26"/>
    </row>
    <row r="148" spans="1:29" ht="14.25" customHeight="1">
      <c r="A148" s="26"/>
      <c r="B148" s="1435" t="s">
        <v>2183</v>
      </c>
      <c r="C148" s="1342"/>
      <c r="D148" s="1342"/>
      <c r="E148" s="1342"/>
      <c r="F148" s="1342"/>
      <c r="G148" s="1342"/>
      <c r="H148" s="1342"/>
      <c r="I148" s="1342"/>
      <c r="J148" s="1342"/>
      <c r="K148" s="1342"/>
      <c r="L148" s="1342"/>
      <c r="M148" s="1342"/>
      <c r="N148" s="1303"/>
      <c r="O148" s="26"/>
      <c r="P148" s="26"/>
      <c r="Q148" s="26"/>
      <c r="R148" s="26"/>
      <c r="S148" s="26"/>
      <c r="T148" s="26"/>
      <c r="U148" s="26"/>
      <c r="V148" s="26"/>
      <c r="W148" s="26"/>
      <c r="X148" s="26"/>
      <c r="Y148" s="26"/>
      <c r="Z148" s="26"/>
      <c r="AA148" s="26"/>
      <c r="AB148" s="26"/>
      <c r="AC148" s="26"/>
    </row>
    <row r="149" spans="1:29" ht="14.2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c r="AB149" s="26"/>
      <c r="AC149" s="26"/>
    </row>
    <row r="150" spans="1:29" ht="14.25" customHeight="1">
      <c r="A150" s="26"/>
      <c r="B150" s="26" t="s">
        <v>211</v>
      </c>
      <c r="C150" s="26" t="str">
        <f t="shared" ref="C150:P150" si="28">C143</f>
        <v>FY25</v>
      </c>
      <c r="D150" s="26" t="str">
        <f t="shared" si="28"/>
        <v>FY26</v>
      </c>
      <c r="E150" s="26" t="str">
        <f t="shared" si="28"/>
        <v>FY27</v>
      </c>
      <c r="F150" s="26" t="str">
        <f t="shared" si="28"/>
        <v>FY28</v>
      </c>
      <c r="G150" s="26" t="str">
        <f t="shared" si="28"/>
        <v>FY29</v>
      </c>
      <c r="H150" s="26" t="str">
        <f t="shared" si="28"/>
        <v>FY30</v>
      </c>
      <c r="I150" s="26" t="str">
        <f t="shared" si="28"/>
        <v>FY31</v>
      </c>
      <c r="J150" s="26" t="str">
        <f t="shared" si="28"/>
        <v>FY32</v>
      </c>
      <c r="K150" s="26" t="str">
        <f t="shared" si="28"/>
        <v>FY33</v>
      </c>
      <c r="L150" s="26" t="str">
        <f t="shared" si="28"/>
        <v>FY34</v>
      </c>
      <c r="M150" s="26" t="str">
        <f t="shared" si="28"/>
        <v>FY35</v>
      </c>
      <c r="N150" s="26" t="str">
        <f t="shared" si="28"/>
        <v>FY36</v>
      </c>
      <c r="O150" s="26" t="str">
        <f t="shared" si="28"/>
        <v>FY37</v>
      </c>
      <c r="P150" s="26" t="str">
        <f t="shared" si="28"/>
        <v>FY38</v>
      </c>
      <c r="Q150" s="26"/>
      <c r="R150" s="26"/>
      <c r="S150" s="26"/>
      <c r="T150" s="26"/>
      <c r="U150" s="26"/>
      <c r="V150" s="26"/>
      <c r="W150" s="26"/>
      <c r="X150" s="26"/>
      <c r="Y150" s="26"/>
      <c r="Z150" s="26"/>
      <c r="AA150" s="26"/>
      <c r="AB150" s="26"/>
      <c r="AC150" s="26"/>
    </row>
    <row r="151" spans="1:29" ht="14.25" customHeight="1">
      <c r="A151" s="26"/>
      <c r="B151" s="26" t="s">
        <v>319</v>
      </c>
      <c r="C151" s="1141">
        <v>0</v>
      </c>
      <c r="D151" s="1141">
        <v>0</v>
      </c>
      <c r="E151" s="1141">
        <v>0</v>
      </c>
      <c r="F151" s="1141">
        <f>'Calendar Assumptions'!F16</f>
        <v>155.73000000000002</v>
      </c>
      <c r="G151" s="1141">
        <f>'Calendar Assumptions'!G16</f>
        <v>159.03600000000003</v>
      </c>
      <c r="H151" s="1141">
        <f>'Calendar Assumptions'!H16</f>
        <v>162.34200000000004</v>
      </c>
      <c r="I151" s="1141">
        <f>'Calendar Assumptions'!I16</f>
        <v>174</v>
      </c>
      <c r="J151" s="1141">
        <f>'Calendar Assumptions'!J16</f>
        <v>174</v>
      </c>
      <c r="K151" s="1141">
        <f>'Calendar Assumptions'!K16</f>
        <v>174</v>
      </c>
      <c r="L151" s="1141">
        <f>'Calendar Assumptions'!L16</f>
        <v>174</v>
      </c>
      <c r="M151" s="1141">
        <f>'Calendar Assumptions'!M16</f>
        <v>174</v>
      </c>
      <c r="N151" s="1141">
        <f>'Calendar Assumptions'!N16</f>
        <v>174</v>
      </c>
      <c r="O151" s="1141">
        <f>'Calendar Assumptions'!O16</f>
        <v>174</v>
      </c>
      <c r="P151" s="1141">
        <f>'Calendar Assumptions'!P16</f>
        <v>174</v>
      </c>
      <c r="Q151" s="26"/>
      <c r="R151" s="26"/>
      <c r="S151" s="26"/>
      <c r="T151" s="26"/>
      <c r="U151" s="26"/>
      <c r="V151" s="26"/>
      <c r="W151" s="26"/>
      <c r="X151" s="26"/>
      <c r="Y151" s="26"/>
      <c r="Z151" s="26"/>
      <c r="AA151" s="26"/>
      <c r="AB151" s="26"/>
      <c r="AC151" s="26"/>
    </row>
    <row r="152" spans="1:29" ht="14.25" customHeight="1">
      <c r="A152" s="26"/>
      <c r="B152" s="26" t="s">
        <v>2184</v>
      </c>
      <c r="C152" s="1139">
        <v>0</v>
      </c>
      <c r="D152" s="1139">
        <v>0</v>
      </c>
      <c r="E152" s="1139">
        <v>0</v>
      </c>
      <c r="F152" s="1139">
        <f t="shared" ref="F152:P152" si="29">IFERROR(F40/F151,0)</f>
        <v>120544.10463622936</v>
      </c>
      <c r="G152" s="1139">
        <f t="shared" si="29"/>
        <v>123723.57383825042</v>
      </c>
      <c r="H152" s="1139">
        <f t="shared" si="29"/>
        <v>126988.22167068842</v>
      </c>
      <c r="I152" s="1139">
        <f t="shared" si="29"/>
        <v>125336.98019806897</v>
      </c>
      <c r="J152" s="1139">
        <f t="shared" si="29"/>
        <v>128165.26834637816</v>
      </c>
      <c r="K152" s="1139">
        <f t="shared" si="29"/>
        <v>131076.52909045437</v>
      </c>
      <c r="L152" s="1139">
        <f t="shared" si="29"/>
        <v>134073.20470695363</v>
      </c>
      <c r="M152" s="1139">
        <f t="shared" si="29"/>
        <v>137157.80956830113</v>
      </c>
      <c r="N152" s="1139">
        <f t="shared" si="29"/>
        <v>140332.93227625117</v>
      </c>
      <c r="O152" s="1139">
        <f t="shared" si="29"/>
        <v>143601.23785872088</v>
      </c>
      <c r="P152" s="1139">
        <f t="shared" si="29"/>
        <v>146965.4700317778</v>
      </c>
      <c r="Q152" s="26"/>
      <c r="R152" s="26"/>
      <c r="S152" s="26"/>
      <c r="T152" s="26"/>
      <c r="U152" s="26"/>
      <c r="V152" s="26"/>
      <c r="W152" s="26"/>
      <c r="X152" s="26"/>
      <c r="Y152" s="26"/>
      <c r="Z152" s="26"/>
      <c r="AA152" s="26"/>
      <c r="AB152" s="26"/>
      <c r="AC152" s="26"/>
    </row>
    <row r="153" spans="1:29" ht="14.25" customHeight="1">
      <c r="A153" s="26"/>
      <c r="B153" s="26" t="s">
        <v>2185</v>
      </c>
      <c r="C153" s="1142">
        <v>0</v>
      </c>
      <c r="D153" s="1142">
        <f t="shared" ref="D153:P153" si="30">IFERROR(D40/C40-1,0)</f>
        <v>0</v>
      </c>
      <c r="E153" s="1142">
        <f t="shared" si="30"/>
        <v>0</v>
      </c>
      <c r="F153" s="1142">
        <f t="shared" si="30"/>
        <v>0</v>
      </c>
      <c r="G153" s="1142">
        <f t="shared" si="30"/>
        <v>4.8164969902863675E-2</v>
      </c>
      <c r="H153" s="1142">
        <f t="shared" si="30"/>
        <v>4.7722891992380223E-2</v>
      </c>
      <c r="I153" s="1142">
        <f t="shared" si="30"/>
        <v>5.7874483062010151E-2</v>
      </c>
      <c r="J153" s="1142">
        <f t="shared" si="30"/>
        <v>2.2565472248012197E-2</v>
      </c>
      <c r="K153" s="1142">
        <f t="shared" si="30"/>
        <v>2.2714896021660769E-2</v>
      </c>
      <c r="L153" s="1142">
        <f t="shared" si="30"/>
        <v>2.2862030580862447E-2</v>
      </c>
      <c r="M153" s="1142">
        <f t="shared" si="30"/>
        <v>2.3006870523379908E-2</v>
      </c>
      <c r="N153" s="1142">
        <f t="shared" si="30"/>
        <v>2.314941247562663E-2</v>
      </c>
      <c r="O153" s="1142">
        <f t="shared" si="30"/>
        <v>2.3289655032903589E-2</v>
      </c>
      <c r="P153" s="1142">
        <f t="shared" si="30"/>
        <v>2.3427598697768559E-2</v>
      </c>
      <c r="Q153" s="26"/>
      <c r="R153" s="26"/>
      <c r="S153" s="26"/>
      <c r="T153" s="26"/>
      <c r="U153" s="26"/>
      <c r="V153" s="26"/>
      <c r="W153" s="26"/>
      <c r="X153" s="26"/>
      <c r="Y153" s="26"/>
      <c r="Z153" s="26"/>
      <c r="AA153" s="26"/>
      <c r="AB153" s="26"/>
      <c r="AC153" s="26"/>
    </row>
    <row r="154" spans="1:29" ht="14.2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c r="AB154" s="26"/>
      <c r="AC154" s="26"/>
    </row>
    <row r="155" spans="1:29" ht="14.2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c r="AB155" s="26"/>
      <c r="AC155" s="26"/>
    </row>
    <row r="156" spans="1:29" ht="14.25" customHeight="1">
      <c r="A156" s="26"/>
      <c r="B156" s="1435" t="s">
        <v>2186</v>
      </c>
      <c r="C156" s="1342"/>
      <c r="D156" s="1342"/>
      <c r="E156" s="1342"/>
      <c r="F156" s="1342"/>
      <c r="G156" s="1342"/>
      <c r="H156" s="1342"/>
      <c r="I156" s="1342"/>
      <c r="J156" s="1342"/>
      <c r="K156" s="1342"/>
      <c r="L156" s="1342"/>
      <c r="M156" s="1342"/>
      <c r="N156" s="1303"/>
      <c r="O156" s="26"/>
      <c r="P156" s="26"/>
      <c r="Q156" s="26"/>
      <c r="R156" s="26"/>
      <c r="S156" s="26"/>
      <c r="T156" s="26"/>
      <c r="U156" s="26"/>
      <c r="V156" s="26"/>
      <c r="W156" s="26"/>
      <c r="X156" s="26"/>
      <c r="Y156" s="26"/>
      <c r="Z156" s="26"/>
      <c r="AA156" s="26"/>
      <c r="AB156" s="26"/>
      <c r="AC156" s="26"/>
    </row>
    <row r="157" spans="1:29" ht="14.2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c r="AB157" s="26"/>
      <c r="AC157" s="26"/>
    </row>
    <row r="158" spans="1:29" ht="14.25" customHeight="1">
      <c r="A158" s="26"/>
      <c r="B158" s="1143" t="s">
        <v>298</v>
      </c>
      <c r="C158" s="1143" t="s">
        <v>2187</v>
      </c>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c r="AB158" s="26"/>
      <c r="AC158" s="26"/>
    </row>
    <row r="159" spans="1:29" ht="14.25" customHeight="1">
      <c r="A159" s="26"/>
      <c r="B159" s="837" t="s">
        <v>1615</v>
      </c>
      <c r="C159" s="1135">
        <f>'Construction Timeline'!E6</f>
        <v>2045000</v>
      </c>
      <c r="D159" s="26"/>
      <c r="E159" s="837"/>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row>
    <row r="160" spans="1:29" ht="14.25" customHeight="1">
      <c r="A160" s="26"/>
      <c r="B160" s="837" t="s">
        <v>944</v>
      </c>
      <c r="C160" s="1135">
        <f>'Construction Timeline'!E7</f>
        <v>6580000</v>
      </c>
      <c r="D160" s="26"/>
      <c r="E160" s="837"/>
      <c r="F160" s="26"/>
      <c r="G160" s="26"/>
      <c r="H160" s="26"/>
      <c r="I160" s="26"/>
      <c r="J160" s="26"/>
      <c r="K160" s="26"/>
      <c r="L160" s="26"/>
      <c r="M160" s="26"/>
      <c r="N160" s="26"/>
      <c r="O160" s="26"/>
      <c r="P160" s="26"/>
      <c r="Q160" s="26"/>
      <c r="R160" s="26"/>
      <c r="S160" s="26"/>
      <c r="T160" s="26"/>
      <c r="U160" s="26"/>
      <c r="V160" s="26"/>
      <c r="W160" s="26"/>
      <c r="X160" s="26"/>
      <c r="Y160" s="26"/>
      <c r="Z160" s="26"/>
      <c r="AA160" s="26"/>
      <c r="AB160" s="26"/>
      <c r="AC160" s="26"/>
    </row>
    <row r="161" spans="1:29" ht="14.25" customHeight="1">
      <c r="A161" s="26"/>
      <c r="B161" s="837" t="s">
        <v>946</v>
      </c>
      <c r="C161" s="1135">
        <f>'Construction Timeline'!E8</f>
        <v>1500000</v>
      </c>
      <c r="D161" s="26"/>
      <c r="E161" s="837"/>
      <c r="F161" s="26"/>
      <c r="G161" s="26"/>
      <c r="H161" s="26"/>
      <c r="I161" s="26"/>
      <c r="J161" s="26"/>
      <c r="K161" s="26"/>
      <c r="L161" s="26"/>
      <c r="M161" s="26"/>
      <c r="N161" s="26"/>
      <c r="O161" s="26"/>
      <c r="P161" s="26"/>
      <c r="Q161" s="26"/>
      <c r="R161" s="26"/>
      <c r="S161" s="26"/>
      <c r="T161" s="26"/>
      <c r="U161" s="26"/>
      <c r="V161" s="26"/>
      <c r="W161" s="26"/>
      <c r="X161" s="26"/>
      <c r="Y161" s="26"/>
      <c r="Z161" s="26"/>
      <c r="AA161" s="26"/>
      <c r="AB161" s="26"/>
      <c r="AC161" s="26"/>
    </row>
    <row r="162" spans="1:29" ht="14.25" customHeight="1">
      <c r="A162" s="26"/>
      <c r="B162" s="837" t="s">
        <v>948</v>
      </c>
      <c r="C162" s="1135">
        <f>'Construction Timeline'!E9</f>
        <v>490000</v>
      </c>
      <c r="D162" s="26"/>
      <c r="E162" s="837"/>
      <c r="F162" s="26"/>
      <c r="G162" s="26"/>
      <c r="H162" s="26"/>
      <c r="I162" s="26"/>
      <c r="J162" s="26"/>
      <c r="K162" s="26"/>
      <c r="L162" s="26"/>
      <c r="M162" s="26"/>
      <c r="N162" s="26"/>
      <c r="O162" s="26"/>
      <c r="P162" s="26"/>
      <c r="Q162" s="26"/>
      <c r="R162" s="26"/>
      <c r="S162" s="26"/>
      <c r="T162" s="26"/>
      <c r="U162" s="26"/>
      <c r="V162" s="26"/>
      <c r="W162" s="26"/>
      <c r="X162" s="26"/>
      <c r="Y162" s="26"/>
      <c r="Z162" s="26"/>
      <c r="AA162" s="26"/>
      <c r="AB162" s="26"/>
      <c r="AC162" s="26"/>
    </row>
    <row r="163" spans="1:29" ht="14.25" customHeight="1">
      <c r="A163" s="26"/>
      <c r="B163" s="837" t="s">
        <v>950</v>
      </c>
      <c r="C163" s="1135">
        <f>'Construction Timeline'!E10</f>
        <v>1900000</v>
      </c>
      <c r="D163" s="26"/>
      <c r="E163" s="837"/>
      <c r="F163" s="26"/>
      <c r="G163" s="26"/>
      <c r="H163" s="26"/>
      <c r="I163" s="26"/>
      <c r="J163" s="26"/>
      <c r="K163" s="26"/>
      <c r="L163" s="26"/>
      <c r="M163" s="26"/>
      <c r="N163" s="26"/>
      <c r="O163" s="26"/>
      <c r="P163" s="26"/>
      <c r="Q163" s="26"/>
      <c r="R163" s="26"/>
      <c r="S163" s="26"/>
      <c r="T163" s="26"/>
      <c r="U163" s="26"/>
      <c r="V163" s="26"/>
      <c r="W163" s="26"/>
      <c r="X163" s="26"/>
      <c r="Y163" s="26"/>
      <c r="Z163" s="26"/>
      <c r="AA163" s="26"/>
      <c r="AB163" s="26"/>
      <c r="AC163" s="26"/>
    </row>
    <row r="164" spans="1:29" ht="14.25" customHeight="1">
      <c r="A164" s="26"/>
      <c r="B164" s="837" t="s">
        <v>952</v>
      </c>
      <c r="C164" s="1135">
        <f>'Construction Timeline'!E11</f>
        <v>5000000</v>
      </c>
      <c r="D164" s="26"/>
      <c r="E164" s="837"/>
      <c r="F164" s="26"/>
      <c r="G164" s="26"/>
      <c r="H164" s="26"/>
      <c r="I164" s="26"/>
      <c r="J164" s="26"/>
      <c r="K164" s="26"/>
      <c r="L164" s="26"/>
      <c r="M164" s="26"/>
      <c r="N164" s="26"/>
      <c r="O164" s="26"/>
      <c r="P164" s="26"/>
      <c r="Q164" s="26"/>
      <c r="R164" s="26"/>
      <c r="S164" s="26"/>
      <c r="T164" s="26"/>
      <c r="U164" s="26"/>
      <c r="V164" s="26"/>
      <c r="W164" s="26"/>
      <c r="X164" s="26"/>
      <c r="Y164" s="26"/>
      <c r="Z164" s="26"/>
      <c r="AA164" s="26"/>
      <c r="AB164" s="26"/>
      <c r="AC164" s="26"/>
    </row>
    <row r="165" spans="1:29" ht="14.25" customHeight="1">
      <c r="A165" s="26"/>
      <c r="B165" s="837" t="s">
        <v>1616</v>
      </c>
      <c r="C165" s="1135">
        <f>'Construction Timeline'!E12</f>
        <v>520000</v>
      </c>
      <c r="D165" s="26"/>
      <c r="E165" s="837"/>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row>
    <row r="166" spans="1:29" ht="14.25" customHeight="1">
      <c r="A166" s="26"/>
      <c r="B166" s="837" t="s">
        <v>1618</v>
      </c>
      <c r="C166" s="1135">
        <f>'Construction Timeline'!E14</f>
        <v>785500</v>
      </c>
      <c r="D166" s="26"/>
      <c r="E166" s="837"/>
      <c r="F166" s="26"/>
      <c r="G166" s="26"/>
      <c r="H166" s="26"/>
      <c r="I166" s="26"/>
      <c r="J166" s="26"/>
      <c r="K166" s="26"/>
      <c r="L166" s="26"/>
      <c r="M166" s="26"/>
      <c r="N166" s="26"/>
      <c r="O166" s="26"/>
      <c r="P166" s="26"/>
      <c r="Q166" s="26"/>
      <c r="R166" s="26"/>
      <c r="S166" s="26"/>
      <c r="T166" s="26"/>
      <c r="U166" s="26"/>
      <c r="V166" s="26"/>
      <c r="W166" s="26"/>
      <c r="X166" s="26"/>
      <c r="Y166" s="26"/>
      <c r="Z166" s="26"/>
      <c r="AA166" s="26"/>
      <c r="AB166" s="26"/>
      <c r="AC166" s="26"/>
    </row>
    <row r="167" spans="1:29" ht="14.25" customHeight="1">
      <c r="A167" s="26"/>
      <c r="B167" s="26" t="s">
        <v>1619</v>
      </c>
      <c r="C167" s="1135">
        <f>'Construction Timeline'!E17</f>
        <v>941025</v>
      </c>
      <c r="D167" s="26"/>
      <c r="E167" s="837"/>
      <c r="F167" s="26"/>
      <c r="G167" s="26"/>
      <c r="H167" s="26"/>
      <c r="I167" s="26"/>
      <c r="J167" s="26"/>
      <c r="K167" s="26"/>
      <c r="L167" s="26"/>
      <c r="M167" s="26"/>
      <c r="N167" s="26"/>
      <c r="O167" s="26"/>
      <c r="P167" s="26"/>
      <c r="Q167" s="26"/>
      <c r="R167" s="26"/>
      <c r="S167" s="26"/>
      <c r="T167" s="26"/>
      <c r="U167" s="26"/>
      <c r="V167" s="26"/>
      <c r="W167" s="26"/>
      <c r="X167" s="26"/>
      <c r="Y167" s="26"/>
      <c r="Z167" s="26"/>
      <c r="AA167" s="26"/>
      <c r="AB167" s="26"/>
      <c r="AC167" s="26"/>
    </row>
    <row r="168" spans="1:29" ht="14.25" customHeight="1">
      <c r="A168" s="26"/>
      <c r="B168" s="1144" t="s">
        <v>156</v>
      </c>
      <c r="C168" s="1145">
        <f>SUM(C159:C167)</f>
        <v>19761525</v>
      </c>
      <c r="D168" s="26"/>
      <c r="E168" s="837"/>
      <c r="F168" s="26"/>
      <c r="G168" s="26"/>
      <c r="H168" s="26"/>
      <c r="I168" s="26"/>
      <c r="J168" s="26"/>
      <c r="K168" s="26"/>
      <c r="L168" s="26"/>
      <c r="M168" s="26"/>
      <c r="N168" s="26"/>
      <c r="O168" s="26"/>
      <c r="P168" s="26"/>
      <c r="Q168" s="26"/>
      <c r="R168" s="26"/>
      <c r="S168" s="26"/>
      <c r="T168" s="26"/>
      <c r="U168" s="26"/>
      <c r="V168" s="26"/>
      <c r="W168" s="26"/>
      <c r="X168" s="26"/>
      <c r="Y168" s="26"/>
      <c r="Z168" s="26"/>
      <c r="AA168" s="26"/>
      <c r="AB168" s="26"/>
      <c r="AC168" s="26"/>
    </row>
    <row r="169" spans="1:29" ht="14.25" customHeight="1">
      <c r="A169" s="26"/>
      <c r="B169" s="26"/>
      <c r="C169" s="26"/>
      <c r="D169" s="26"/>
      <c r="E169" s="837"/>
      <c r="F169" s="26"/>
      <c r="G169" s="26"/>
      <c r="H169" s="26"/>
      <c r="I169" s="26"/>
      <c r="J169" s="26"/>
      <c r="K169" s="26"/>
      <c r="L169" s="26"/>
      <c r="M169" s="26"/>
      <c r="N169" s="26"/>
      <c r="O169" s="26"/>
      <c r="P169" s="26"/>
      <c r="Q169" s="26"/>
      <c r="R169" s="26"/>
      <c r="S169" s="26"/>
      <c r="T169" s="26"/>
      <c r="U169" s="26"/>
      <c r="V169" s="26"/>
      <c r="W169" s="26"/>
      <c r="X169" s="26"/>
      <c r="Y169" s="26"/>
      <c r="Z169" s="26"/>
      <c r="AA169" s="26"/>
      <c r="AB169" s="26"/>
      <c r="AC169" s="26"/>
    </row>
    <row r="170" spans="1:29" ht="14.2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c r="AB170" s="26"/>
      <c r="AC170" s="26"/>
    </row>
    <row r="171" spans="1:29" ht="14.25" customHeight="1">
      <c r="A171" s="26"/>
      <c r="B171" s="1435" t="s">
        <v>2188</v>
      </c>
      <c r="C171" s="1342"/>
      <c r="D171" s="1342"/>
      <c r="E171" s="1342"/>
      <c r="F171" s="1342"/>
      <c r="G171" s="1342"/>
      <c r="H171" s="1342"/>
      <c r="I171" s="1342"/>
      <c r="J171" s="1342"/>
      <c r="K171" s="1342"/>
      <c r="L171" s="1342"/>
      <c r="M171" s="1342"/>
      <c r="N171" s="1303"/>
      <c r="O171" s="26"/>
      <c r="P171" s="26"/>
      <c r="Q171" s="26"/>
      <c r="R171" s="26"/>
      <c r="S171" s="26"/>
      <c r="T171" s="26"/>
      <c r="U171" s="26"/>
      <c r="V171" s="26"/>
      <c r="W171" s="26"/>
      <c r="X171" s="26"/>
      <c r="Y171" s="26"/>
      <c r="Z171" s="26"/>
      <c r="AA171" s="26"/>
      <c r="AB171" s="26"/>
      <c r="AC171" s="26"/>
    </row>
    <row r="172" spans="1:29" ht="14.2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c r="AB172" s="26"/>
      <c r="AC172" s="26"/>
    </row>
    <row r="173" spans="1:29" ht="14.25" customHeight="1">
      <c r="A173" s="26"/>
      <c r="B173" s="1143" t="s">
        <v>113</v>
      </c>
      <c r="C173" s="1143" t="s">
        <v>1758</v>
      </c>
      <c r="D173" s="1143" t="s">
        <v>115</v>
      </c>
      <c r="E173" s="1143" t="s">
        <v>2189</v>
      </c>
      <c r="F173" s="1143" t="s">
        <v>117</v>
      </c>
      <c r="G173" s="26"/>
      <c r="H173" s="26"/>
      <c r="I173" s="26"/>
      <c r="J173" s="26"/>
      <c r="K173" s="26"/>
      <c r="L173" s="26"/>
      <c r="M173" s="26"/>
      <c r="N173" s="26"/>
      <c r="O173" s="26"/>
      <c r="P173" s="26"/>
      <c r="Q173" s="26"/>
      <c r="R173" s="26"/>
      <c r="S173" s="26"/>
      <c r="T173" s="26"/>
      <c r="U173" s="26"/>
      <c r="V173" s="26"/>
      <c r="W173" s="26"/>
      <c r="X173" s="26"/>
      <c r="Y173" s="26"/>
      <c r="Z173" s="26"/>
      <c r="AA173" s="26"/>
      <c r="AB173" s="26"/>
      <c r="AC173" s="26"/>
    </row>
    <row r="174" spans="1:29" ht="14.25" customHeight="1">
      <c r="A174" s="26"/>
      <c r="B174" s="1146" t="str">
        <f>Scenarios!H17</f>
        <v>Base</v>
      </c>
      <c r="C174" s="1147">
        <f>Scenarios!I17</f>
        <v>0</v>
      </c>
      <c r="D174" s="1147">
        <f>Scenarios!J17</f>
        <v>0</v>
      </c>
      <c r="E174" s="1148" t="str">
        <f>Scenarios!K17</f>
        <v>Baseline</v>
      </c>
      <c r="F174" s="1149" t="str">
        <f>Scenarios!L17</f>
        <v>●●○○○</v>
      </c>
      <c r="G174" s="26"/>
      <c r="H174" s="26"/>
      <c r="I174" s="26"/>
      <c r="J174" s="26"/>
      <c r="K174" s="26"/>
      <c r="L174" s="26"/>
      <c r="M174" s="26"/>
      <c r="N174" s="26"/>
      <c r="O174" s="26"/>
      <c r="P174" s="26"/>
      <c r="Q174" s="26"/>
      <c r="R174" s="26"/>
      <c r="S174" s="26"/>
      <c r="T174" s="26"/>
      <c r="U174" s="26"/>
      <c r="V174" s="26"/>
      <c r="W174" s="26"/>
      <c r="X174" s="26"/>
      <c r="Y174" s="26"/>
      <c r="Z174" s="26"/>
      <c r="AA174" s="26"/>
      <c r="AB174" s="26"/>
      <c r="AC174" s="26"/>
    </row>
    <row r="175" spans="1:29" ht="14.25" customHeight="1">
      <c r="A175" s="26"/>
      <c r="B175" s="1146" t="str">
        <f>Scenarios!H18</f>
        <v>Optimistic</v>
      </c>
      <c r="C175" s="1147">
        <f>Scenarios!I18</f>
        <v>0.1</v>
      </c>
      <c r="D175" s="1147">
        <f>Scenarios!J18</f>
        <v>-0.05</v>
      </c>
      <c r="E175" s="1148">
        <f>Scenarios!K18</f>
        <v>2.95</v>
      </c>
      <c r="F175" s="1149" t="str">
        <f>Scenarios!L18</f>
        <v>●○○○○</v>
      </c>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row>
    <row r="176" spans="1:29" ht="14.25" customHeight="1">
      <c r="A176" s="26"/>
      <c r="B176" s="1146" t="str">
        <f>Scenarios!H19</f>
        <v>Pessimistic</v>
      </c>
      <c r="C176" s="1147">
        <f>Scenarios!I19</f>
        <v>-0.15</v>
      </c>
      <c r="D176" s="1147">
        <f>Scenarios!J19</f>
        <v>0.1</v>
      </c>
      <c r="E176" s="1148">
        <f>Scenarios!K19</f>
        <v>-5.08</v>
      </c>
      <c r="F176" s="1149" t="str">
        <f>Scenarios!L19</f>
        <v>●●●●○</v>
      </c>
      <c r="G176" s="26"/>
      <c r="H176" s="26"/>
      <c r="I176" s="26"/>
      <c r="J176" s="26"/>
      <c r="K176" s="26"/>
      <c r="L176" s="26"/>
      <c r="M176" s="26"/>
      <c r="N176" s="26"/>
      <c r="O176" s="26"/>
      <c r="P176" s="26"/>
      <c r="Q176" s="26"/>
      <c r="R176" s="26"/>
      <c r="S176" s="26"/>
      <c r="T176" s="26"/>
      <c r="U176" s="26"/>
      <c r="V176" s="26"/>
      <c r="W176" s="26"/>
      <c r="X176" s="26"/>
      <c r="Y176" s="26"/>
      <c r="Z176" s="26"/>
      <c r="AA176" s="26"/>
      <c r="AB176" s="26"/>
      <c r="AC176" s="26"/>
    </row>
    <row r="177" spans="1:29" ht="14.25" customHeight="1">
      <c r="A177" s="26"/>
      <c r="B177" s="1146" t="str">
        <f>Scenarios!H20</f>
        <v>Delayed +3m</v>
      </c>
      <c r="C177" s="1147">
        <f>Scenarios!I20</f>
        <v>0</v>
      </c>
      <c r="D177" s="1147">
        <f>Scenarios!J20</f>
        <v>0</v>
      </c>
      <c r="E177" s="1148">
        <f>Scenarios!K20</f>
        <v>-1.02</v>
      </c>
      <c r="F177" s="1149" t="str">
        <f>Scenarios!L20</f>
        <v>●●●○○</v>
      </c>
      <c r="G177" s="26"/>
      <c r="H177" s="26"/>
      <c r="I177" s="26"/>
      <c r="J177" s="26"/>
      <c r="K177" s="26"/>
      <c r="L177" s="26"/>
      <c r="M177" s="26"/>
      <c r="N177" s="26"/>
      <c r="O177" s="26"/>
      <c r="P177" s="26"/>
      <c r="Q177" s="26"/>
      <c r="R177" s="26"/>
      <c r="S177" s="26"/>
      <c r="T177" s="26"/>
      <c r="U177" s="26"/>
      <c r="V177" s="26"/>
      <c r="W177" s="26"/>
      <c r="X177" s="26"/>
      <c r="Y177" s="26"/>
      <c r="Z177" s="26"/>
      <c r="AA177" s="26"/>
      <c r="AB177" s="26"/>
      <c r="AC177" s="26"/>
    </row>
    <row r="178" spans="1:29" ht="14.25" customHeight="1">
      <c r="A178" s="26"/>
      <c r="B178" s="1146" t="str">
        <f>Scenarios!H21</f>
        <v>Delayed +6m</v>
      </c>
      <c r="C178" s="1147">
        <f>Scenarios!I21</f>
        <v>0</v>
      </c>
      <c r="D178" s="1147">
        <f>Scenarios!J21</f>
        <v>0</v>
      </c>
      <c r="E178" s="1148">
        <f>Scenarios!K21</f>
        <v>-2.04</v>
      </c>
      <c r="F178" s="1149" t="str">
        <f>Scenarios!L21</f>
        <v>●●●●○</v>
      </c>
      <c r="G178" s="26"/>
      <c r="H178" s="26"/>
      <c r="I178" s="26"/>
      <c r="J178" s="26"/>
      <c r="K178" s="26"/>
      <c r="L178" s="26"/>
      <c r="M178" s="26"/>
      <c r="N178" s="26"/>
      <c r="O178" s="26"/>
      <c r="P178" s="26"/>
      <c r="Q178" s="26"/>
      <c r="R178" s="26"/>
      <c r="S178" s="26"/>
      <c r="T178" s="26"/>
      <c r="U178" s="26"/>
      <c r="V178" s="26"/>
      <c r="W178" s="26"/>
      <c r="X178" s="26"/>
      <c r="Y178" s="26"/>
      <c r="Z178" s="26"/>
      <c r="AA178" s="26"/>
      <c r="AB178" s="26"/>
      <c r="AC178" s="26"/>
    </row>
    <row r="179" spans="1:29" ht="14.25" customHeight="1">
      <c r="A179" s="26"/>
      <c r="B179" s="1146" t="str">
        <f>Scenarios!H22</f>
        <v>Capex +10%</v>
      </c>
      <c r="C179" s="1147">
        <f>Scenarios!I22</f>
        <v>0</v>
      </c>
      <c r="D179" s="1147">
        <f>Scenarios!J22</f>
        <v>0.1</v>
      </c>
      <c r="E179" s="1148">
        <f>Scenarios!K22</f>
        <v>-2.0299999999999998</v>
      </c>
      <c r="F179" s="1149" t="str">
        <f>Scenarios!L22</f>
        <v>●●●○○</v>
      </c>
      <c r="G179" s="26"/>
      <c r="H179" s="26"/>
      <c r="I179" s="26"/>
      <c r="J179" s="26"/>
      <c r="K179" s="26"/>
      <c r="L179" s="26"/>
      <c r="M179" s="26"/>
      <c r="N179" s="26"/>
      <c r="O179" s="26"/>
      <c r="P179" s="26"/>
      <c r="Q179" s="26"/>
      <c r="R179" s="26"/>
      <c r="S179" s="26"/>
      <c r="T179" s="26"/>
      <c r="U179" s="26"/>
      <c r="V179" s="26"/>
      <c r="W179" s="26"/>
      <c r="X179" s="26"/>
      <c r="Y179" s="26"/>
      <c r="Z179" s="26"/>
      <c r="AA179" s="26"/>
      <c r="AB179" s="26"/>
      <c r="AC179" s="26"/>
    </row>
    <row r="180" spans="1:29" ht="14.25" customHeight="1">
      <c r="A180" s="26"/>
      <c r="B180" s="1146" t="str">
        <f>Scenarios!H23</f>
        <v>Capex +20%</v>
      </c>
      <c r="C180" s="1147">
        <f>Scenarios!I23</f>
        <v>0</v>
      </c>
      <c r="D180" s="1147">
        <f>Scenarios!J23</f>
        <v>0.2</v>
      </c>
      <c r="E180" s="1148">
        <f>Scenarios!K23</f>
        <v>-4.05</v>
      </c>
      <c r="F180" s="1149" t="str">
        <f>Scenarios!L23</f>
        <v>●●●●○</v>
      </c>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row>
    <row r="181" spans="1:29" ht="14.25" customHeight="1">
      <c r="A181" s="26"/>
      <c r="B181" s="1146" t="str">
        <f>Scenarios!H24</f>
        <v>Sponsorship Under</v>
      </c>
      <c r="C181" s="1147">
        <f>Scenarios!I24</f>
        <v>-0.1</v>
      </c>
      <c r="D181" s="1147">
        <f>Scenarios!J24</f>
        <v>0</v>
      </c>
      <c r="E181" s="1148">
        <f>Scenarios!K24</f>
        <v>-2.0299999999999998</v>
      </c>
      <c r="F181" s="1149" t="str">
        <f>Scenarios!L24</f>
        <v>●●●○○</v>
      </c>
      <c r="G181" s="26"/>
      <c r="H181" s="26"/>
      <c r="I181" s="26"/>
      <c r="J181" s="26"/>
      <c r="K181" s="26"/>
      <c r="L181" s="26"/>
      <c r="M181" s="26"/>
      <c r="N181" s="26"/>
      <c r="O181" s="26"/>
      <c r="P181" s="26"/>
      <c r="Q181" s="26"/>
      <c r="R181" s="26"/>
      <c r="S181" s="26"/>
      <c r="T181" s="26"/>
      <c r="U181" s="26"/>
      <c r="V181" s="26"/>
      <c r="W181" s="26"/>
      <c r="X181" s="26"/>
      <c r="Y181" s="26"/>
      <c r="Z181" s="26"/>
      <c r="AA181" s="26"/>
      <c r="AB181" s="26"/>
      <c r="AC181" s="26"/>
    </row>
    <row r="182" spans="1:29" ht="14.2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c r="AB182" s="26"/>
      <c r="AC182" s="26"/>
    </row>
    <row r="183" spans="1:29" ht="14.2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c r="AB183" s="26"/>
      <c r="AC183" s="26"/>
    </row>
    <row r="184" spans="1:29" ht="14.2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c r="AB184" s="26"/>
      <c r="AC184" s="26"/>
    </row>
    <row r="185" spans="1:29" ht="14.25" customHeight="1">
      <c r="A185" s="26"/>
      <c r="B185" s="1435" t="s">
        <v>2190</v>
      </c>
      <c r="C185" s="1342"/>
      <c r="D185" s="1342"/>
      <c r="E185" s="1342"/>
      <c r="F185" s="1342"/>
      <c r="G185" s="1342"/>
      <c r="H185" s="1342"/>
      <c r="I185" s="1342"/>
      <c r="J185" s="1342"/>
      <c r="K185" s="1342"/>
      <c r="L185" s="1342"/>
      <c r="M185" s="1342"/>
      <c r="N185" s="1303"/>
      <c r="O185" s="26"/>
      <c r="P185" s="26"/>
      <c r="Q185" s="26"/>
      <c r="R185" s="26"/>
      <c r="S185" s="26"/>
      <c r="T185" s="26"/>
      <c r="U185" s="26"/>
      <c r="V185" s="26"/>
      <c r="W185" s="26"/>
      <c r="X185" s="26"/>
      <c r="Y185" s="26"/>
      <c r="Z185" s="26"/>
      <c r="AA185" s="26"/>
      <c r="AB185" s="26"/>
      <c r="AC185" s="26"/>
    </row>
    <row r="186" spans="1:29" ht="14.2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c r="AB186" s="26"/>
      <c r="AC186" s="26"/>
    </row>
    <row r="187" spans="1:29" ht="14.25" customHeight="1">
      <c r="A187" s="26"/>
      <c r="B187" s="1143" t="s">
        <v>121</v>
      </c>
      <c r="C187" s="1143" t="s">
        <v>212</v>
      </c>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c r="AB187" s="26"/>
      <c r="AC187" s="26"/>
    </row>
    <row r="188" spans="1:29" ht="14.25" customHeight="1">
      <c r="A188" s="26"/>
      <c r="B188" s="26" t="s">
        <v>2191</v>
      </c>
      <c r="C188" s="1150">
        <f>Valuations!C89</f>
        <v>30048862.997447755</v>
      </c>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c r="AB188" s="26"/>
      <c r="AC188" s="26"/>
    </row>
    <row r="189" spans="1:29" ht="14.25" customHeight="1">
      <c r="A189" s="26"/>
      <c r="B189" s="26" t="s">
        <v>125</v>
      </c>
      <c r="C189" s="1150">
        <f>Valuations!C90</f>
        <v>32252743.640486203</v>
      </c>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c r="AC189" s="26"/>
    </row>
    <row r="190" spans="1:29" ht="14.25" customHeight="1">
      <c r="A190" s="26"/>
      <c r="B190" s="188" t="s">
        <v>126</v>
      </c>
      <c r="C190" s="1151">
        <f>Valuations!C91</f>
        <v>62301606.637933955</v>
      </c>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c r="AB190" s="26"/>
      <c r="AC190" s="26"/>
    </row>
    <row r="191" spans="1:29" ht="14.25" customHeight="1">
      <c r="A191" s="26"/>
      <c r="B191" s="26" t="s">
        <v>2192</v>
      </c>
      <c r="C191" s="1150">
        <f>Valuations!C93</f>
        <v>-12675915</v>
      </c>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c r="AB191" s="26"/>
      <c r="AC191" s="26"/>
    </row>
    <row r="192" spans="1:29" ht="14.25" customHeight="1">
      <c r="A192" s="26"/>
      <c r="B192" s="26" t="s">
        <v>128</v>
      </c>
      <c r="C192" s="1150">
        <f>-Valuations!C94</f>
        <v>-452228.39999999851</v>
      </c>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c r="AB192" s="26"/>
      <c r="AC192" s="26"/>
    </row>
    <row r="193" spans="1:29" ht="14.25" customHeight="1">
      <c r="A193" s="26"/>
      <c r="B193" s="355" t="s">
        <v>69</v>
      </c>
      <c r="C193" s="1152">
        <f>Valuations!C98</f>
        <v>50077920.037933953</v>
      </c>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c r="AB193" s="26"/>
      <c r="AC193" s="26"/>
    </row>
    <row r="194" spans="1:29" ht="14.2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c r="AB194" s="26"/>
      <c r="AC194" s="26"/>
    </row>
    <row r="195" spans="1:29" ht="14.2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c r="AB195" s="26"/>
      <c r="AC195" s="26"/>
    </row>
    <row r="196" spans="1:29" ht="14.25" customHeight="1">
      <c r="A196" s="26"/>
      <c r="B196" s="26" t="s">
        <v>130</v>
      </c>
      <c r="C196" s="1149" t="str">
        <f>Valuations!C71</f>
        <v>FY38</v>
      </c>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c r="AC196" s="26"/>
    </row>
    <row r="197" spans="1:29" ht="14.25" customHeight="1">
      <c r="A197" s="26"/>
      <c r="B197" s="26" t="s">
        <v>131</v>
      </c>
      <c r="C197" s="1150">
        <f>Valuations!C72</f>
        <v>13901342.685076447</v>
      </c>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c r="AB197" s="26"/>
      <c r="AC197" s="26"/>
    </row>
    <row r="198" spans="1:29" ht="14.25" customHeight="1">
      <c r="A198" s="26"/>
      <c r="B198" s="26" t="s">
        <v>132</v>
      </c>
      <c r="C198" s="1153">
        <f>Valuations!C73</f>
        <v>7</v>
      </c>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c r="AB198" s="26"/>
      <c r="AC198" s="26"/>
    </row>
    <row r="199" spans="1:29" ht="14.25" customHeight="1">
      <c r="A199" s="26"/>
      <c r="B199" s="26" t="s">
        <v>133</v>
      </c>
      <c r="C199" s="1150">
        <f>Valuations!C74</f>
        <v>97309398.795535132</v>
      </c>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c r="AB199" s="26"/>
      <c r="AC199" s="26"/>
    </row>
    <row r="200" spans="1:29" ht="14.2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C200" s="26"/>
    </row>
    <row r="201" spans="1:29" ht="14.2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c r="AB201" s="26"/>
      <c r="AC201" s="26"/>
    </row>
    <row r="202" spans="1:29" ht="14.2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c r="AC202" s="26"/>
    </row>
    <row r="203" spans="1:29" ht="14.25" customHeight="1">
      <c r="A203" s="26"/>
      <c r="B203" s="117" t="s">
        <v>2193</v>
      </c>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c r="AB203" s="26"/>
      <c r="AC203" s="26"/>
    </row>
    <row r="204" spans="1:29" ht="14.2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row>
    <row r="205" spans="1:29" ht="14.25" customHeight="1">
      <c r="A205" s="26"/>
      <c r="B205" s="1091" t="s">
        <v>113</v>
      </c>
      <c r="C205" s="1091" t="s">
        <v>2194</v>
      </c>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row>
    <row r="206" spans="1:29" ht="14.25" customHeight="1">
      <c r="A206" s="26"/>
      <c r="B206" s="26" t="s">
        <v>1731</v>
      </c>
      <c r="C206" s="1154">
        <f t="shared" ref="C206:C213" si="31">IFERROR(E174+0,0)</f>
        <v>0</v>
      </c>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row>
    <row r="207" spans="1:29" ht="14.25" customHeight="1">
      <c r="A207" s="26"/>
      <c r="B207" s="26" t="s">
        <v>1742</v>
      </c>
      <c r="C207" s="1154">
        <f t="shared" si="31"/>
        <v>2.95</v>
      </c>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c r="AB207" s="26"/>
      <c r="AC207" s="26"/>
    </row>
    <row r="208" spans="1:29" ht="14.25" customHeight="1">
      <c r="A208" s="26"/>
      <c r="B208" s="26" t="s">
        <v>1744</v>
      </c>
      <c r="C208" s="1154">
        <f t="shared" si="31"/>
        <v>-5.08</v>
      </c>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row>
    <row r="209" spans="1:29" ht="14.25" customHeight="1">
      <c r="A209" s="26"/>
      <c r="B209" s="26" t="s">
        <v>1766</v>
      </c>
      <c r="C209" s="1154">
        <f t="shared" si="31"/>
        <v>-1.02</v>
      </c>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c r="AB209" s="26"/>
      <c r="AC209" s="26"/>
    </row>
    <row r="210" spans="1:29" ht="14.25" customHeight="1">
      <c r="A210" s="26"/>
      <c r="B210" s="26" t="s">
        <v>1768</v>
      </c>
      <c r="C210" s="1154">
        <f t="shared" si="31"/>
        <v>-2.04</v>
      </c>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row>
    <row r="211" spans="1:29" ht="14.25" customHeight="1">
      <c r="A211" s="26"/>
      <c r="B211" s="26" t="s">
        <v>1770</v>
      </c>
      <c r="C211" s="1154">
        <f t="shared" si="31"/>
        <v>-2.0299999999999998</v>
      </c>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c r="AB211" s="26"/>
      <c r="AC211" s="26"/>
    </row>
    <row r="212" spans="1:29" ht="14.25" customHeight="1">
      <c r="A212" s="26"/>
      <c r="B212" s="26" t="s">
        <v>1771</v>
      </c>
      <c r="C212" s="1154">
        <f t="shared" si="31"/>
        <v>-4.05</v>
      </c>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row>
    <row r="213" spans="1:29" ht="14.25" customHeight="1">
      <c r="A213" s="26"/>
      <c r="B213" s="26" t="s">
        <v>1773</v>
      </c>
      <c r="C213" s="1154">
        <f t="shared" si="31"/>
        <v>-2.0299999999999998</v>
      </c>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c r="AB213" s="26"/>
      <c r="AC213" s="26"/>
    </row>
    <row r="214" spans="1:29" ht="14.2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row>
    <row r="215" spans="1:29" ht="14.2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c r="AB215" s="26"/>
      <c r="AC215" s="26"/>
    </row>
    <row r="216" spans="1:29" ht="14.25" customHeight="1">
      <c r="A216" s="26"/>
      <c r="B216" s="117" t="s">
        <v>2195</v>
      </c>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c r="AB216" s="26"/>
      <c r="AC216" s="26"/>
    </row>
    <row r="217" spans="1:29" ht="14.2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c r="AB217" s="26"/>
      <c r="AC217" s="26"/>
    </row>
    <row r="218" spans="1:29" ht="14.25" customHeight="1">
      <c r="A218" s="26"/>
      <c r="B218" s="1091" t="s">
        <v>298</v>
      </c>
      <c r="C218" s="1091" t="s">
        <v>1731</v>
      </c>
      <c r="D218" s="1091" t="s">
        <v>2196</v>
      </c>
      <c r="E218" s="1091" t="s">
        <v>2197</v>
      </c>
      <c r="F218" s="1091" t="s">
        <v>770</v>
      </c>
      <c r="G218" s="26"/>
      <c r="H218" s="26"/>
      <c r="I218" s="26"/>
      <c r="J218" s="26"/>
      <c r="K218" s="26"/>
      <c r="L218" s="26"/>
      <c r="M218" s="26"/>
      <c r="N218" s="26"/>
      <c r="O218" s="26"/>
      <c r="P218" s="26"/>
      <c r="Q218" s="26"/>
      <c r="R218" s="26"/>
      <c r="S218" s="26"/>
      <c r="T218" s="26"/>
      <c r="U218" s="26"/>
      <c r="V218" s="26"/>
      <c r="W218" s="26"/>
      <c r="X218" s="26"/>
      <c r="Y218" s="26"/>
      <c r="Z218" s="26"/>
      <c r="AA218" s="26"/>
      <c r="AB218" s="26"/>
      <c r="AC218" s="26"/>
    </row>
    <row r="219" spans="1:29" ht="14.25" customHeight="1">
      <c r="A219" s="26"/>
      <c r="B219" s="188" t="s">
        <v>2198</v>
      </c>
      <c r="C219" s="191">
        <v>0</v>
      </c>
      <c r="D219" s="191">
        <f t="shared" ref="D219:D220" si="32">C188</f>
        <v>30048862.997447755</v>
      </c>
      <c r="E219" s="191">
        <v>0</v>
      </c>
      <c r="F219" s="191">
        <v>0</v>
      </c>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row>
    <row r="220" spans="1:29" ht="14.25" customHeight="1">
      <c r="A220" s="26"/>
      <c r="B220" s="188" t="s">
        <v>2199</v>
      </c>
      <c r="C220" s="191">
        <f>C188</f>
        <v>30048862.997447755</v>
      </c>
      <c r="D220" s="191">
        <f t="shared" si="32"/>
        <v>32252743.640486203</v>
      </c>
      <c r="E220" s="191">
        <v>0</v>
      </c>
      <c r="F220" s="191">
        <v>0</v>
      </c>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row>
    <row r="221" spans="1:29" ht="14.25" customHeight="1">
      <c r="A221" s="26"/>
      <c r="B221" s="188" t="s">
        <v>2200</v>
      </c>
      <c r="C221" s="191">
        <v>0</v>
      </c>
      <c r="D221" s="191">
        <v>0</v>
      </c>
      <c r="E221" s="191">
        <v>0</v>
      </c>
      <c r="F221" s="191">
        <f>C190</f>
        <v>62301606.637933955</v>
      </c>
      <c r="G221" s="26"/>
      <c r="H221" s="26"/>
      <c r="I221" s="26"/>
      <c r="J221" s="26"/>
      <c r="K221" s="26"/>
      <c r="L221" s="26"/>
      <c r="M221" s="26"/>
      <c r="N221" s="26"/>
      <c r="O221" s="26"/>
      <c r="P221" s="26"/>
      <c r="Q221" s="26"/>
      <c r="R221" s="26"/>
      <c r="S221" s="26"/>
      <c r="T221" s="26"/>
      <c r="U221" s="26"/>
      <c r="V221" s="26"/>
      <c r="W221" s="26"/>
      <c r="X221" s="26"/>
      <c r="Y221" s="26"/>
      <c r="Z221" s="26"/>
      <c r="AA221" s="26"/>
      <c r="AB221" s="26"/>
      <c r="AC221" s="26"/>
    </row>
    <row r="222" spans="1:29" ht="14.25" customHeight="1">
      <c r="A222" s="26"/>
      <c r="B222" s="188" t="s">
        <v>2201</v>
      </c>
      <c r="C222" s="191">
        <f>C190+C191</f>
        <v>49625691.637933955</v>
      </c>
      <c r="D222" s="191">
        <v>0</v>
      </c>
      <c r="E222" s="191">
        <f>-C191</f>
        <v>12675915</v>
      </c>
      <c r="F222" s="191">
        <v>0</v>
      </c>
      <c r="G222" s="26"/>
      <c r="H222" s="26"/>
      <c r="I222" s="26"/>
      <c r="J222" s="26"/>
      <c r="K222" s="26"/>
      <c r="L222" s="26"/>
      <c r="M222" s="26"/>
      <c r="N222" s="26"/>
      <c r="O222" s="26"/>
      <c r="P222" s="26"/>
      <c r="Q222" s="26"/>
      <c r="R222" s="26"/>
      <c r="S222" s="26"/>
      <c r="T222" s="26"/>
      <c r="U222" s="26"/>
      <c r="V222" s="26"/>
      <c r="W222" s="26"/>
      <c r="X222" s="26"/>
      <c r="Y222" s="26"/>
      <c r="Z222" s="26"/>
      <c r="AA222" s="26"/>
      <c r="AB222" s="26"/>
      <c r="AC222" s="26"/>
    </row>
    <row r="223" spans="1:29" ht="14.25" customHeight="1">
      <c r="A223" s="26"/>
      <c r="B223" s="188" t="s">
        <v>2202</v>
      </c>
      <c r="C223" s="191">
        <f>C190+C191</f>
        <v>49625691.637933955</v>
      </c>
      <c r="D223" s="191">
        <f>C192</f>
        <v>-452228.39999999851</v>
      </c>
      <c r="E223" s="191">
        <v>0</v>
      </c>
      <c r="F223" s="191">
        <v>0</v>
      </c>
      <c r="G223" s="26"/>
      <c r="H223" s="26"/>
      <c r="I223" s="26"/>
      <c r="J223" s="26"/>
      <c r="K223" s="26"/>
      <c r="L223" s="26"/>
      <c r="M223" s="26"/>
      <c r="N223" s="26"/>
      <c r="O223" s="26"/>
      <c r="P223" s="26"/>
      <c r="Q223" s="26"/>
      <c r="R223" s="26"/>
      <c r="S223" s="26"/>
      <c r="T223" s="26"/>
      <c r="U223" s="26"/>
      <c r="V223" s="26"/>
      <c r="W223" s="26"/>
      <c r="X223" s="26"/>
      <c r="Y223" s="26"/>
      <c r="Z223" s="26"/>
      <c r="AA223" s="26"/>
      <c r="AB223" s="26"/>
      <c r="AC223" s="26"/>
    </row>
    <row r="224" spans="1:29" ht="14.25" customHeight="1">
      <c r="A224" s="26"/>
      <c r="B224" s="188" t="s">
        <v>239</v>
      </c>
      <c r="C224" s="191">
        <v>0</v>
      </c>
      <c r="D224" s="191">
        <v>0</v>
      </c>
      <c r="E224" s="191">
        <v>0</v>
      </c>
      <c r="F224" s="191">
        <f>C193</f>
        <v>50077920.037933953</v>
      </c>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row>
    <row r="225" spans="1:29" ht="14.2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c r="AB225" s="26"/>
      <c r="AC225" s="26"/>
    </row>
    <row r="226" spans="1:29" ht="14.2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c r="AB226" s="26"/>
      <c r="AC226" s="26"/>
    </row>
    <row r="227" spans="1:29" ht="14.25" customHeight="1">
      <c r="A227" s="26"/>
      <c r="B227" s="1436" t="s">
        <v>2203</v>
      </c>
      <c r="C227" s="1342"/>
      <c r="D227" s="1342"/>
      <c r="E227" s="1342"/>
      <c r="F227" s="1342"/>
      <c r="G227" s="1342"/>
      <c r="H227" s="1342"/>
      <c r="I227" s="1342"/>
      <c r="J227" s="1342"/>
      <c r="K227" s="1342"/>
      <c r="L227" s="1342"/>
      <c r="M227" s="1342"/>
      <c r="N227" s="1303"/>
      <c r="O227" s="26"/>
      <c r="P227" s="26"/>
      <c r="Q227" s="26"/>
      <c r="R227" s="26"/>
      <c r="S227" s="26"/>
      <c r="T227" s="26"/>
      <c r="U227" s="26"/>
      <c r="V227" s="26"/>
      <c r="W227" s="26"/>
      <c r="X227" s="26"/>
      <c r="Y227" s="26"/>
      <c r="Z227" s="26"/>
      <c r="AA227" s="26"/>
      <c r="AB227" s="26"/>
      <c r="AC227" s="26"/>
    </row>
    <row r="228" spans="1:29" ht="14.25" customHeight="1">
      <c r="A228" s="26"/>
      <c r="B228" s="1329" t="s">
        <v>2204</v>
      </c>
      <c r="C228" s="1305"/>
      <c r="D228" s="1305"/>
      <c r="E228" s="1305"/>
      <c r="F228" s="1305"/>
      <c r="G228" s="1305"/>
      <c r="H228" s="1305"/>
      <c r="I228" s="1305"/>
      <c r="J228" s="1305"/>
      <c r="K228" s="1305"/>
      <c r="L228" s="1305"/>
      <c r="M228" s="1305"/>
      <c r="N228" s="1305"/>
      <c r="O228" s="26"/>
      <c r="P228" s="26"/>
      <c r="Q228" s="26"/>
      <c r="R228" s="26"/>
      <c r="S228" s="26"/>
      <c r="T228" s="26"/>
      <c r="U228" s="26"/>
      <c r="V228" s="26"/>
      <c r="W228" s="26"/>
      <c r="X228" s="26"/>
      <c r="Y228" s="26"/>
      <c r="Z228" s="26"/>
      <c r="AA228" s="26"/>
      <c r="AB228" s="26"/>
      <c r="AC228" s="26"/>
    </row>
    <row r="229" spans="1:29" ht="14.25" customHeight="1">
      <c r="A229" s="26"/>
      <c r="B229" s="1091" t="s">
        <v>113</v>
      </c>
      <c r="C229" s="1091" t="s">
        <v>2194</v>
      </c>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c r="AB229" s="26"/>
      <c r="AC229" s="26"/>
    </row>
    <row r="230" spans="1:29" ht="14.25" customHeight="1">
      <c r="A230" s="26"/>
      <c r="B230" s="128" t="s">
        <v>211</v>
      </c>
      <c r="C230" s="128" t="s">
        <v>150</v>
      </c>
      <c r="D230" s="128" t="s">
        <v>151</v>
      </c>
      <c r="E230" s="128" t="s">
        <v>152</v>
      </c>
      <c r="F230" s="128" t="s">
        <v>153</v>
      </c>
      <c r="G230" s="128" t="s">
        <v>154</v>
      </c>
      <c r="H230" s="128" t="s">
        <v>155</v>
      </c>
      <c r="I230" s="128" t="s">
        <v>201</v>
      </c>
      <c r="J230" s="128" t="s">
        <v>202</v>
      </c>
      <c r="K230" s="128" t="s">
        <v>203</v>
      </c>
      <c r="L230" s="128" t="s">
        <v>204</v>
      </c>
      <c r="M230" s="128" t="s">
        <v>205</v>
      </c>
      <c r="N230" s="128" t="s">
        <v>206</v>
      </c>
      <c r="O230" s="128" t="s">
        <v>207</v>
      </c>
      <c r="P230" s="128" t="s">
        <v>208</v>
      </c>
      <c r="Q230" s="128" t="s">
        <v>156</v>
      </c>
      <c r="R230" s="26"/>
      <c r="S230" s="26"/>
      <c r="T230" s="26"/>
      <c r="U230" s="26"/>
      <c r="V230" s="26"/>
      <c r="W230" s="26"/>
      <c r="X230" s="26"/>
      <c r="Y230" s="26"/>
      <c r="Z230" s="26"/>
      <c r="AA230" s="26"/>
      <c r="AB230" s="26"/>
      <c r="AC230" s="26"/>
    </row>
    <row r="231" spans="1:29" ht="14.25" customHeight="1">
      <c r="A231" s="26"/>
      <c r="B231" s="129" t="s">
        <v>2205</v>
      </c>
      <c r="C231" s="1155">
        <f>IFERROR(E175+0,0)</f>
        <v>2.95</v>
      </c>
      <c r="D231" s="1156"/>
      <c r="E231" s="1156"/>
      <c r="F231" s="1156"/>
      <c r="G231" s="1156"/>
      <c r="H231" s="1156"/>
      <c r="I231" s="1156"/>
      <c r="J231" s="1156"/>
      <c r="K231" s="1156"/>
      <c r="L231" s="1156"/>
      <c r="M231" s="1156"/>
      <c r="N231" s="1156"/>
      <c r="O231" s="1156"/>
      <c r="P231" s="1156"/>
      <c r="Q231" s="1156"/>
      <c r="R231" s="26"/>
      <c r="S231" s="26"/>
      <c r="T231" s="26"/>
      <c r="U231" s="26"/>
      <c r="V231" s="26"/>
      <c r="W231" s="26"/>
      <c r="X231" s="26"/>
      <c r="Y231" s="26"/>
      <c r="Z231" s="26"/>
      <c r="AA231" s="26"/>
      <c r="AB231" s="26"/>
      <c r="AC231" s="26"/>
    </row>
    <row r="232" spans="1:29" ht="14.25" customHeight="1">
      <c r="A232" s="26"/>
      <c r="B232" s="1157" t="s">
        <v>428</v>
      </c>
      <c r="C232" s="133">
        <f>'Construction Timeline'!D224</f>
        <v>0</v>
      </c>
      <c r="D232" s="133">
        <f>'Construction Timeline'!E224</f>
        <v>0</v>
      </c>
      <c r="E232" s="133">
        <f>'Construction Timeline'!F224</f>
        <v>819000</v>
      </c>
      <c r="F232" s="133">
        <f>'Construction Timeline'!G224</f>
        <v>0</v>
      </c>
      <c r="G232" s="133">
        <f>'Construction Timeline'!H224</f>
        <v>0</v>
      </c>
      <c r="H232" s="133">
        <f>'Construction Timeline'!I224</f>
        <v>0</v>
      </c>
      <c r="I232" s="133">
        <f>'Construction Timeline'!J224</f>
        <v>0</v>
      </c>
      <c r="J232" s="133">
        <f>'Construction Timeline'!K224</f>
        <v>0</v>
      </c>
      <c r="K232" s="133">
        <f>'Construction Timeline'!L224</f>
        <v>0</v>
      </c>
      <c r="L232" s="133">
        <f>'Construction Timeline'!M224</f>
        <v>0</v>
      </c>
      <c r="M232" s="133">
        <f>'Construction Timeline'!N224</f>
        <v>0</v>
      </c>
      <c r="N232" s="133">
        <f>'Construction Timeline'!O224</f>
        <v>0</v>
      </c>
      <c r="O232" s="133">
        <f>'Construction Timeline'!P224</f>
        <v>0</v>
      </c>
      <c r="P232" s="133">
        <f>'Construction Timeline'!Q224</f>
        <v>0</v>
      </c>
      <c r="Q232" s="1158">
        <f t="shared" ref="Q232:Q234" si="33">SUM(C232:M232)</f>
        <v>819000</v>
      </c>
      <c r="R232" s="26"/>
      <c r="S232" s="26"/>
      <c r="T232" s="26"/>
      <c r="U232" s="26"/>
      <c r="V232" s="26"/>
      <c r="W232" s="26"/>
      <c r="X232" s="26"/>
      <c r="Y232" s="26"/>
      <c r="Z232" s="26"/>
      <c r="AA232" s="26"/>
      <c r="AB232" s="26"/>
      <c r="AC232" s="26"/>
    </row>
    <row r="233" spans="1:29" ht="14.25" customHeight="1">
      <c r="A233" s="26"/>
      <c r="B233" s="1157" t="s">
        <v>2206</v>
      </c>
      <c r="C233" s="133">
        <f>'Construction Timeline'!D218</f>
        <v>0</v>
      </c>
      <c r="D233" s="133">
        <f>'Construction Timeline'!E218</f>
        <v>0</v>
      </c>
      <c r="E233" s="133">
        <f>'Construction Timeline'!F218</f>
        <v>19761525</v>
      </c>
      <c r="F233" s="133">
        <f>'Construction Timeline'!G218</f>
        <v>0</v>
      </c>
      <c r="G233" s="133">
        <f>'Construction Timeline'!H218</f>
        <v>0</v>
      </c>
      <c r="H233" s="133">
        <f>'Construction Timeline'!I218</f>
        <v>0</v>
      </c>
      <c r="I233" s="133">
        <f>'Construction Timeline'!J218</f>
        <v>0</v>
      </c>
      <c r="J233" s="133">
        <f>'Construction Timeline'!K218</f>
        <v>0</v>
      </c>
      <c r="K233" s="133">
        <f>'Construction Timeline'!L218</f>
        <v>0</v>
      </c>
      <c r="L233" s="133">
        <f>'Construction Timeline'!M218</f>
        <v>0</v>
      </c>
      <c r="M233" s="133">
        <f>'Construction Timeline'!N218</f>
        <v>0</v>
      </c>
      <c r="N233" s="133">
        <f>'Construction Timeline'!O218</f>
        <v>0</v>
      </c>
      <c r="O233" s="133">
        <f>'Construction Timeline'!P218</f>
        <v>0</v>
      </c>
      <c r="P233" s="133">
        <f>'Construction Timeline'!Q218</f>
        <v>0</v>
      </c>
      <c r="Q233" s="1158">
        <f t="shared" si="33"/>
        <v>19761525</v>
      </c>
      <c r="R233" s="26"/>
      <c r="S233" s="26"/>
      <c r="T233" s="26"/>
      <c r="U233" s="26"/>
      <c r="V233" s="26"/>
      <c r="W233" s="26"/>
      <c r="X233" s="26"/>
      <c r="Y233" s="26"/>
      <c r="Z233" s="26"/>
      <c r="AA233" s="26"/>
      <c r="AB233" s="26"/>
      <c r="AC233" s="26"/>
    </row>
    <row r="234" spans="1:29" ht="14.25" customHeight="1">
      <c r="A234" s="26"/>
      <c r="B234" s="1157" t="s">
        <v>2207</v>
      </c>
      <c r="C234" s="1159">
        <f>'Construction Timeline'!D219</f>
        <v>0</v>
      </c>
      <c r="D234" s="1159">
        <f>'Construction Timeline'!E219</f>
        <v>0</v>
      </c>
      <c r="E234" s="1159">
        <f>'Construction Timeline'!F219</f>
        <v>0</v>
      </c>
      <c r="F234" s="1159">
        <f>'Construction Timeline'!G219</f>
        <v>0</v>
      </c>
      <c r="G234" s="1159">
        <f>'Construction Timeline'!H219</f>
        <v>0</v>
      </c>
      <c r="H234" s="1159">
        <f>'Construction Timeline'!I219</f>
        <v>0</v>
      </c>
      <c r="I234" s="1159">
        <f>'Construction Timeline'!J219</f>
        <v>0</v>
      </c>
      <c r="J234" s="1159">
        <f>'Construction Timeline'!K219</f>
        <v>0</v>
      </c>
      <c r="K234" s="1159">
        <f>'Construction Timeline'!L219</f>
        <v>0</v>
      </c>
      <c r="L234" s="1159">
        <f>'Construction Timeline'!M219</f>
        <v>0</v>
      </c>
      <c r="M234" s="1159">
        <f>'Construction Timeline'!N219</f>
        <v>0</v>
      </c>
      <c r="N234" s="1159">
        <f>'Construction Timeline'!O219</f>
        <v>0</v>
      </c>
      <c r="O234" s="1159">
        <f>'Construction Timeline'!P219</f>
        <v>0</v>
      </c>
      <c r="P234" s="1159">
        <f>'Construction Timeline'!Q219</f>
        <v>0</v>
      </c>
      <c r="Q234" s="1160">
        <f t="shared" si="33"/>
        <v>0</v>
      </c>
      <c r="R234" s="26"/>
      <c r="S234" s="26"/>
      <c r="T234" s="26"/>
      <c r="U234" s="26"/>
      <c r="V234" s="26"/>
      <c r="W234" s="26"/>
      <c r="X234" s="26"/>
      <c r="Y234" s="26"/>
      <c r="Z234" s="26"/>
      <c r="AA234" s="26"/>
      <c r="AB234" s="26"/>
      <c r="AC234" s="26"/>
    </row>
    <row r="235" spans="1:29" ht="14.25" customHeight="1">
      <c r="A235" s="26"/>
      <c r="B235" s="129" t="s">
        <v>157</v>
      </c>
      <c r="C235" s="1161">
        <f t="shared" ref="C235:Q235" si="34">SUM(C232:C234)</f>
        <v>0</v>
      </c>
      <c r="D235" s="1161">
        <f t="shared" si="34"/>
        <v>0</v>
      </c>
      <c r="E235" s="1161">
        <f t="shared" si="34"/>
        <v>20580525</v>
      </c>
      <c r="F235" s="1161">
        <f t="shared" si="34"/>
        <v>0</v>
      </c>
      <c r="G235" s="1161">
        <f t="shared" si="34"/>
        <v>0</v>
      </c>
      <c r="H235" s="1161">
        <f t="shared" si="34"/>
        <v>0</v>
      </c>
      <c r="I235" s="1161">
        <f t="shared" si="34"/>
        <v>0</v>
      </c>
      <c r="J235" s="1161">
        <f t="shared" si="34"/>
        <v>0</v>
      </c>
      <c r="K235" s="1161">
        <f t="shared" si="34"/>
        <v>0</v>
      </c>
      <c r="L235" s="1161">
        <f t="shared" si="34"/>
        <v>0</v>
      </c>
      <c r="M235" s="1161">
        <f t="shared" si="34"/>
        <v>0</v>
      </c>
      <c r="N235" s="1161">
        <f t="shared" si="34"/>
        <v>0</v>
      </c>
      <c r="O235" s="1161">
        <f t="shared" si="34"/>
        <v>0</v>
      </c>
      <c r="P235" s="1161">
        <f t="shared" si="34"/>
        <v>0</v>
      </c>
      <c r="Q235" s="1161">
        <f t="shared" si="34"/>
        <v>20580525</v>
      </c>
      <c r="R235" s="26"/>
      <c r="S235" s="26"/>
      <c r="T235" s="26"/>
      <c r="U235" s="26"/>
      <c r="V235" s="26"/>
      <c r="W235" s="26"/>
      <c r="X235" s="26"/>
      <c r="Y235" s="26"/>
      <c r="Z235" s="26"/>
      <c r="AA235" s="26"/>
      <c r="AB235" s="26"/>
      <c r="AC235" s="26"/>
    </row>
    <row r="236" spans="1:29" ht="14.25" customHeight="1">
      <c r="A236" s="26"/>
      <c r="B236" s="26" t="s">
        <v>1771</v>
      </c>
      <c r="C236" s="224">
        <v>-4.05</v>
      </c>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c r="AB236" s="26"/>
      <c r="AC236" s="26"/>
    </row>
    <row r="237" spans="1:29" ht="14.25" customHeight="1">
      <c r="A237" s="26"/>
      <c r="B237" s="129" t="s">
        <v>2208</v>
      </c>
      <c r="C237" s="1155">
        <v>-2.0299999999999998</v>
      </c>
      <c r="D237" s="1156"/>
      <c r="E237" s="1156"/>
      <c r="F237" s="1156"/>
      <c r="G237" s="1156"/>
      <c r="H237" s="1156"/>
      <c r="I237" s="1156"/>
      <c r="J237" s="1156"/>
      <c r="K237" s="1156"/>
      <c r="L237" s="1156"/>
      <c r="M237" s="1156"/>
      <c r="N237" s="1156"/>
      <c r="O237" s="1156"/>
      <c r="P237" s="1156"/>
      <c r="Q237" s="1156"/>
      <c r="R237" s="26"/>
      <c r="S237" s="26"/>
      <c r="T237" s="26"/>
      <c r="U237" s="26"/>
      <c r="V237" s="26"/>
      <c r="W237" s="26"/>
      <c r="X237" s="26"/>
      <c r="Y237" s="26"/>
      <c r="Z237" s="26"/>
      <c r="AA237" s="26"/>
      <c r="AB237" s="26"/>
      <c r="AC237" s="26"/>
    </row>
    <row r="238" spans="1:29" ht="14.25" customHeight="1">
      <c r="A238" s="26"/>
      <c r="B238" s="1157" t="s">
        <v>342</v>
      </c>
      <c r="C238" s="133">
        <f>Cashflow!D13</f>
        <v>0</v>
      </c>
      <c r="D238" s="133">
        <f>Cashflow!E13</f>
        <v>0</v>
      </c>
      <c r="E238" s="133">
        <f>Cashflow!F13</f>
        <v>1500000</v>
      </c>
      <c r="F238" s="133">
        <f>Cashflow!G13</f>
        <v>0</v>
      </c>
      <c r="G238" s="133">
        <f>Cashflow!H13</f>
        <v>0</v>
      </c>
      <c r="H238" s="133">
        <f>Cashflow!I13</f>
        <v>0</v>
      </c>
      <c r="I238" s="133">
        <f>Cashflow!J13</f>
        <v>0</v>
      </c>
      <c r="J238" s="133">
        <f>Cashflow!K13</f>
        <v>0</v>
      </c>
      <c r="K238" s="133">
        <f>Cashflow!L13</f>
        <v>0</v>
      </c>
      <c r="L238" s="133">
        <f>Cashflow!M13</f>
        <v>0</v>
      </c>
      <c r="M238" s="133">
        <f>Cashflow!N13</f>
        <v>0</v>
      </c>
      <c r="N238" s="133">
        <f>Cashflow!O13</f>
        <v>0</v>
      </c>
      <c r="O238" s="133">
        <f>Cashflow!P13</f>
        <v>0</v>
      </c>
      <c r="P238" s="133">
        <f>Cashflow!Q13</f>
        <v>0</v>
      </c>
      <c r="Q238" s="1158">
        <f t="shared" ref="Q238:Q244" si="35">SUM(C238:M238)</f>
        <v>1500000</v>
      </c>
      <c r="R238" s="26"/>
      <c r="S238" s="26"/>
      <c r="T238" s="26"/>
      <c r="U238" s="26"/>
      <c r="V238" s="26"/>
      <c r="W238" s="26"/>
      <c r="X238" s="26"/>
      <c r="Y238" s="26"/>
      <c r="Z238" s="26"/>
      <c r="AA238" s="26"/>
      <c r="AB238" s="26"/>
      <c r="AC238" s="26"/>
    </row>
    <row r="239" spans="1:29" ht="14.25" customHeight="1">
      <c r="A239" s="26"/>
      <c r="B239" s="1157" t="s">
        <v>2209</v>
      </c>
      <c r="C239" s="133">
        <f>Cashflow!D14</f>
        <v>0</v>
      </c>
      <c r="D239" s="133">
        <f>Cashflow!E14</f>
        <v>0</v>
      </c>
      <c r="E239" s="133">
        <f>Cashflow!F14</f>
        <v>7470383.0899999999</v>
      </c>
      <c r="F239" s="133">
        <f>Cashflow!G14</f>
        <v>0</v>
      </c>
      <c r="G239" s="133">
        <f>Cashflow!H14</f>
        <v>0</v>
      </c>
      <c r="H239" s="133">
        <f>Cashflow!I14</f>
        <v>0</v>
      </c>
      <c r="I239" s="133">
        <f>Cashflow!J14</f>
        <v>0</v>
      </c>
      <c r="J239" s="133">
        <f>Cashflow!K14</f>
        <v>0</v>
      </c>
      <c r="K239" s="133">
        <f>Cashflow!L14</f>
        <v>0</v>
      </c>
      <c r="L239" s="133">
        <f>Cashflow!M14</f>
        <v>0</v>
      </c>
      <c r="M239" s="133">
        <f>Cashflow!N14</f>
        <v>0</v>
      </c>
      <c r="N239" s="133">
        <f>Cashflow!O14</f>
        <v>0</v>
      </c>
      <c r="O239" s="133">
        <f>Cashflow!P14</f>
        <v>0</v>
      </c>
      <c r="P239" s="133">
        <f>Cashflow!Q14</f>
        <v>0</v>
      </c>
      <c r="Q239" s="1158">
        <f t="shared" si="35"/>
        <v>7470383.0899999999</v>
      </c>
      <c r="R239" s="26"/>
      <c r="S239" s="26"/>
      <c r="T239" s="26"/>
      <c r="U239" s="26"/>
      <c r="V239" s="26"/>
      <c r="W239" s="26"/>
      <c r="X239" s="26"/>
      <c r="Y239" s="26"/>
      <c r="Z239" s="26"/>
      <c r="AA239" s="26"/>
      <c r="AB239" s="26"/>
      <c r="AC239" s="26"/>
    </row>
    <row r="240" spans="1:29" ht="14.25" customHeight="1">
      <c r="A240" s="26"/>
      <c r="B240" s="1162" t="s">
        <v>2210</v>
      </c>
      <c r="C240" s="1158">
        <f t="shared" ref="C240:P240" si="36">C238+C239</f>
        <v>0</v>
      </c>
      <c r="D240" s="1158">
        <f t="shared" si="36"/>
        <v>0</v>
      </c>
      <c r="E240" s="1158">
        <f t="shared" si="36"/>
        <v>8970383.0899999999</v>
      </c>
      <c r="F240" s="1158">
        <f t="shared" si="36"/>
        <v>0</v>
      </c>
      <c r="G240" s="1158">
        <f t="shared" si="36"/>
        <v>0</v>
      </c>
      <c r="H240" s="1158">
        <f t="shared" si="36"/>
        <v>0</v>
      </c>
      <c r="I240" s="1158">
        <f t="shared" si="36"/>
        <v>0</v>
      </c>
      <c r="J240" s="1158">
        <f t="shared" si="36"/>
        <v>0</v>
      </c>
      <c r="K240" s="1158">
        <f t="shared" si="36"/>
        <v>0</v>
      </c>
      <c r="L240" s="1158">
        <f t="shared" si="36"/>
        <v>0</v>
      </c>
      <c r="M240" s="1158">
        <f t="shared" si="36"/>
        <v>0</v>
      </c>
      <c r="N240" s="1158">
        <f t="shared" si="36"/>
        <v>0</v>
      </c>
      <c r="O240" s="1158">
        <f t="shared" si="36"/>
        <v>0</v>
      </c>
      <c r="P240" s="1158">
        <f t="shared" si="36"/>
        <v>0</v>
      </c>
      <c r="Q240" s="1158">
        <f t="shared" si="35"/>
        <v>8970383.0899999999</v>
      </c>
      <c r="R240" s="26"/>
      <c r="S240" s="26"/>
      <c r="T240" s="26"/>
      <c r="U240" s="26"/>
      <c r="V240" s="26"/>
      <c r="W240" s="26"/>
      <c r="X240" s="26"/>
      <c r="Y240" s="26"/>
      <c r="Z240" s="26"/>
      <c r="AA240" s="26"/>
      <c r="AB240" s="26"/>
      <c r="AC240" s="26"/>
    </row>
    <row r="241" spans="1:29" ht="14.25" customHeight="1">
      <c r="A241" s="26"/>
      <c r="B241" s="1163" t="s">
        <v>2211</v>
      </c>
      <c r="C241" s="1164">
        <f>Debt!H20</f>
        <v>0</v>
      </c>
      <c r="D241" s="1164">
        <f>Debt!I20</f>
        <v>0</v>
      </c>
      <c r="E241" s="1164">
        <f>Debt!J20-E243</f>
        <v>11856915</v>
      </c>
      <c r="F241" s="1164">
        <f>Debt!K20</f>
        <v>0</v>
      </c>
      <c r="G241" s="1164">
        <f>Debt!L20</f>
        <v>0</v>
      </c>
      <c r="H241" s="1164">
        <f>Debt!M20</f>
        <v>0</v>
      </c>
      <c r="I241" s="1164">
        <f>Debt!N20</f>
        <v>0</v>
      </c>
      <c r="J241" s="1164">
        <f>Debt!O20</f>
        <v>0</v>
      </c>
      <c r="K241" s="1164">
        <f>Debt!P20</f>
        <v>0</v>
      </c>
      <c r="L241" s="1164">
        <f>Debt!Q20</f>
        <v>0</v>
      </c>
      <c r="M241" s="1164">
        <f>Debt!R20</f>
        <v>0</v>
      </c>
      <c r="N241" s="1164">
        <f>Debt!S20</f>
        <v>0</v>
      </c>
      <c r="O241" s="1164">
        <f>Debt!T20</f>
        <v>0</v>
      </c>
      <c r="P241" s="1164">
        <f>Debt!U20</f>
        <v>0</v>
      </c>
      <c r="Q241" s="1165">
        <f t="shared" si="35"/>
        <v>11856915</v>
      </c>
      <c r="R241" s="26"/>
      <c r="S241" s="26"/>
      <c r="T241" s="26"/>
      <c r="U241" s="26"/>
      <c r="V241" s="26"/>
      <c r="W241" s="26"/>
      <c r="X241" s="26"/>
      <c r="Y241" s="26"/>
      <c r="Z241" s="26"/>
      <c r="AA241" s="26"/>
      <c r="AB241" s="26"/>
      <c r="AC241" s="26"/>
    </row>
    <row r="242" spans="1:29" ht="14.25" customHeight="1">
      <c r="A242" s="26"/>
      <c r="B242" s="1166" t="s">
        <v>2212</v>
      </c>
      <c r="C242" s="1167">
        <v>0</v>
      </c>
      <c r="D242" s="1167">
        <v>0</v>
      </c>
      <c r="E242" s="1167">
        <f>Inputs!E96</f>
        <v>850000</v>
      </c>
      <c r="F242" s="1167">
        <v>0</v>
      </c>
      <c r="G242" s="1167">
        <v>0</v>
      </c>
      <c r="H242" s="1167">
        <v>0</v>
      </c>
      <c r="I242" s="1167">
        <v>0</v>
      </c>
      <c r="J242" s="1167">
        <v>0</v>
      </c>
      <c r="K242" s="1167">
        <v>0</v>
      </c>
      <c r="L242" s="1167">
        <v>0</v>
      </c>
      <c r="M242" s="1167">
        <v>0</v>
      </c>
      <c r="N242" s="1167">
        <v>0</v>
      </c>
      <c r="O242" s="1167">
        <v>0</v>
      </c>
      <c r="P242" s="1167">
        <v>0</v>
      </c>
      <c r="Q242" s="1168">
        <f t="shared" si="35"/>
        <v>850000</v>
      </c>
      <c r="R242" s="26"/>
      <c r="S242" s="26"/>
      <c r="T242" s="26"/>
      <c r="U242" s="26"/>
      <c r="V242" s="26"/>
      <c r="W242" s="26"/>
      <c r="X242" s="26"/>
      <c r="Y242" s="26"/>
      <c r="Z242" s="26"/>
      <c r="AA242" s="26"/>
      <c r="AB242" s="26"/>
      <c r="AC242" s="26"/>
    </row>
    <row r="243" spans="1:29" ht="14.25" customHeight="1">
      <c r="A243" s="26"/>
      <c r="B243" s="1166" t="s">
        <v>2213</v>
      </c>
      <c r="C243" s="1167">
        <f>'Construction Timeline'!D224</f>
        <v>0</v>
      </c>
      <c r="D243" s="1167">
        <f>'Construction Timeline'!E224</f>
        <v>0</v>
      </c>
      <c r="E243" s="1167">
        <f>'Construction Timeline'!F224</f>
        <v>819000</v>
      </c>
      <c r="F243" s="1167">
        <f>'Construction Timeline'!G224</f>
        <v>0</v>
      </c>
      <c r="G243" s="1167">
        <f>'Construction Timeline'!H224</f>
        <v>0</v>
      </c>
      <c r="H243" s="1167">
        <f>'Construction Timeline'!I224</f>
        <v>0</v>
      </c>
      <c r="I243" s="1167">
        <f>'Construction Timeline'!J224</f>
        <v>0</v>
      </c>
      <c r="J243" s="1167">
        <f>'Construction Timeline'!K224</f>
        <v>0</v>
      </c>
      <c r="K243" s="1167">
        <f>'Construction Timeline'!L224</f>
        <v>0</v>
      </c>
      <c r="L243" s="1167">
        <f>'Construction Timeline'!M224</f>
        <v>0</v>
      </c>
      <c r="M243" s="1167">
        <f>'Construction Timeline'!N224</f>
        <v>0</v>
      </c>
      <c r="N243" s="1167">
        <f>'Construction Timeline'!O224</f>
        <v>0</v>
      </c>
      <c r="O243" s="1167">
        <f>'Construction Timeline'!P224</f>
        <v>0</v>
      </c>
      <c r="P243" s="1167">
        <f>'Construction Timeline'!Q224</f>
        <v>0</v>
      </c>
      <c r="Q243" s="1168">
        <f t="shared" si="35"/>
        <v>819000</v>
      </c>
      <c r="R243" s="26"/>
      <c r="S243" s="26"/>
      <c r="T243" s="26"/>
      <c r="U243" s="26"/>
      <c r="V243" s="26"/>
      <c r="W243" s="26"/>
      <c r="X243" s="26"/>
      <c r="Y243" s="26"/>
      <c r="Z243" s="26"/>
      <c r="AA243" s="26"/>
      <c r="AB243" s="26"/>
      <c r="AC243" s="26"/>
    </row>
    <row r="244" spans="1:29" ht="14.25" customHeight="1">
      <c r="A244" s="26"/>
      <c r="B244" s="1169" t="s">
        <v>2214</v>
      </c>
      <c r="C244" s="1170">
        <f t="shared" ref="C244:P244" si="37">C240+C241+C242+C243</f>
        <v>0</v>
      </c>
      <c r="D244" s="1170">
        <f t="shared" si="37"/>
        <v>0</v>
      </c>
      <c r="E244" s="1170">
        <f t="shared" si="37"/>
        <v>22496298.09</v>
      </c>
      <c r="F244" s="1170">
        <f t="shared" si="37"/>
        <v>0</v>
      </c>
      <c r="G244" s="1170">
        <f t="shared" si="37"/>
        <v>0</v>
      </c>
      <c r="H244" s="1170">
        <f t="shared" si="37"/>
        <v>0</v>
      </c>
      <c r="I244" s="1170">
        <f t="shared" si="37"/>
        <v>0</v>
      </c>
      <c r="J244" s="1170">
        <f t="shared" si="37"/>
        <v>0</v>
      </c>
      <c r="K244" s="1170">
        <f t="shared" si="37"/>
        <v>0</v>
      </c>
      <c r="L244" s="1170">
        <f t="shared" si="37"/>
        <v>0</v>
      </c>
      <c r="M244" s="1170">
        <f t="shared" si="37"/>
        <v>0</v>
      </c>
      <c r="N244" s="1170">
        <f t="shared" si="37"/>
        <v>0</v>
      </c>
      <c r="O244" s="1170">
        <f t="shared" si="37"/>
        <v>0</v>
      </c>
      <c r="P244" s="1170">
        <f t="shared" si="37"/>
        <v>0</v>
      </c>
      <c r="Q244" s="1170">
        <f t="shared" si="35"/>
        <v>22496298.09</v>
      </c>
      <c r="R244" s="26"/>
      <c r="S244" s="26"/>
      <c r="T244" s="26"/>
      <c r="U244" s="26"/>
      <c r="V244" s="26"/>
      <c r="W244" s="26"/>
      <c r="X244" s="26"/>
      <c r="Y244" s="26"/>
      <c r="Z244" s="26"/>
      <c r="AA244" s="26"/>
      <c r="AB244" s="26"/>
      <c r="AC244" s="26"/>
    </row>
    <row r="245" spans="1:29" ht="14.25" customHeight="1">
      <c r="A245" s="26"/>
      <c r="B245" s="188" t="s">
        <v>2198</v>
      </c>
      <c r="C245" s="224" t="s">
        <v>2215</v>
      </c>
      <c r="D245" s="1171">
        <f t="shared" ref="D245:D246" si="38">C188</f>
        <v>30048862.997447755</v>
      </c>
      <c r="E245" s="224" t="s">
        <v>2215</v>
      </c>
      <c r="F245" s="224" t="s">
        <v>2215</v>
      </c>
      <c r="G245" s="26"/>
      <c r="H245" s="26"/>
      <c r="I245" s="26"/>
      <c r="J245" s="26"/>
      <c r="K245" s="26"/>
      <c r="L245" s="26"/>
      <c r="M245" s="26"/>
      <c r="N245" s="26"/>
      <c r="O245" s="26"/>
      <c r="P245" s="26"/>
      <c r="Q245" s="26"/>
      <c r="R245" s="26"/>
      <c r="S245" s="26"/>
      <c r="T245" s="26"/>
      <c r="U245" s="26"/>
      <c r="V245" s="26"/>
      <c r="W245" s="26"/>
      <c r="X245" s="26"/>
      <c r="Y245" s="26"/>
      <c r="Z245" s="26"/>
      <c r="AA245" s="26"/>
      <c r="AB245" s="26"/>
      <c r="AC245" s="26"/>
    </row>
    <row r="246" spans="1:29" ht="14.25" customHeight="1">
      <c r="A246" s="26"/>
      <c r="B246" s="129" t="s">
        <v>2216</v>
      </c>
      <c r="C246" s="1172">
        <f>C188</f>
        <v>30048862.997447755</v>
      </c>
      <c r="D246" s="1172">
        <f t="shared" si="38"/>
        <v>32252743.640486203</v>
      </c>
      <c r="E246" s="1155" t="s">
        <v>2215</v>
      </c>
      <c r="F246" s="1155" t="s">
        <v>2215</v>
      </c>
      <c r="G246" s="1156"/>
      <c r="H246" s="1156"/>
      <c r="I246" s="1156"/>
      <c r="J246" s="1156"/>
      <c r="K246" s="1156"/>
      <c r="L246" s="1156"/>
      <c r="M246" s="1156"/>
      <c r="N246" s="1156"/>
      <c r="O246" s="1156"/>
      <c r="P246" s="1156"/>
      <c r="Q246" s="1156"/>
      <c r="R246" s="26"/>
      <c r="S246" s="26"/>
      <c r="T246" s="26"/>
      <c r="U246" s="26"/>
      <c r="V246" s="26"/>
      <c r="W246" s="26"/>
      <c r="X246" s="26"/>
      <c r="Y246" s="26"/>
      <c r="Z246" s="26"/>
      <c r="AA246" s="26"/>
      <c r="AB246" s="26"/>
      <c r="AC246" s="26"/>
    </row>
    <row r="247" spans="1:29" ht="14.25" customHeight="1">
      <c r="A247" s="26"/>
      <c r="B247" s="132" t="s">
        <v>2217</v>
      </c>
      <c r="C247" s="1158">
        <f t="shared" ref="C247:C248" si="39">C240</f>
        <v>0</v>
      </c>
      <c r="D247" s="1158">
        <f t="shared" ref="D247:P247" si="40">D240+C247</f>
        <v>0</v>
      </c>
      <c r="E247" s="1158">
        <f t="shared" si="40"/>
        <v>8970383.0899999999</v>
      </c>
      <c r="F247" s="1158">
        <f t="shared" si="40"/>
        <v>8970383.0899999999</v>
      </c>
      <c r="G247" s="1158">
        <f t="shared" si="40"/>
        <v>8970383.0899999999</v>
      </c>
      <c r="H247" s="1158">
        <f t="shared" si="40"/>
        <v>8970383.0899999999</v>
      </c>
      <c r="I247" s="1158">
        <f t="shared" si="40"/>
        <v>8970383.0899999999</v>
      </c>
      <c r="J247" s="1158">
        <f t="shared" si="40"/>
        <v>8970383.0899999999</v>
      </c>
      <c r="K247" s="1158">
        <f t="shared" si="40"/>
        <v>8970383.0899999999</v>
      </c>
      <c r="L247" s="1158">
        <f t="shared" si="40"/>
        <v>8970383.0899999999</v>
      </c>
      <c r="M247" s="1158">
        <f t="shared" si="40"/>
        <v>8970383.0899999999</v>
      </c>
      <c r="N247" s="1158">
        <f t="shared" si="40"/>
        <v>8970383.0899999999</v>
      </c>
      <c r="O247" s="1158">
        <f t="shared" si="40"/>
        <v>8970383.0899999999</v>
      </c>
      <c r="P247" s="1158">
        <f t="shared" si="40"/>
        <v>8970383.0899999999</v>
      </c>
      <c r="Q247" s="1158">
        <f t="shared" ref="Q247:Q248" si="41">P247</f>
        <v>8970383.0899999999</v>
      </c>
      <c r="R247" s="26"/>
      <c r="S247" s="26"/>
      <c r="T247" s="26"/>
      <c r="U247" s="26"/>
      <c r="V247" s="26"/>
      <c r="W247" s="26"/>
      <c r="X247" s="26"/>
      <c r="Y247" s="26"/>
      <c r="Z247" s="26"/>
      <c r="AA247" s="26"/>
      <c r="AB247" s="26"/>
      <c r="AC247" s="26"/>
    </row>
    <row r="248" spans="1:29" ht="14.25" customHeight="1">
      <c r="A248" s="26"/>
      <c r="B248" s="132" t="s">
        <v>2218</v>
      </c>
      <c r="C248" s="1158">
        <f t="shared" si="39"/>
        <v>0</v>
      </c>
      <c r="D248" s="1158">
        <f t="shared" ref="D248:P248" si="42">D241+C248</f>
        <v>0</v>
      </c>
      <c r="E248" s="1158">
        <f t="shared" si="42"/>
        <v>11856915</v>
      </c>
      <c r="F248" s="1158">
        <f t="shared" si="42"/>
        <v>11856915</v>
      </c>
      <c r="G248" s="1158">
        <f t="shared" si="42"/>
        <v>11856915</v>
      </c>
      <c r="H248" s="1158">
        <f t="shared" si="42"/>
        <v>11856915</v>
      </c>
      <c r="I248" s="1158">
        <f t="shared" si="42"/>
        <v>11856915</v>
      </c>
      <c r="J248" s="1158">
        <f t="shared" si="42"/>
        <v>11856915</v>
      </c>
      <c r="K248" s="1158">
        <f t="shared" si="42"/>
        <v>11856915</v>
      </c>
      <c r="L248" s="1158">
        <f t="shared" si="42"/>
        <v>11856915</v>
      </c>
      <c r="M248" s="1158">
        <f t="shared" si="42"/>
        <v>11856915</v>
      </c>
      <c r="N248" s="1158">
        <f t="shared" si="42"/>
        <v>11856915</v>
      </c>
      <c r="O248" s="1158">
        <f t="shared" si="42"/>
        <v>11856915</v>
      </c>
      <c r="P248" s="1158">
        <f t="shared" si="42"/>
        <v>11856915</v>
      </c>
      <c r="Q248" s="1158">
        <f t="shared" si="41"/>
        <v>11856915</v>
      </c>
      <c r="R248" s="26"/>
      <c r="S248" s="26"/>
      <c r="T248" s="26"/>
      <c r="U248" s="26"/>
      <c r="V248" s="26"/>
      <c r="W248" s="26"/>
      <c r="X248" s="26"/>
      <c r="Y248" s="26"/>
      <c r="Z248" s="26"/>
      <c r="AA248" s="26"/>
      <c r="AB248" s="26"/>
      <c r="AC248" s="26"/>
    </row>
    <row r="249" spans="1:29" ht="14.25" customHeight="1">
      <c r="A249" s="26"/>
      <c r="B249" s="129" t="s">
        <v>2219</v>
      </c>
      <c r="C249" s="1161">
        <f t="shared" ref="C249:P249" si="43">C247+C248+SUM($C$242:C242)+SUM($C$243:C243)</f>
        <v>0</v>
      </c>
      <c r="D249" s="1161">
        <f t="shared" si="43"/>
        <v>0</v>
      </c>
      <c r="E249" s="1161">
        <f t="shared" si="43"/>
        <v>22496298.09</v>
      </c>
      <c r="F249" s="1161">
        <f t="shared" si="43"/>
        <v>22496298.09</v>
      </c>
      <c r="G249" s="1161">
        <f t="shared" si="43"/>
        <v>22496298.09</v>
      </c>
      <c r="H249" s="1161">
        <f t="shared" si="43"/>
        <v>22496298.09</v>
      </c>
      <c r="I249" s="1161">
        <f t="shared" si="43"/>
        <v>22496298.09</v>
      </c>
      <c r="J249" s="1161">
        <f t="shared" si="43"/>
        <v>22496298.09</v>
      </c>
      <c r="K249" s="1161">
        <f t="shared" si="43"/>
        <v>22496298.09</v>
      </c>
      <c r="L249" s="1161">
        <f t="shared" si="43"/>
        <v>22496298.09</v>
      </c>
      <c r="M249" s="1161">
        <f t="shared" si="43"/>
        <v>22496298.09</v>
      </c>
      <c r="N249" s="1161">
        <f t="shared" si="43"/>
        <v>22496298.09</v>
      </c>
      <c r="O249" s="1161">
        <f t="shared" si="43"/>
        <v>22496298.09</v>
      </c>
      <c r="P249" s="1161">
        <f t="shared" si="43"/>
        <v>22496298.09</v>
      </c>
      <c r="Q249" s="1161">
        <f>Q247+Q248+Q242+Q243</f>
        <v>22496298.09</v>
      </c>
      <c r="R249" s="26"/>
      <c r="S249" s="26"/>
      <c r="T249" s="26"/>
      <c r="U249" s="26"/>
      <c r="V249" s="26"/>
      <c r="W249" s="26"/>
      <c r="X249" s="26"/>
      <c r="Y249" s="26"/>
      <c r="Z249" s="26"/>
      <c r="AA249" s="26"/>
      <c r="AB249" s="26"/>
      <c r="AC249" s="26"/>
    </row>
    <row r="250" spans="1:29" ht="14.25" customHeight="1">
      <c r="A250" s="26"/>
      <c r="B250" s="1157" t="s">
        <v>2220</v>
      </c>
      <c r="C250" s="1173">
        <f>C235</f>
        <v>0</v>
      </c>
      <c r="D250" s="1173">
        <f t="shared" ref="D250:P250" si="44">C250+D235</f>
        <v>0</v>
      </c>
      <c r="E250" s="1173">
        <f t="shared" si="44"/>
        <v>20580525</v>
      </c>
      <c r="F250" s="1173">
        <f t="shared" si="44"/>
        <v>20580525</v>
      </c>
      <c r="G250" s="1173">
        <f t="shared" si="44"/>
        <v>20580525</v>
      </c>
      <c r="H250" s="1173">
        <f t="shared" si="44"/>
        <v>20580525</v>
      </c>
      <c r="I250" s="1173">
        <f t="shared" si="44"/>
        <v>20580525</v>
      </c>
      <c r="J250" s="1173">
        <f t="shared" si="44"/>
        <v>20580525</v>
      </c>
      <c r="K250" s="1173">
        <f t="shared" si="44"/>
        <v>20580525</v>
      </c>
      <c r="L250" s="1173">
        <f t="shared" si="44"/>
        <v>20580525</v>
      </c>
      <c r="M250" s="1173">
        <f t="shared" si="44"/>
        <v>20580525</v>
      </c>
      <c r="N250" s="1173">
        <f t="shared" si="44"/>
        <v>20580525</v>
      </c>
      <c r="O250" s="1173">
        <f t="shared" si="44"/>
        <v>20580525</v>
      </c>
      <c r="P250" s="1173">
        <f t="shared" si="44"/>
        <v>20580525</v>
      </c>
      <c r="Q250" s="1173">
        <f>M250</f>
        <v>20580525</v>
      </c>
      <c r="R250" s="26"/>
      <c r="S250" s="26"/>
      <c r="T250" s="26"/>
      <c r="U250" s="26"/>
      <c r="V250" s="26"/>
      <c r="W250" s="26"/>
      <c r="X250" s="26"/>
      <c r="Y250" s="26"/>
      <c r="Z250" s="26"/>
      <c r="AA250" s="26"/>
      <c r="AB250" s="26"/>
      <c r="AC250" s="26"/>
    </row>
    <row r="251" spans="1:29" ht="14.25" customHeight="1">
      <c r="A251" s="26"/>
      <c r="B251" s="132" t="s">
        <v>2221</v>
      </c>
      <c r="C251" s="1174">
        <f t="shared" ref="C251:Q251" si="45">C249-C250</f>
        <v>0</v>
      </c>
      <c r="D251" s="1174">
        <f t="shared" si="45"/>
        <v>0</v>
      </c>
      <c r="E251" s="1174">
        <f t="shared" si="45"/>
        <v>1915773.0899999999</v>
      </c>
      <c r="F251" s="1174">
        <f t="shared" si="45"/>
        <v>1915773.0899999999</v>
      </c>
      <c r="G251" s="1174">
        <f t="shared" si="45"/>
        <v>1915773.0899999999</v>
      </c>
      <c r="H251" s="1174">
        <f t="shared" si="45"/>
        <v>1915773.0899999999</v>
      </c>
      <c r="I251" s="1174">
        <f t="shared" si="45"/>
        <v>1915773.0899999999</v>
      </c>
      <c r="J251" s="1174">
        <f t="shared" si="45"/>
        <v>1915773.0899999999</v>
      </c>
      <c r="K251" s="1174">
        <f t="shared" si="45"/>
        <v>1915773.0899999999</v>
      </c>
      <c r="L251" s="1174">
        <f t="shared" si="45"/>
        <v>1915773.0899999999</v>
      </c>
      <c r="M251" s="1174">
        <f t="shared" si="45"/>
        <v>1915773.0899999999</v>
      </c>
      <c r="N251" s="1174">
        <f t="shared" si="45"/>
        <v>1915773.0899999999</v>
      </c>
      <c r="O251" s="1174">
        <f t="shared" si="45"/>
        <v>1915773.0899999999</v>
      </c>
      <c r="P251" s="1174">
        <f t="shared" si="45"/>
        <v>1915773.0899999999</v>
      </c>
      <c r="Q251" s="1174">
        <f t="shared" si="45"/>
        <v>1915773.0899999999</v>
      </c>
      <c r="R251" s="26"/>
      <c r="S251" s="26"/>
      <c r="T251" s="26"/>
      <c r="U251" s="26"/>
      <c r="V251" s="26"/>
      <c r="W251" s="26"/>
      <c r="X251" s="26"/>
      <c r="Y251" s="26"/>
      <c r="Z251" s="26"/>
      <c r="AA251" s="26"/>
      <c r="AB251" s="26"/>
      <c r="AC251" s="26"/>
    </row>
    <row r="252" spans="1:29" ht="14.2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c r="AB252" s="26"/>
      <c r="AC252" s="26"/>
    </row>
    <row r="253" spans="1:29" ht="14.25" customHeight="1">
      <c r="A253" s="26"/>
      <c r="B253" s="129" t="s">
        <v>2222</v>
      </c>
      <c r="C253" s="1156"/>
      <c r="D253" s="1156"/>
      <c r="E253" s="1156"/>
      <c r="F253" s="1156"/>
      <c r="G253" s="1156"/>
      <c r="H253" s="1156"/>
      <c r="I253" s="1156"/>
      <c r="J253" s="1156"/>
      <c r="K253" s="1156"/>
      <c r="L253" s="1156"/>
      <c r="M253" s="1156"/>
      <c r="N253" s="1156"/>
      <c r="O253" s="1156"/>
      <c r="P253" s="1156"/>
      <c r="Q253" s="1156"/>
      <c r="R253" s="26"/>
      <c r="S253" s="26"/>
      <c r="T253" s="26"/>
      <c r="U253" s="26"/>
      <c r="V253" s="26"/>
      <c r="W253" s="26"/>
      <c r="X253" s="26"/>
      <c r="Y253" s="26"/>
      <c r="Z253" s="26"/>
      <c r="AA253" s="26"/>
      <c r="AB253" s="26"/>
      <c r="AC253" s="26"/>
    </row>
    <row r="254" spans="1:29" ht="14.25" customHeight="1">
      <c r="A254" s="26"/>
      <c r="B254" s="1157" t="s">
        <v>2223</v>
      </c>
      <c r="C254" s="1175">
        <f t="shared" ref="C254:Q254" si="46">IFERROR(C247/C249,0)</f>
        <v>0</v>
      </c>
      <c r="D254" s="1175">
        <f t="shared" si="46"/>
        <v>0</v>
      </c>
      <c r="E254" s="1175">
        <f t="shared" si="46"/>
        <v>0.398749298845195</v>
      </c>
      <c r="F254" s="1175">
        <f t="shared" si="46"/>
        <v>0.398749298845195</v>
      </c>
      <c r="G254" s="1175">
        <f t="shared" si="46"/>
        <v>0.398749298845195</v>
      </c>
      <c r="H254" s="1175">
        <f t="shared" si="46"/>
        <v>0.398749298845195</v>
      </c>
      <c r="I254" s="1175">
        <f t="shared" si="46"/>
        <v>0.398749298845195</v>
      </c>
      <c r="J254" s="1175">
        <f t="shared" si="46"/>
        <v>0.398749298845195</v>
      </c>
      <c r="K254" s="1175">
        <f t="shared" si="46"/>
        <v>0.398749298845195</v>
      </c>
      <c r="L254" s="1175">
        <f t="shared" si="46"/>
        <v>0.398749298845195</v>
      </c>
      <c r="M254" s="1175">
        <f t="shared" si="46"/>
        <v>0.398749298845195</v>
      </c>
      <c r="N254" s="1175">
        <f t="shared" si="46"/>
        <v>0.398749298845195</v>
      </c>
      <c r="O254" s="1175">
        <f t="shared" si="46"/>
        <v>0.398749298845195</v>
      </c>
      <c r="P254" s="1175">
        <f t="shared" si="46"/>
        <v>0.398749298845195</v>
      </c>
      <c r="Q254" s="1175">
        <f t="shared" si="46"/>
        <v>0.398749298845195</v>
      </c>
      <c r="R254" s="26"/>
      <c r="S254" s="26"/>
      <c r="T254" s="26"/>
      <c r="U254" s="26"/>
      <c r="V254" s="26"/>
      <c r="W254" s="26"/>
      <c r="X254" s="26"/>
      <c r="Y254" s="26"/>
      <c r="Z254" s="26"/>
      <c r="AA254" s="26"/>
      <c r="AB254" s="26"/>
      <c r="AC254" s="26"/>
    </row>
    <row r="255" spans="1:29" ht="14.25" customHeight="1">
      <c r="A255" s="26"/>
      <c r="B255" s="1157" t="s">
        <v>2224</v>
      </c>
      <c r="C255" s="1175">
        <f t="shared" ref="C255:Q255" si="47">IFERROR(C248/C249,0)</f>
        <v>0</v>
      </c>
      <c r="D255" s="1175">
        <f t="shared" si="47"/>
        <v>0</v>
      </c>
      <c r="E255" s="1175">
        <f t="shared" si="47"/>
        <v>0.52706071694838574</v>
      </c>
      <c r="F255" s="1175">
        <f t="shared" si="47"/>
        <v>0.52706071694838574</v>
      </c>
      <c r="G255" s="1175">
        <f t="shared" si="47"/>
        <v>0.52706071694838574</v>
      </c>
      <c r="H255" s="1175">
        <f t="shared" si="47"/>
        <v>0.52706071694838574</v>
      </c>
      <c r="I255" s="1175">
        <f t="shared" si="47"/>
        <v>0.52706071694838574</v>
      </c>
      <c r="J255" s="1175">
        <f t="shared" si="47"/>
        <v>0.52706071694838574</v>
      </c>
      <c r="K255" s="1175">
        <f t="shared" si="47"/>
        <v>0.52706071694838574</v>
      </c>
      <c r="L255" s="1175">
        <f t="shared" si="47"/>
        <v>0.52706071694838574</v>
      </c>
      <c r="M255" s="1175">
        <f t="shared" si="47"/>
        <v>0.52706071694838574</v>
      </c>
      <c r="N255" s="1175">
        <f t="shared" si="47"/>
        <v>0.52706071694838574</v>
      </c>
      <c r="O255" s="1175">
        <f t="shared" si="47"/>
        <v>0.52706071694838574</v>
      </c>
      <c r="P255" s="1175">
        <f t="shared" si="47"/>
        <v>0.52706071694838574</v>
      </c>
      <c r="Q255" s="1175">
        <f t="shared" si="47"/>
        <v>0.52706071694838574</v>
      </c>
      <c r="R255" s="26"/>
      <c r="S255" s="26"/>
      <c r="T255" s="26"/>
      <c r="U255" s="26"/>
      <c r="V255" s="26"/>
      <c r="W255" s="26"/>
      <c r="X255" s="26"/>
      <c r="Y255" s="26"/>
      <c r="Z255" s="26"/>
      <c r="AA255" s="26"/>
      <c r="AB255" s="26"/>
      <c r="AC255" s="26"/>
    </row>
    <row r="256" spans="1:29" ht="14.2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c r="AB256" s="26"/>
      <c r="AC256" s="26"/>
    </row>
    <row r="257" spans="1:29" ht="14.25" customHeight="1">
      <c r="A257" s="26"/>
      <c r="B257" s="129" t="s">
        <v>2225</v>
      </c>
      <c r="C257" s="1156"/>
      <c r="D257" s="1156"/>
      <c r="E257" s="1156"/>
      <c r="F257" s="1156"/>
      <c r="G257" s="1156"/>
      <c r="H257" s="1156"/>
      <c r="I257" s="1156"/>
      <c r="J257" s="1156"/>
      <c r="K257" s="1156"/>
      <c r="L257" s="1156"/>
      <c r="M257" s="1156"/>
      <c r="N257" s="1156"/>
      <c r="O257" s="26"/>
      <c r="P257" s="26"/>
      <c r="Q257" s="26"/>
      <c r="R257" s="26"/>
      <c r="S257" s="26"/>
      <c r="T257" s="26"/>
      <c r="U257" s="26"/>
      <c r="V257" s="26"/>
      <c r="W257" s="26"/>
      <c r="X257" s="26"/>
      <c r="Y257" s="26"/>
      <c r="Z257" s="26"/>
      <c r="AA257" s="26"/>
      <c r="AB257" s="26"/>
      <c r="AC257" s="26"/>
    </row>
    <row r="258" spans="1:29" ht="14.25" customHeight="1">
      <c r="A258" s="26"/>
      <c r="B258" s="128" t="s">
        <v>192</v>
      </c>
      <c r="C258" s="1437" t="s">
        <v>277</v>
      </c>
      <c r="D258" s="1438"/>
      <c r="E258" s="1439"/>
      <c r="F258" s="1437" t="s">
        <v>2226</v>
      </c>
      <c r="G258" s="1439"/>
      <c r="H258" s="1437" t="s">
        <v>2227</v>
      </c>
      <c r="I258" s="1439"/>
      <c r="J258" s="1437" t="s">
        <v>2228</v>
      </c>
      <c r="K258" s="1438"/>
      <c r="L258" s="1438"/>
      <c r="M258" s="1438"/>
      <c r="N258" s="1439"/>
      <c r="O258" s="26"/>
      <c r="P258" s="26"/>
      <c r="Q258" s="26"/>
      <c r="R258" s="26"/>
      <c r="S258" s="26"/>
      <c r="T258" s="26"/>
      <c r="U258" s="26"/>
      <c r="V258" s="26"/>
      <c r="W258" s="26"/>
      <c r="X258" s="26"/>
      <c r="Y258" s="26"/>
      <c r="Z258" s="26"/>
      <c r="AA258" s="26"/>
      <c r="AB258" s="26"/>
      <c r="AC258" s="26"/>
    </row>
    <row r="259" spans="1:29" ht="14.25" customHeight="1">
      <c r="A259" s="26"/>
      <c r="B259" s="1176" t="s">
        <v>151</v>
      </c>
      <c r="C259" s="1441" t="s">
        <v>2229</v>
      </c>
      <c r="D259" s="1438"/>
      <c r="E259" s="1439"/>
      <c r="F259" s="1440">
        <f>D240</f>
        <v>0</v>
      </c>
      <c r="G259" s="1439"/>
      <c r="H259" s="1440">
        <f>D241</f>
        <v>0</v>
      </c>
      <c r="I259" s="1439"/>
      <c r="J259" s="1441" t="s">
        <v>2230</v>
      </c>
      <c r="K259" s="1438"/>
      <c r="L259" s="1438"/>
      <c r="M259" s="1438"/>
      <c r="N259" s="1439"/>
      <c r="O259" s="26"/>
      <c r="P259" s="26"/>
      <c r="Q259" s="26"/>
      <c r="R259" s="26"/>
      <c r="S259" s="26"/>
      <c r="T259" s="26"/>
      <c r="U259" s="26"/>
      <c r="V259" s="26"/>
      <c r="W259" s="26"/>
      <c r="X259" s="26"/>
      <c r="Y259" s="26"/>
      <c r="Z259" s="26"/>
      <c r="AA259" s="26"/>
      <c r="AB259" s="26"/>
      <c r="AC259" s="26"/>
    </row>
    <row r="260" spans="1:29" ht="14.25" customHeight="1">
      <c r="A260" s="26"/>
      <c r="B260" s="1176" t="s">
        <v>152</v>
      </c>
      <c r="C260" s="1441" t="s">
        <v>2231</v>
      </c>
      <c r="D260" s="1438"/>
      <c r="E260" s="1439"/>
      <c r="F260" s="1440">
        <f>E240</f>
        <v>8970383.0899999999</v>
      </c>
      <c r="G260" s="1439"/>
      <c r="H260" s="1440">
        <f>E241</f>
        <v>11856915</v>
      </c>
      <c r="I260" s="1439"/>
      <c r="J260" s="1441" t="s">
        <v>2232</v>
      </c>
      <c r="K260" s="1438"/>
      <c r="L260" s="1438"/>
      <c r="M260" s="1438"/>
      <c r="N260" s="1439"/>
      <c r="O260" s="26"/>
      <c r="P260" s="26"/>
      <c r="Q260" s="26"/>
      <c r="R260" s="26"/>
      <c r="S260" s="26"/>
      <c r="T260" s="26"/>
      <c r="U260" s="26"/>
      <c r="V260" s="26"/>
      <c r="W260" s="26"/>
      <c r="X260" s="26"/>
      <c r="Y260" s="26"/>
      <c r="Z260" s="26"/>
      <c r="AA260" s="26"/>
      <c r="AB260" s="26"/>
      <c r="AC260" s="26"/>
    </row>
    <row r="261" spans="1:29" ht="14.25" customHeight="1">
      <c r="A261" s="26"/>
      <c r="B261" s="1176" t="s">
        <v>153</v>
      </c>
      <c r="C261" s="1441" t="s">
        <v>2233</v>
      </c>
      <c r="D261" s="1438"/>
      <c r="E261" s="1439"/>
      <c r="F261" s="1440">
        <f>F240</f>
        <v>0</v>
      </c>
      <c r="G261" s="1439"/>
      <c r="H261" s="1440">
        <f>F241</f>
        <v>0</v>
      </c>
      <c r="I261" s="1439"/>
      <c r="J261" s="1441" t="s">
        <v>2234</v>
      </c>
      <c r="K261" s="1438"/>
      <c r="L261" s="1438"/>
      <c r="M261" s="1438"/>
      <c r="N261" s="1439"/>
      <c r="O261" s="26"/>
      <c r="P261" s="26"/>
      <c r="Q261" s="26"/>
      <c r="R261" s="26"/>
      <c r="S261" s="26"/>
      <c r="T261" s="26"/>
      <c r="U261" s="26"/>
      <c r="V261" s="26"/>
      <c r="W261" s="26"/>
      <c r="X261" s="26"/>
      <c r="Y261" s="26"/>
      <c r="Z261" s="26"/>
      <c r="AA261" s="26"/>
      <c r="AB261" s="26"/>
      <c r="AC261" s="26"/>
    </row>
    <row r="262" spans="1:29" ht="14.2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c r="AB262" s="26"/>
      <c r="AC262" s="26"/>
    </row>
    <row r="263" spans="1:29" ht="14.25" customHeight="1">
      <c r="A263" s="26"/>
      <c r="B263" s="129" t="s">
        <v>2235</v>
      </c>
      <c r="C263" s="1156"/>
      <c r="D263" s="1156"/>
      <c r="E263" s="1156"/>
      <c r="F263" s="1156"/>
      <c r="G263" s="1156"/>
      <c r="H263" s="1156"/>
      <c r="I263" s="1156"/>
      <c r="J263" s="1156"/>
      <c r="K263" s="1156"/>
      <c r="L263" s="1156"/>
      <c r="M263" s="1156"/>
      <c r="N263" s="1156"/>
      <c r="O263" s="26"/>
      <c r="P263" s="26"/>
      <c r="Q263" s="26"/>
      <c r="R263" s="26"/>
      <c r="S263" s="26"/>
      <c r="T263" s="26"/>
      <c r="U263" s="26"/>
      <c r="V263" s="26"/>
      <c r="W263" s="26"/>
      <c r="X263" s="26"/>
      <c r="Y263" s="26"/>
      <c r="Z263" s="26"/>
      <c r="AA263" s="26"/>
      <c r="AB263" s="26"/>
      <c r="AC263" s="26"/>
    </row>
    <row r="264" spans="1:29" ht="14.25" customHeight="1">
      <c r="A264" s="26"/>
      <c r="B264" s="1437" t="s">
        <v>478</v>
      </c>
      <c r="C264" s="1438"/>
      <c r="D264" s="1438"/>
      <c r="E264" s="1438"/>
      <c r="F264" s="1438"/>
      <c r="G264" s="1439"/>
      <c r="H264" s="128" t="s">
        <v>2236</v>
      </c>
      <c r="I264" s="128" t="s">
        <v>2237</v>
      </c>
      <c r="J264" s="1437" t="s">
        <v>1757</v>
      </c>
      <c r="K264" s="1438"/>
      <c r="L264" s="1438"/>
      <c r="M264" s="1438"/>
      <c r="N264" s="1439"/>
      <c r="O264" s="26"/>
      <c r="P264" s="26"/>
      <c r="Q264" s="26"/>
      <c r="R264" s="26"/>
      <c r="S264" s="26"/>
      <c r="T264" s="26"/>
      <c r="U264" s="26"/>
      <c r="V264" s="26"/>
      <c r="W264" s="26"/>
      <c r="X264" s="26"/>
      <c r="Y264" s="26"/>
      <c r="Z264" s="26"/>
      <c r="AA264" s="26"/>
      <c r="AB264" s="26"/>
      <c r="AC264" s="26"/>
    </row>
    <row r="265" spans="1:29" ht="14.25" customHeight="1">
      <c r="A265" s="26"/>
      <c r="B265" s="1441" t="s">
        <v>2238</v>
      </c>
      <c r="C265" s="1438"/>
      <c r="D265" s="1438"/>
      <c r="E265" s="1438"/>
      <c r="F265" s="1438"/>
      <c r="G265" s="1439"/>
      <c r="H265" s="1173">
        <f>Q235+Q251</f>
        <v>22496298.09</v>
      </c>
      <c r="I265" s="1173">
        <f>Q244</f>
        <v>22496298.09</v>
      </c>
      <c r="J265" s="1442" t="str">
        <f t="shared" ref="J265:J268" si="48">IF(ABS(I265-H265)&lt;=1,"✓ OK","✗ CHECK")</f>
        <v>✓ OK</v>
      </c>
      <c r="K265" s="1439"/>
      <c r="L265" s="1441" t="s">
        <v>2239</v>
      </c>
      <c r="M265" s="1438"/>
      <c r="N265" s="1439"/>
      <c r="O265" s="26"/>
      <c r="P265" s="26"/>
      <c r="Q265" s="26"/>
      <c r="R265" s="26"/>
      <c r="S265" s="26"/>
      <c r="T265" s="26"/>
      <c r="U265" s="26"/>
      <c r="V265" s="26"/>
      <c r="W265" s="26"/>
      <c r="X265" s="26"/>
      <c r="Y265" s="26"/>
      <c r="Z265" s="26"/>
      <c r="AA265" s="26"/>
      <c r="AB265" s="26"/>
      <c r="AC265" s="26"/>
    </row>
    <row r="266" spans="1:29" ht="14.25" customHeight="1">
      <c r="A266" s="26"/>
      <c r="B266" s="1441" t="s">
        <v>2240</v>
      </c>
      <c r="C266" s="1438"/>
      <c r="D266" s="1438"/>
      <c r="E266" s="1438"/>
      <c r="F266" s="1438"/>
      <c r="G266" s="1439"/>
      <c r="H266" s="1177">
        <f>Inputs!E120</f>
        <v>8970383.0899999999</v>
      </c>
      <c r="I266" s="1173">
        <f t="shared" ref="I266:I267" si="49">Q240</f>
        <v>8970383.0899999999</v>
      </c>
      <c r="J266" s="1442" t="str">
        <f t="shared" si="48"/>
        <v>✓ OK</v>
      </c>
      <c r="K266" s="1439"/>
      <c r="L266" s="1441" t="s">
        <v>2241</v>
      </c>
      <c r="M266" s="1438"/>
      <c r="N266" s="1439"/>
      <c r="O266" s="26"/>
      <c r="P266" s="26"/>
      <c r="Q266" s="26"/>
      <c r="R266" s="26"/>
      <c r="S266" s="26"/>
      <c r="T266" s="26"/>
      <c r="U266" s="26"/>
      <c r="V266" s="26"/>
      <c r="W266" s="26"/>
      <c r="X266" s="26"/>
      <c r="Y266" s="26"/>
      <c r="Z266" s="26"/>
      <c r="AA266" s="26"/>
      <c r="AB266" s="26"/>
      <c r="AC266" s="26"/>
    </row>
    <row r="267" spans="1:29" ht="14.25" customHeight="1">
      <c r="A267" s="26"/>
      <c r="B267" s="1441" t="s">
        <v>2242</v>
      </c>
      <c r="C267" s="1438"/>
      <c r="D267" s="1438"/>
      <c r="E267" s="1438"/>
      <c r="F267" s="1438"/>
      <c r="G267" s="1439"/>
      <c r="H267" s="1178">
        <f>Inputs!E66</f>
        <v>11856915</v>
      </c>
      <c r="I267" s="1173">
        <f t="shared" si="49"/>
        <v>11856915</v>
      </c>
      <c r="J267" s="1442" t="str">
        <f t="shared" si="48"/>
        <v>✓ OK</v>
      </c>
      <c r="K267" s="1439"/>
      <c r="L267" s="1441" t="s">
        <v>2243</v>
      </c>
      <c r="M267" s="1438"/>
      <c r="N267" s="1439"/>
      <c r="O267" s="26"/>
      <c r="P267" s="26"/>
      <c r="Q267" s="26"/>
      <c r="R267" s="26"/>
      <c r="S267" s="26"/>
      <c r="T267" s="26"/>
      <c r="U267" s="26"/>
      <c r="V267" s="26"/>
      <c r="W267" s="26"/>
      <c r="X267" s="26"/>
      <c r="Y267" s="26"/>
      <c r="Z267" s="26"/>
      <c r="AA267" s="26"/>
      <c r="AB267" s="26"/>
      <c r="AC267" s="26"/>
    </row>
    <row r="268" spans="1:29" ht="14.25" customHeight="1">
      <c r="A268" s="26"/>
      <c r="B268" s="1441" t="s">
        <v>2244</v>
      </c>
      <c r="C268" s="1438"/>
      <c r="D268" s="1438"/>
      <c r="E268" s="1438"/>
      <c r="F268" s="1438"/>
      <c r="G268" s="1439"/>
      <c r="H268" s="1173">
        <f>Q251</f>
        <v>1915773.0899999999</v>
      </c>
      <c r="I268" s="1173">
        <f>Q251</f>
        <v>1915773.0899999999</v>
      </c>
      <c r="J268" s="1442" t="str">
        <f t="shared" si="48"/>
        <v>✓ OK</v>
      </c>
      <c r="K268" s="1439"/>
      <c r="L268" s="1441" t="s">
        <v>2245</v>
      </c>
      <c r="M268" s="1438"/>
      <c r="N268" s="1439"/>
      <c r="O268" s="26"/>
      <c r="P268" s="26"/>
      <c r="Q268" s="26"/>
      <c r="R268" s="26"/>
      <c r="S268" s="26"/>
      <c r="T268" s="26"/>
      <c r="U268" s="26"/>
      <c r="V268" s="26"/>
      <c r="W268" s="26"/>
      <c r="X268" s="26"/>
      <c r="Y268" s="26"/>
      <c r="Z268" s="26"/>
      <c r="AA268" s="26"/>
      <c r="AB268" s="26"/>
      <c r="AC268" s="26"/>
    </row>
    <row r="269" spans="1:29" ht="14.2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c r="AB269" s="26"/>
      <c r="AC269" s="26"/>
    </row>
    <row r="270" spans="1:29" ht="14.25" customHeight="1">
      <c r="A270" s="26"/>
      <c r="B270" s="26"/>
      <c r="C270" s="26"/>
      <c r="D270" s="26"/>
      <c r="E270" s="26"/>
      <c r="F270" s="26"/>
      <c r="G270" s="26"/>
      <c r="H270" s="1179">
        <f>Inputs!E60</f>
        <v>22496298.09</v>
      </c>
      <c r="I270" s="26"/>
      <c r="J270" s="26"/>
      <c r="K270" s="26"/>
      <c r="L270" s="26"/>
      <c r="M270" s="26"/>
      <c r="N270" s="26"/>
      <c r="O270" s="26"/>
      <c r="P270" s="26"/>
      <c r="Q270" s="26"/>
      <c r="R270" s="26"/>
      <c r="S270" s="26"/>
      <c r="T270" s="26"/>
      <c r="U270" s="26"/>
      <c r="V270" s="26"/>
      <c r="W270" s="26"/>
      <c r="X270" s="26"/>
      <c r="Y270" s="26"/>
      <c r="Z270" s="26"/>
      <c r="AA270" s="26"/>
      <c r="AB270" s="26"/>
      <c r="AC270" s="26"/>
    </row>
    <row r="271" spans="1:29" ht="14.25" customHeight="1">
      <c r="A271" s="26"/>
      <c r="B271" s="188" t="s">
        <v>2246</v>
      </c>
      <c r="C271" s="188" t="s">
        <v>2247</v>
      </c>
      <c r="D271" s="26"/>
      <c r="E271" s="26"/>
      <c r="F271" s="26"/>
      <c r="G271" s="26"/>
      <c r="H271" s="1179">
        <f>H265-H270</f>
        <v>0</v>
      </c>
      <c r="I271" s="26"/>
      <c r="J271" s="26"/>
      <c r="K271" s="26"/>
      <c r="L271" s="26"/>
      <c r="M271" s="26"/>
      <c r="N271" s="26"/>
      <c r="O271" s="26"/>
      <c r="P271" s="26"/>
      <c r="Q271" s="26"/>
      <c r="R271" s="26"/>
      <c r="S271" s="26"/>
      <c r="T271" s="26"/>
      <c r="U271" s="26"/>
      <c r="V271" s="26"/>
      <c r="W271" s="26"/>
      <c r="X271" s="26"/>
      <c r="Y271" s="26"/>
      <c r="Z271" s="26"/>
      <c r="AA271" s="26"/>
      <c r="AB271" s="26"/>
      <c r="AC271" s="26"/>
    </row>
    <row r="272" spans="1:29" ht="14.2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c r="AB272" s="26"/>
      <c r="AC272" s="26"/>
    </row>
    <row r="273" spans="1:29" ht="14.25" customHeight="1">
      <c r="A273" s="26"/>
      <c r="B273" s="141" t="s">
        <v>258</v>
      </c>
      <c r="C273" s="141"/>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c r="AB273" s="26"/>
      <c r="AC273" s="26"/>
    </row>
    <row r="274" spans="1:29" ht="14.25" customHeight="1">
      <c r="A274" s="26"/>
      <c r="B274" s="202" t="s">
        <v>211</v>
      </c>
      <c r="C274" s="202" t="s">
        <v>2248</v>
      </c>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c r="AB274" s="26"/>
      <c r="AC274" s="26"/>
    </row>
    <row r="275" spans="1:29" ht="14.25" customHeight="1">
      <c r="A275" s="26"/>
      <c r="B275" s="203" t="s">
        <v>262</v>
      </c>
      <c r="C275" s="1180">
        <f>Dashboard!J52</f>
        <v>25571991.785529338</v>
      </c>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c r="AB275" s="26"/>
      <c r="AC275" s="26"/>
    </row>
    <row r="276" spans="1:29" ht="14.25" customHeight="1">
      <c r="A276" s="26"/>
      <c r="B276" s="203" t="s">
        <v>264</v>
      </c>
      <c r="C276" s="1180">
        <f>Dashboard!J53</f>
        <v>22466577.085336529</v>
      </c>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c r="AB276" s="26"/>
      <c r="AC276" s="26"/>
    </row>
    <row r="277" spans="1:29" ht="14.25" customHeight="1">
      <c r="A277" s="26"/>
      <c r="B277" s="203" t="s">
        <v>266</v>
      </c>
      <c r="C277" s="1181">
        <f>Dashboard!J54</f>
        <v>0.87856187635919314</v>
      </c>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c r="AB277" s="26"/>
      <c r="AC277" s="26"/>
    </row>
    <row r="278" spans="1:29" ht="14.25" customHeight="1">
      <c r="A278" s="26"/>
      <c r="B278" s="203" t="s">
        <v>194</v>
      </c>
      <c r="C278" s="1180">
        <f>Dashboard!J55</f>
        <v>13901342.685076447</v>
      </c>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c r="AB278" s="26"/>
      <c r="AC278" s="26"/>
    </row>
    <row r="279" spans="1:29" ht="14.25" customHeight="1">
      <c r="A279" s="26"/>
      <c r="B279" s="203" t="s">
        <v>269</v>
      </c>
      <c r="C279" s="1181">
        <f>Dashboard!J56</f>
        <v>0.54361595301868237</v>
      </c>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c r="AB279" s="26"/>
      <c r="AC279" s="26"/>
    </row>
    <row r="280" spans="1:29" ht="14.25" customHeight="1">
      <c r="A280" s="26"/>
      <c r="B280" s="203" t="s">
        <v>271</v>
      </c>
      <c r="C280" s="1180">
        <f>Dashboard!J57</f>
        <v>9039286.5045535136</v>
      </c>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c r="AB280" s="26"/>
      <c r="AC280" s="26"/>
    </row>
    <row r="281" spans="1:29" ht="14.25" customHeight="1">
      <c r="A281" s="26"/>
      <c r="B281" s="203" t="s">
        <v>273</v>
      </c>
      <c r="C281" s="1181">
        <f>Dashboard!J58</f>
        <v>0.35348386548710919</v>
      </c>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c r="AB281" s="26"/>
      <c r="AC281" s="26"/>
    </row>
    <row r="282" spans="1:29" ht="14.25" customHeight="1">
      <c r="A282" s="26"/>
      <c r="B282" s="203"/>
      <c r="C282" s="1181"/>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c r="AB282" s="26"/>
      <c r="AC282" s="26"/>
    </row>
    <row r="283" spans="1:29" ht="14.2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c r="AB283" s="26"/>
      <c r="AC283" s="26"/>
    </row>
    <row r="284" spans="1:29" ht="14.25" customHeight="1">
      <c r="A284" s="26"/>
      <c r="B284" s="141" t="s">
        <v>210</v>
      </c>
      <c r="C284" s="141"/>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c r="AB284" s="26"/>
      <c r="AC284" s="26"/>
    </row>
    <row r="285" spans="1:29" ht="14.25" customHeight="1">
      <c r="A285" s="26"/>
      <c r="B285" s="202" t="s">
        <v>211</v>
      </c>
      <c r="C285" s="202" t="s">
        <v>2248</v>
      </c>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c r="AB285" s="26"/>
      <c r="AC285" s="26"/>
    </row>
    <row r="286" spans="1:29" ht="14.25" customHeight="1">
      <c r="A286" s="26"/>
      <c r="B286" s="203" t="s">
        <v>251</v>
      </c>
      <c r="C286" s="1180">
        <f>C28</f>
        <v>19761525</v>
      </c>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c r="AB286" s="26"/>
      <c r="AC286" s="26"/>
    </row>
    <row r="287" spans="1:29" ht="14.25" customHeight="1">
      <c r="A287" s="26"/>
      <c r="B287" s="203" t="s">
        <v>216</v>
      </c>
      <c r="C287" s="1180">
        <f>Dashboard!G53</f>
        <v>8970383.0899999999</v>
      </c>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c r="AB287" s="26"/>
      <c r="AC287" s="26"/>
    </row>
    <row r="288" spans="1:29" ht="14.25" customHeight="1">
      <c r="A288" s="26"/>
      <c r="B288" s="203" t="s">
        <v>196</v>
      </c>
      <c r="C288" s="1180">
        <f>Dashboard!G54</f>
        <v>12675915</v>
      </c>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c r="AB288" s="26"/>
      <c r="AC288" s="26"/>
    </row>
    <row r="289" spans="1:29" ht="14.25" customHeight="1">
      <c r="A289" s="26"/>
      <c r="B289" s="203" t="s">
        <v>219</v>
      </c>
      <c r="C289" s="1181">
        <f>Dashboard!G55</f>
        <v>1.3217846864553473</v>
      </c>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c r="AB289" s="26"/>
      <c r="AC289" s="26"/>
    </row>
    <row r="290" spans="1:29" ht="14.25" customHeight="1">
      <c r="A290" s="26"/>
      <c r="B290" s="203" t="s">
        <v>221</v>
      </c>
      <c r="C290" s="1181">
        <f>Dashboard!G56</f>
        <v>0.24794586632771631</v>
      </c>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c r="AB290" s="26"/>
      <c r="AC290" s="26"/>
    </row>
    <row r="291" spans="1:29" ht="14.25" customHeight="1">
      <c r="A291" s="26"/>
      <c r="B291" s="203" t="s">
        <v>223</v>
      </c>
      <c r="C291" s="1181">
        <f>Dashboard!G57</f>
        <v>0.33284790951683618</v>
      </c>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c r="AB291" s="26"/>
      <c r="AC291" s="26"/>
    </row>
    <row r="292" spans="1:29" ht="14.25" customHeight="1">
      <c r="A292" s="26"/>
      <c r="B292" s="203" t="s">
        <v>225</v>
      </c>
      <c r="C292" s="1182">
        <f>Dashboard!G58</f>
        <v>17.693182272018159</v>
      </c>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c r="AB292" s="26"/>
      <c r="AC292" s="26"/>
    </row>
    <row r="293" spans="1:29" ht="14.25" customHeight="1">
      <c r="A293" s="26"/>
      <c r="B293" s="203" t="s">
        <v>227</v>
      </c>
      <c r="C293" s="1181" t="str">
        <f>Dashboard!G59</f>
        <v>FY30</v>
      </c>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c r="AB293" s="26"/>
      <c r="AC293" s="26"/>
    </row>
    <row r="294" spans="1:29" ht="14.2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c r="AB294" s="26"/>
      <c r="AC294" s="26"/>
    </row>
    <row r="295" spans="1:29" ht="14.2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c r="AB295" s="26"/>
      <c r="AC295" s="26"/>
    </row>
    <row r="296" spans="1:29" ht="14.25" customHeight="1">
      <c r="A296" s="26"/>
      <c r="B296" s="202" t="s">
        <v>211</v>
      </c>
      <c r="C296" s="202" t="s">
        <v>2248</v>
      </c>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c r="AB296" s="26"/>
      <c r="AC296" s="26"/>
    </row>
    <row r="297" spans="1:29" ht="14.25" customHeight="1">
      <c r="A297" s="26"/>
      <c r="B297" s="203" t="s">
        <v>2136</v>
      </c>
      <c r="C297" s="1180">
        <f t="shared" ref="C297:C303" si="50">C28</f>
        <v>19761525</v>
      </c>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c r="AB297" s="26"/>
      <c r="AC297" s="26"/>
    </row>
    <row r="298" spans="1:29" ht="14.25" customHeight="1">
      <c r="A298" s="26"/>
      <c r="B298" s="203" t="s">
        <v>1499</v>
      </c>
      <c r="C298" s="1180">
        <f t="shared" si="50"/>
        <v>8970383.0899999999</v>
      </c>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c r="AB298" s="26"/>
      <c r="AC298" s="26"/>
    </row>
    <row r="299" spans="1:29" ht="14.25" customHeight="1">
      <c r="A299" s="26"/>
      <c r="B299" s="203" t="s">
        <v>2249</v>
      </c>
      <c r="C299" s="1180">
        <f t="shared" si="50"/>
        <v>1500000</v>
      </c>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c r="AB299" s="26"/>
      <c r="AC299" s="26"/>
    </row>
    <row r="300" spans="1:29" ht="14.25" customHeight="1">
      <c r="A300" s="26"/>
      <c r="B300" s="203" t="s">
        <v>2140</v>
      </c>
      <c r="C300" s="1180">
        <f t="shared" si="50"/>
        <v>7470383.0899999999</v>
      </c>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c r="AB300" s="26"/>
      <c r="AC300" s="26"/>
    </row>
    <row r="301" spans="1:29" ht="14.25" customHeight="1">
      <c r="A301" s="26"/>
      <c r="B301" s="203" t="s">
        <v>2141</v>
      </c>
      <c r="C301" s="1180">
        <f t="shared" si="50"/>
        <v>12675915</v>
      </c>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c r="AB301" s="26"/>
      <c r="AC301" s="26"/>
    </row>
    <row r="302" spans="1:29" ht="14.25" customHeight="1">
      <c r="A302" s="26"/>
      <c r="B302" s="203" t="s">
        <v>2143</v>
      </c>
      <c r="C302" s="1181">
        <f t="shared" si="50"/>
        <v>0.58559273956667568</v>
      </c>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c r="AB302" s="26"/>
      <c r="AC302" s="26"/>
    </row>
    <row r="303" spans="1:29" ht="14.25" customHeight="1">
      <c r="A303" s="26"/>
      <c r="B303" s="203" t="s">
        <v>2144</v>
      </c>
      <c r="C303" s="1183">
        <f t="shared" si="50"/>
        <v>0.41440726043332426</v>
      </c>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c r="AB303" s="26"/>
      <c r="AC303" s="26"/>
    </row>
    <row r="304" spans="1:29" ht="14.25" customHeight="1">
      <c r="A304" s="26"/>
      <c r="B304" s="203"/>
      <c r="C304" s="1181"/>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c r="AB304" s="26"/>
      <c r="AC304" s="26"/>
    </row>
    <row r="305" spans="1:29" ht="14.2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c r="AB305" s="26"/>
      <c r="AC305" s="26"/>
    </row>
    <row r="306" spans="1:29" ht="14.2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c r="AB306" s="26"/>
      <c r="AC306" s="26"/>
    </row>
    <row r="307" spans="1:29" ht="14.2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c r="AB307" s="26"/>
      <c r="AC307" s="26"/>
    </row>
    <row r="308" spans="1:29" ht="14.2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c r="AB308" s="26"/>
      <c r="AC308" s="26"/>
    </row>
    <row r="309" spans="1:29" ht="14.2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c r="AB309" s="26"/>
      <c r="AC309" s="26"/>
    </row>
    <row r="310" spans="1:29" ht="14.2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c r="AB310" s="26"/>
      <c r="AC310" s="26"/>
    </row>
    <row r="311" spans="1:29" ht="14.2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c r="AB311" s="26"/>
      <c r="AC311" s="26"/>
    </row>
    <row r="312" spans="1:29" ht="14.2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c r="AB312" s="26"/>
      <c r="AC312" s="26"/>
    </row>
    <row r="313" spans="1:29" ht="14.2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c r="AB313" s="26"/>
      <c r="AC313" s="26"/>
    </row>
    <row r="314" spans="1:29" ht="14.2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c r="AB314" s="26"/>
      <c r="AC314" s="26"/>
    </row>
    <row r="315" spans="1:29" ht="14.2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c r="AB315" s="26"/>
      <c r="AC315" s="26"/>
    </row>
    <row r="316" spans="1:29" ht="14.2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c r="AB316" s="26"/>
      <c r="AC316" s="26"/>
    </row>
    <row r="317" spans="1:29" ht="14.2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c r="AB317" s="26"/>
      <c r="AC317" s="26"/>
    </row>
    <row r="318" spans="1:29" ht="14.2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c r="AB318" s="26"/>
      <c r="AC318" s="26"/>
    </row>
    <row r="319" spans="1:29" ht="14.2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c r="AB319" s="26"/>
      <c r="AC319" s="26"/>
    </row>
    <row r="320" spans="1:29" ht="14.2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c r="AB320" s="26"/>
      <c r="AC320" s="26"/>
    </row>
    <row r="321" spans="1:29" ht="14.2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c r="AB321" s="26"/>
      <c r="AC321" s="26"/>
    </row>
    <row r="322" spans="1:29" ht="14.2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c r="AB322" s="26"/>
      <c r="AC322" s="26"/>
    </row>
    <row r="323" spans="1:29" ht="14.2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c r="AB323" s="26"/>
      <c r="AC323" s="26"/>
    </row>
    <row r="324" spans="1:29" ht="14.2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c r="AB324" s="26"/>
      <c r="AC324" s="26"/>
    </row>
    <row r="325" spans="1:29" ht="14.2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c r="AB325" s="26"/>
      <c r="AC325" s="26"/>
    </row>
    <row r="326" spans="1:29" ht="14.2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c r="AB326" s="26"/>
      <c r="AC326" s="26"/>
    </row>
    <row r="327" spans="1:29" ht="14.2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c r="AB327" s="26"/>
      <c r="AC327" s="26"/>
    </row>
    <row r="328" spans="1:29" ht="14.2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c r="AB328" s="26"/>
      <c r="AC328" s="26"/>
    </row>
    <row r="329" spans="1:29" ht="14.2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c r="AB329" s="26"/>
      <c r="AC329" s="26"/>
    </row>
    <row r="330" spans="1:29" ht="14.2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c r="AB330" s="26"/>
      <c r="AC330" s="26"/>
    </row>
    <row r="331" spans="1:29" ht="14.2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c r="AB331" s="26"/>
      <c r="AC331" s="26"/>
    </row>
    <row r="332" spans="1:29" ht="14.2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c r="AB332" s="26"/>
      <c r="AC332" s="26"/>
    </row>
    <row r="333" spans="1:29" ht="14.2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c r="AB333" s="26"/>
      <c r="AC333" s="26"/>
    </row>
    <row r="334" spans="1:29" ht="14.2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c r="AB334" s="26"/>
      <c r="AC334" s="26"/>
    </row>
    <row r="335" spans="1:29" ht="14.2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c r="AB335" s="26"/>
      <c r="AC335" s="26"/>
    </row>
    <row r="336" spans="1:29" ht="14.2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c r="AB336" s="26"/>
      <c r="AC336" s="26"/>
    </row>
    <row r="337" spans="1:29" ht="14.2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c r="AB337" s="26"/>
      <c r="AC337" s="26"/>
    </row>
    <row r="338" spans="1:29" ht="14.2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c r="AB338" s="26"/>
      <c r="AC338" s="26"/>
    </row>
    <row r="339" spans="1:29" ht="14.2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c r="AB339" s="26"/>
      <c r="AC339" s="26"/>
    </row>
    <row r="340" spans="1:29" ht="14.2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c r="AB340" s="26"/>
      <c r="AC340" s="26"/>
    </row>
    <row r="341" spans="1:29" ht="14.2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c r="AB341" s="26"/>
      <c r="AC341" s="26"/>
    </row>
    <row r="342" spans="1:29" ht="14.2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c r="AB342" s="26"/>
      <c r="AC342" s="26"/>
    </row>
    <row r="343" spans="1:29" ht="14.2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c r="AB343" s="26"/>
      <c r="AC343" s="26"/>
    </row>
    <row r="344" spans="1:29" ht="14.2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c r="AB344" s="26"/>
      <c r="AC344" s="26"/>
    </row>
    <row r="345" spans="1:29" ht="14.2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c r="AB345" s="26"/>
      <c r="AC345" s="26"/>
    </row>
    <row r="346" spans="1:29" ht="14.2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c r="AB346" s="26"/>
      <c r="AC346" s="26"/>
    </row>
    <row r="347" spans="1:29" ht="14.2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c r="AB347" s="26"/>
      <c r="AC347" s="26"/>
    </row>
    <row r="348" spans="1:29" ht="14.2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c r="AB348" s="26"/>
      <c r="AC348" s="26"/>
    </row>
    <row r="349" spans="1:29" ht="14.2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c r="AB349" s="26"/>
      <c r="AC349" s="26"/>
    </row>
    <row r="350" spans="1:29" ht="14.2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c r="AB350" s="26"/>
      <c r="AC350" s="26"/>
    </row>
    <row r="351" spans="1:29" ht="14.2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c r="AB351" s="26"/>
      <c r="AC351" s="26"/>
    </row>
    <row r="352" spans="1:29" ht="14.2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c r="AB352" s="26"/>
      <c r="AC352" s="26"/>
    </row>
    <row r="353" spans="1:29" ht="14.2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c r="AB353" s="26"/>
      <c r="AC353" s="26"/>
    </row>
    <row r="354" spans="1:29" ht="14.2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c r="AB354" s="26"/>
      <c r="AC354" s="26"/>
    </row>
    <row r="355" spans="1:29" ht="14.2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c r="AB355" s="26"/>
      <c r="AC355" s="26"/>
    </row>
    <row r="356" spans="1:29" ht="14.2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c r="AB356" s="26"/>
      <c r="AC356" s="26"/>
    </row>
    <row r="357" spans="1:29" ht="14.2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c r="AB357" s="26"/>
      <c r="AC357" s="26"/>
    </row>
    <row r="358" spans="1:29" ht="14.2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c r="AB358" s="26"/>
      <c r="AC358" s="26"/>
    </row>
    <row r="359" spans="1:29" ht="14.2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c r="AB359" s="26"/>
      <c r="AC359" s="26"/>
    </row>
    <row r="360" spans="1:29" ht="14.2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c r="AB360" s="26"/>
      <c r="AC360" s="26"/>
    </row>
    <row r="361" spans="1:29" ht="14.2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c r="AB361" s="26"/>
      <c r="AC361" s="26"/>
    </row>
    <row r="362" spans="1:29" ht="14.2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c r="AB362" s="26"/>
      <c r="AC362" s="26"/>
    </row>
    <row r="363" spans="1:29" ht="14.2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c r="AB363" s="26"/>
      <c r="AC363" s="26"/>
    </row>
    <row r="364" spans="1:29" ht="14.2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c r="AB364" s="26"/>
      <c r="AC364" s="26"/>
    </row>
    <row r="365" spans="1:29" ht="14.2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c r="AB365" s="26"/>
      <c r="AC365" s="26"/>
    </row>
    <row r="366" spans="1:29" ht="14.2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c r="AB366" s="26"/>
      <c r="AC366" s="26"/>
    </row>
    <row r="367" spans="1:29" ht="14.2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c r="AB367" s="26"/>
      <c r="AC367" s="26"/>
    </row>
    <row r="368" spans="1:29" ht="14.2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c r="AB368" s="26"/>
      <c r="AC368" s="26"/>
    </row>
    <row r="369" spans="1:29" ht="14.2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c r="AB369" s="26"/>
      <c r="AC369" s="26"/>
    </row>
    <row r="370" spans="1:29" ht="14.2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c r="AB370" s="26"/>
      <c r="AC370" s="26"/>
    </row>
    <row r="371" spans="1:29" ht="14.2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c r="AB371" s="26"/>
      <c r="AC371" s="26"/>
    </row>
    <row r="372" spans="1:29" ht="14.2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c r="AB372" s="26"/>
      <c r="AC372" s="26"/>
    </row>
    <row r="373" spans="1:29" ht="14.2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c r="AB373" s="26"/>
      <c r="AC373" s="26"/>
    </row>
    <row r="374" spans="1:29" ht="14.2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c r="AB374" s="26"/>
      <c r="AC374" s="26"/>
    </row>
    <row r="375" spans="1:29" ht="14.2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c r="AB375" s="26"/>
      <c r="AC375" s="26"/>
    </row>
    <row r="376" spans="1:29" ht="14.2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c r="AB376" s="26"/>
      <c r="AC376" s="26"/>
    </row>
    <row r="377" spans="1:29" ht="14.2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c r="AB377" s="26"/>
      <c r="AC377" s="26"/>
    </row>
    <row r="378" spans="1:29" ht="14.2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c r="AB378" s="26"/>
      <c r="AC378" s="26"/>
    </row>
    <row r="379" spans="1:29" ht="14.2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c r="AB379" s="26"/>
      <c r="AC379" s="26"/>
    </row>
    <row r="380" spans="1:29" ht="14.2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c r="AB380" s="26"/>
      <c r="AC380" s="26"/>
    </row>
    <row r="381" spans="1:29" ht="14.2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c r="AB381" s="26"/>
      <c r="AC381" s="26"/>
    </row>
    <row r="382" spans="1:29" ht="14.2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c r="AB382" s="26"/>
      <c r="AC382" s="26"/>
    </row>
    <row r="383" spans="1:29" ht="14.2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c r="AB383" s="26"/>
      <c r="AC383" s="26"/>
    </row>
    <row r="384" spans="1:29" ht="14.2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c r="AB384" s="26"/>
      <c r="AC384" s="26"/>
    </row>
    <row r="385" spans="1:29" ht="14.2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c r="AB385" s="26"/>
      <c r="AC385" s="26"/>
    </row>
    <row r="386" spans="1:29" ht="14.2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c r="AB386" s="26"/>
      <c r="AC386" s="26"/>
    </row>
    <row r="387" spans="1:29" ht="14.2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c r="AB387" s="26"/>
      <c r="AC387" s="26"/>
    </row>
    <row r="388" spans="1:29" ht="14.2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c r="AB388" s="26"/>
      <c r="AC388" s="26"/>
    </row>
    <row r="389" spans="1:29" ht="14.2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c r="AB389" s="26"/>
      <c r="AC389" s="26"/>
    </row>
    <row r="390" spans="1:29" ht="14.2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c r="AB390" s="26"/>
      <c r="AC390" s="26"/>
    </row>
    <row r="391" spans="1:29" ht="14.2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c r="AB391" s="26"/>
      <c r="AC391" s="26"/>
    </row>
    <row r="392" spans="1:29" ht="14.2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c r="AB392" s="26"/>
      <c r="AC392" s="26"/>
    </row>
    <row r="393" spans="1:29" ht="14.2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c r="AB393" s="26"/>
      <c r="AC393" s="26"/>
    </row>
    <row r="394" spans="1:29" ht="14.2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c r="AB394" s="26"/>
      <c r="AC394" s="26"/>
    </row>
    <row r="395" spans="1:29" ht="14.2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c r="AB395" s="26"/>
      <c r="AC395" s="26"/>
    </row>
    <row r="396" spans="1:29" ht="14.2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c r="AB396" s="26"/>
      <c r="AC396" s="26"/>
    </row>
    <row r="397" spans="1:29" ht="14.2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c r="AB397" s="26"/>
      <c r="AC397" s="26"/>
    </row>
    <row r="398" spans="1:29" ht="14.2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c r="AB398" s="26"/>
      <c r="AC398" s="26"/>
    </row>
    <row r="399" spans="1:29" ht="14.2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c r="AB399" s="26"/>
      <c r="AC399" s="26"/>
    </row>
    <row r="400" spans="1:29" ht="14.2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c r="AB400" s="26"/>
      <c r="AC400" s="26"/>
    </row>
    <row r="401" spans="1:29" ht="14.2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c r="AB401" s="26"/>
      <c r="AC401" s="26"/>
    </row>
    <row r="402" spans="1:29" ht="14.2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c r="AB402" s="26"/>
      <c r="AC402" s="26"/>
    </row>
    <row r="403" spans="1:29" ht="14.2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c r="AB403" s="26"/>
      <c r="AC403" s="26"/>
    </row>
    <row r="404" spans="1:29" ht="14.2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c r="AB404" s="26"/>
      <c r="AC404" s="26"/>
    </row>
    <row r="405" spans="1:29" ht="14.2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c r="AB405" s="26"/>
      <c r="AC405" s="26"/>
    </row>
    <row r="406" spans="1:29" ht="14.2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c r="AB406" s="26"/>
      <c r="AC406" s="26"/>
    </row>
    <row r="407" spans="1:29" ht="14.2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c r="AB407" s="26"/>
      <c r="AC407" s="26"/>
    </row>
    <row r="408" spans="1:29" ht="14.2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c r="AB408" s="26"/>
      <c r="AC408" s="26"/>
    </row>
    <row r="409" spans="1:29" ht="14.2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c r="AB409" s="26"/>
      <c r="AC409" s="26"/>
    </row>
    <row r="410" spans="1:29" ht="14.2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c r="AB410" s="26"/>
      <c r="AC410" s="26"/>
    </row>
    <row r="411" spans="1:29" ht="14.2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c r="AB411" s="26"/>
      <c r="AC411" s="26"/>
    </row>
    <row r="412" spans="1:29" ht="14.2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c r="AB412" s="26"/>
      <c r="AC412" s="26"/>
    </row>
    <row r="413" spans="1:29" ht="14.2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c r="AB413" s="26"/>
      <c r="AC413" s="26"/>
    </row>
    <row r="414" spans="1:29" ht="14.2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c r="AB414" s="26"/>
      <c r="AC414" s="26"/>
    </row>
    <row r="415" spans="1:29" ht="14.2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c r="AB415" s="26"/>
      <c r="AC415" s="26"/>
    </row>
    <row r="416" spans="1:29" ht="14.2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c r="AB416" s="26"/>
      <c r="AC416" s="26"/>
    </row>
    <row r="417" spans="1:29" ht="14.2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c r="AB417" s="26"/>
      <c r="AC417" s="26"/>
    </row>
    <row r="418" spans="1:29" ht="14.2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c r="AB418" s="26"/>
      <c r="AC418" s="26"/>
    </row>
    <row r="419" spans="1:29" ht="14.2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c r="AB419" s="26"/>
      <c r="AC419" s="26"/>
    </row>
    <row r="420" spans="1:29" ht="14.2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c r="AB420" s="26"/>
      <c r="AC420" s="26"/>
    </row>
    <row r="421" spans="1:29" ht="14.2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c r="AB421" s="26"/>
      <c r="AC421" s="26"/>
    </row>
    <row r="422" spans="1:29" ht="14.2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c r="AB422" s="26"/>
      <c r="AC422" s="26"/>
    </row>
    <row r="423" spans="1:29" ht="14.2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c r="AB423" s="26"/>
      <c r="AC423" s="26"/>
    </row>
    <row r="424" spans="1:29" ht="14.2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c r="AB424" s="26"/>
      <c r="AC424" s="26"/>
    </row>
    <row r="425" spans="1:29" ht="14.2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c r="AB425" s="26"/>
      <c r="AC425" s="26"/>
    </row>
    <row r="426" spans="1:29" ht="14.2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c r="AB426" s="26"/>
      <c r="AC426" s="26"/>
    </row>
    <row r="427" spans="1:29" ht="14.25" customHeight="1"/>
    <row r="428" spans="1:29" ht="14.25" customHeight="1"/>
    <row r="429" spans="1:29" ht="14.25" customHeight="1"/>
    <row r="430" spans="1:29" ht="14.25" customHeight="1"/>
    <row r="431" spans="1:29" ht="14.25" customHeight="1"/>
    <row r="432" spans="1:29"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37">
    <mergeCell ref="L267:N267"/>
    <mergeCell ref="B268:G268"/>
    <mergeCell ref="J268:K268"/>
    <mergeCell ref="L268:N268"/>
    <mergeCell ref="B264:G264"/>
    <mergeCell ref="J264:N264"/>
    <mergeCell ref="B265:G265"/>
    <mergeCell ref="J265:K265"/>
    <mergeCell ref="L265:N265"/>
    <mergeCell ref="J266:K266"/>
    <mergeCell ref="L266:N266"/>
    <mergeCell ref="C261:E261"/>
    <mergeCell ref="F261:G261"/>
    <mergeCell ref="B266:G266"/>
    <mergeCell ref="B267:G267"/>
    <mergeCell ref="J267:K267"/>
    <mergeCell ref="C259:E259"/>
    <mergeCell ref="C260:E260"/>
    <mergeCell ref="F260:G260"/>
    <mergeCell ref="H260:I260"/>
    <mergeCell ref="J260:N260"/>
    <mergeCell ref="F259:G259"/>
    <mergeCell ref="H259:I259"/>
    <mergeCell ref="J259:N259"/>
    <mergeCell ref="H261:I261"/>
    <mergeCell ref="J261:N261"/>
    <mergeCell ref="B227:N227"/>
    <mergeCell ref="B228:N228"/>
    <mergeCell ref="C258:E258"/>
    <mergeCell ref="F258:G258"/>
    <mergeCell ref="H258:I258"/>
    <mergeCell ref="J258:N258"/>
    <mergeCell ref="B94:N94"/>
    <mergeCell ref="B148:N148"/>
    <mergeCell ref="B156:N156"/>
    <mergeCell ref="B171:N171"/>
    <mergeCell ref="B185:N185"/>
  </mergeCells>
  <pageMargins left="0.7" right="0.7" top="0.75" bottom="0.75" header="0" footer="0"/>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D5B8EA"/>
    <outlinePr summaryBelow="0" summaryRight="0"/>
  </sheetPr>
  <dimension ref="A1:Z1067"/>
  <sheetViews>
    <sheetView showGridLines="0" tabSelected="1" topLeftCell="A110" workbookViewId="0">
      <selection activeCell="H125" sqref="H125"/>
    </sheetView>
  </sheetViews>
  <sheetFormatPr defaultColWidth="12.6328125" defaultRowHeight="15" customHeight="1"/>
  <cols>
    <col min="2" max="2" width="55.36328125" customWidth="1"/>
    <col min="3" max="3" width="25.26953125" customWidth="1"/>
    <col min="4" max="4" width="16.90625" customWidth="1"/>
    <col min="5" max="5" width="54.453125" customWidth="1"/>
    <col min="6" max="6" width="22.7265625" customWidth="1"/>
  </cols>
  <sheetData>
    <row r="1" spans="1:26" ht="15.5">
      <c r="A1" s="1184"/>
      <c r="B1" s="1184"/>
      <c r="C1" s="1184"/>
      <c r="D1" s="1184"/>
      <c r="E1" s="1184"/>
      <c r="F1" s="1184"/>
      <c r="G1" s="1184"/>
      <c r="H1" s="1184"/>
      <c r="I1" s="1184"/>
      <c r="J1" s="1184"/>
      <c r="K1" s="1184"/>
      <c r="L1" s="1184"/>
      <c r="M1" s="1184"/>
      <c r="N1" s="1184"/>
      <c r="O1" s="1184"/>
      <c r="P1" s="1184"/>
      <c r="Q1" s="1184"/>
      <c r="R1" s="1184"/>
      <c r="S1" s="1184"/>
      <c r="T1" s="1184"/>
      <c r="U1" s="1184"/>
      <c r="V1" s="1184"/>
      <c r="W1" s="1184"/>
      <c r="X1" s="1184"/>
      <c r="Y1" s="1184"/>
      <c r="Z1" s="1184"/>
    </row>
    <row r="2" spans="1:26" ht="15.5">
      <c r="A2" s="1185">
        <v>1</v>
      </c>
      <c r="B2" s="1184" t="s">
        <v>2250</v>
      </c>
      <c r="C2" s="1184"/>
      <c r="D2" s="1184"/>
      <c r="E2" s="1184"/>
      <c r="F2" s="1184"/>
      <c r="G2" s="1184"/>
      <c r="H2" s="1184"/>
      <c r="I2" s="1184"/>
      <c r="J2" s="1184"/>
      <c r="K2" s="1184"/>
      <c r="L2" s="1184"/>
      <c r="M2" s="1184"/>
      <c r="N2" s="1184"/>
      <c r="O2" s="1184"/>
      <c r="P2" s="1184"/>
      <c r="Q2" s="1184"/>
      <c r="R2" s="1184"/>
      <c r="S2" s="1184"/>
      <c r="T2" s="1184"/>
      <c r="U2" s="1184"/>
      <c r="V2" s="1184"/>
      <c r="W2" s="1184"/>
      <c r="X2" s="1184"/>
      <c r="Y2" s="1184"/>
      <c r="Z2" s="1184"/>
    </row>
    <row r="3" spans="1:26" ht="15.5">
      <c r="A3" s="1184"/>
      <c r="B3" s="1443" t="s">
        <v>209</v>
      </c>
      <c r="C3" s="1444"/>
      <c r="D3" s="1184"/>
      <c r="E3" s="1184"/>
      <c r="F3" s="1184"/>
      <c r="G3" s="1184"/>
      <c r="H3" s="1184"/>
      <c r="J3" s="1184"/>
      <c r="K3" s="1184"/>
      <c r="L3" s="1184"/>
      <c r="M3" s="1184"/>
      <c r="N3" s="1184"/>
      <c r="O3" s="1184"/>
      <c r="P3" s="1184"/>
      <c r="Q3" s="1184"/>
      <c r="R3" s="1184"/>
      <c r="S3" s="1184"/>
      <c r="T3" s="1184"/>
      <c r="U3" s="1184"/>
      <c r="V3" s="1184"/>
      <c r="W3" s="1184"/>
      <c r="X3" s="1184"/>
      <c r="Y3" s="1184"/>
      <c r="Z3" s="1184"/>
    </row>
    <row r="4" spans="1:26" ht="15.5">
      <c r="A4" s="1184"/>
      <c r="B4" s="1186" t="s">
        <v>211</v>
      </c>
      <c r="C4" s="1186" t="s">
        <v>212</v>
      </c>
      <c r="D4" s="1184"/>
      <c r="E4" s="1184"/>
      <c r="F4" s="1184"/>
      <c r="G4" s="1184"/>
      <c r="H4" s="1184"/>
      <c r="J4" s="1184"/>
      <c r="K4" s="1184"/>
      <c r="L4" s="1184"/>
      <c r="M4" s="1184"/>
      <c r="N4" s="1184"/>
      <c r="O4" s="1184"/>
      <c r="P4" s="1184"/>
      <c r="Q4" s="1184"/>
      <c r="R4" s="1184"/>
      <c r="S4" s="1184"/>
      <c r="T4" s="1184"/>
      <c r="U4" s="1184"/>
      <c r="V4" s="1184"/>
      <c r="W4" s="1184"/>
      <c r="X4" s="1184"/>
      <c r="Y4" s="1184"/>
      <c r="Z4" s="1184"/>
    </row>
    <row r="5" spans="1:26" ht="15.5">
      <c r="A5" s="1184"/>
      <c r="B5" s="1187" t="s">
        <v>213</v>
      </c>
      <c r="C5" s="1188">
        <f>Dashboard!P41</f>
        <v>12675915</v>
      </c>
      <c r="D5" s="1184"/>
      <c r="E5" s="1184"/>
      <c r="F5" s="1184"/>
      <c r="G5" s="1184"/>
      <c r="H5" s="1184"/>
      <c r="J5" s="1184"/>
      <c r="K5" s="1184"/>
      <c r="L5" s="1184"/>
      <c r="M5" s="1184"/>
      <c r="N5" s="1184"/>
      <c r="O5" s="1184"/>
      <c r="P5" s="1184"/>
      <c r="Q5" s="1184"/>
      <c r="R5" s="1184"/>
      <c r="S5" s="1184"/>
      <c r="T5" s="1184"/>
      <c r="U5" s="1184"/>
      <c r="V5" s="1184"/>
      <c r="W5" s="1184"/>
      <c r="X5" s="1184"/>
      <c r="Y5" s="1184"/>
      <c r="Z5" s="1184"/>
    </row>
    <row r="6" spans="1:26" ht="15.5">
      <c r="A6" s="1184"/>
      <c r="B6" s="1187" t="s">
        <v>215</v>
      </c>
      <c r="C6" s="1188">
        <f>Dashboard!P42</f>
        <v>12675915</v>
      </c>
      <c r="D6" s="1184"/>
      <c r="E6" s="1184"/>
      <c r="F6" s="1184"/>
      <c r="G6" s="1184"/>
      <c r="H6" s="1184"/>
      <c r="I6" s="1184"/>
      <c r="J6" s="1184"/>
      <c r="K6" s="1184"/>
      <c r="L6" s="1184"/>
      <c r="M6" s="1184"/>
      <c r="N6" s="1184"/>
      <c r="O6" s="1184"/>
      <c r="P6" s="1184"/>
      <c r="Q6" s="1184"/>
      <c r="R6" s="1184"/>
      <c r="S6" s="1184"/>
      <c r="T6" s="1184"/>
      <c r="U6" s="1184"/>
      <c r="V6" s="1184"/>
      <c r="W6" s="1184"/>
      <c r="X6" s="1184"/>
      <c r="Y6" s="1184"/>
      <c r="Z6" s="1184"/>
    </row>
    <row r="7" spans="1:26" ht="15.5">
      <c r="A7" s="1184"/>
      <c r="B7" s="1187" t="s">
        <v>217</v>
      </c>
      <c r="C7" s="1188">
        <f>Dashboard!C31</f>
        <v>8970383.0899999999</v>
      </c>
      <c r="D7" s="1184"/>
      <c r="E7" s="1184"/>
      <c r="F7" s="1184"/>
      <c r="G7" s="1184"/>
      <c r="H7" s="1184"/>
      <c r="I7" s="1184"/>
      <c r="J7" s="1184"/>
      <c r="K7" s="1184"/>
      <c r="L7" s="1184"/>
      <c r="M7" s="1184"/>
      <c r="N7" s="1184"/>
      <c r="O7" s="1184"/>
      <c r="P7" s="1184"/>
      <c r="Q7" s="1184"/>
      <c r="R7" s="1184"/>
      <c r="S7" s="1184"/>
      <c r="T7" s="1184"/>
      <c r="U7" s="1184"/>
      <c r="V7" s="1184"/>
      <c r="W7" s="1184"/>
      <c r="X7" s="1184"/>
      <c r="Y7" s="1184"/>
      <c r="Z7" s="1184"/>
    </row>
    <row r="8" spans="1:26" ht="15.5">
      <c r="A8" s="1184"/>
      <c r="B8" s="1187" t="s">
        <v>218</v>
      </c>
      <c r="C8" s="1189">
        <f>Dashboard!P44</f>
        <v>10</v>
      </c>
      <c r="D8" s="1184"/>
      <c r="E8" s="1184"/>
      <c r="F8" s="1184"/>
      <c r="G8" s="1184"/>
      <c r="H8" s="1184"/>
      <c r="I8" s="1184"/>
      <c r="J8" s="1184"/>
      <c r="K8" s="1184"/>
      <c r="L8" s="1184"/>
      <c r="M8" s="1184"/>
      <c r="N8" s="1184"/>
      <c r="O8" s="1184"/>
      <c r="P8" s="1184"/>
      <c r="Q8" s="1184"/>
      <c r="R8" s="1184"/>
      <c r="S8" s="1184"/>
      <c r="T8" s="1184"/>
      <c r="U8" s="1184"/>
      <c r="V8" s="1184"/>
      <c r="W8" s="1184"/>
      <c r="X8" s="1184"/>
      <c r="Y8" s="1184"/>
      <c r="Z8" s="1184"/>
    </row>
    <row r="9" spans="1:26" ht="15.5">
      <c r="A9" s="1184"/>
      <c r="B9" s="1187" t="s">
        <v>254</v>
      </c>
      <c r="C9" s="1189">
        <f>Dashboard!P45</f>
        <v>10</v>
      </c>
      <c r="D9" s="1184"/>
      <c r="E9" s="1184"/>
      <c r="F9" s="1184"/>
      <c r="G9" s="1184"/>
      <c r="H9" s="1184"/>
      <c r="I9" s="1184"/>
      <c r="J9" s="1184"/>
      <c r="K9" s="1184"/>
      <c r="L9" s="1184"/>
      <c r="M9" s="1184"/>
      <c r="N9" s="1184"/>
      <c r="O9" s="1184"/>
      <c r="P9" s="1184"/>
      <c r="Q9" s="1184"/>
      <c r="R9" s="1184"/>
      <c r="S9" s="1184"/>
      <c r="T9" s="1184"/>
      <c r="U9" s="1184"/>
      <c r="V9" s="1184"/>
      <c r="W9" s="1184"/>
      <c r="X9" s="1184"/>
      <c r="Y9" s="1184"/>
      <c r="Z9" s="1184"/>
    </row>
    <row r="10" spans="1:26" ht="15.5">
      <c r="A10" s="1184"/>
      <c r="B10" s="1190" t="s">
        <v>220</v>
      </c>
      <c r="C10" s="1191" t="str">
        <f>Dashboard!C33</f>
        <v>FY27</v>
      </c>
      <c r="D10" s="1184"/>
      <c r="E10" s="1184"/>
      <c r="F10" s="1184"/>
      <c r="G10" s="1184"/>
      <c r="H10" s="1184"/>
      <c r="I10" s="1184"/>
      <c r="J10" s="1184"/>
      <c r="K10" s="1184"/>
      <c r="L10" s="1184"/>
      <c r="M10" s="1184"/>
      <c r="N10" s="1184"/>
      <c r="O10" s="1184"/>
      <c r="P10" s="1184"/>
      <c r="Q10" s="1184"/>
      <c r="R10" s="1184"/>
      <c r="S10" s="1184"/>
      <c r="T10" s="1184"/>
      <c r="U10" s="1184"/>
      <c r="V10" s="1184"/>
      <c r="W10" s="1184"/>
      <c r="X10" s="1184"/>
      <c r="Y10" s="1184"/>
      <c r="Z10" s="1184"/>
    </row>
    <row r="11" spans="1:26" ht="15.5">
      <c r="A11" s="1184"/>
      <c r="B11" s="1187" t="s">
        <v>222</v>
      </c>
      <c r="C11" s="1192">
        <f>Dashboard!P46</f>
        <v>0.08</v>
      </c>
      <c r="D11" s="1184"/>
      <c r="E11" s="1184"/>
      <c r="F11" s="1184"/>
      <c r="G11" s="1184"/>
      <c r="H11" s="1184"/>
      <c r="I11" s="1184"/>
      <c r="J11" s="1184"/>
      <c r="K11" s="1184"/>
      <c r="L11" s="1184"/>
      <c r="M11" s="1184"/>
      <c r="N11" s="1184"/>
      <c r="O11" s="1184"/>
      <c r="P11" s="1184"/>
      <c r="Q11" s="1184"/>
      <c r="R11" s="1184"/>
      <c r="S11" s="1184"/>
      <c r="T11" s="1184"/>
      <c r="U11" s="1184"/>
      <c r="V11" s="1184"/>
      <c r="W11" s="1184"/>
      <c r="X11" s="1184"/>
      <c r="Y11" s="1184"/>
      <c r="Z11" s="1184"/>
    </row>
    <row r="12" spans="1:26" ht="15.5">
      <c r="A12" s="1184"/>
      <c r="B12" s="1190" t="s">
        <v>226</v>
      </c>
      <c r="C12" s="1193">
        <f>Dashboard!C36</f>
        <v>0.6</v>
      </c>
      <c r="D12" s="1184"/>
      <c r="E12" s="1184"/>
      <c r="F12" s="1184"/>
      <c r="G12" s="1184"/>
      <c r="H12" s="1184"/>
      <c r="I12" s="1184"/>
      <c r="J12" s="1184"/>
      <c r="K12" s="1184"/>
      <c r="L12" s="1184"/>
      <c r="M12" s="1184"/>
      <c r="N12" s="1184"/>
      <c r="O12" s="1184"/>
      <c r="P12" s="1184"/>
      <c r="Q12" s="1184"/>
      <c r="R12" s="1184"/>
      <c r="S12" s="1184"/>
      <c r="T12" s="1184"/>
      <c r="U12" s="1184"/>
      <c r="V12" s="1184"/>
      <c r="W12" s="1184"/>
      <c r="X12" s="1184"/>
      <c r="Y12" s="1184"/>
      <c r="Z12" s="1184"/>
    </row>
    <row r="13" spans="1:26" ht="15.5">
      <c r="A13" s="1184"/>
      <c r="B13" s="1187" t="s">
        <v>256</v>
      </c>
      <c r="C13" s="1194" t="str">
        <f>Dashboard!P48</f>
        <v>FY32</v>
      </c>
      <c r="D13" s="1184"/>
      <c r="E13" s="1184"/>
      <c r="F13" s="1184"/>
      <c r="G13" s="1184"/>
      <c r="H13" s="1184"/>
      <c r="I13" s="1184"/>
      <c r="J13" s="1184"/>
      <c r="K13" s="1184"/>
      <c r="L13" s="1184"/>
      <c r="M13" s="1184"/>
      <c r="N13" s="1184"/>
      <c r="O13" s="1184"/>
      <c r="P13" s="1184"/>
      <c r="Q13" s="1184"/>
      <c r="R13" s="1184"/>
      <c r="S13" s="1184"/>
      <c r="T13" s="1184"/>
      <c r="U13" s="1184"/>
      <c r="V13" s="1184"/>
      <c r="W13" s="1184"/>
      <c r="X13" s="1184"/>
      <c r="Y13" s="1184"/>
      <c r="Z13" s="1184"/>
    </row>
    <row r="14" spans="1:26" ht="15.5">
      <c r="A14" s="1184"/>
      <c r="B14" s="1184"/>
      <c r="C14" s="1184"/>
      <c r="D14" s="1184"/>
      <c r="E14" s="1184"/>
      <c r="F14" s="1184"/>
      <c r="G14" s="1184"/>
      <c r="H14" s="1184"/>
      <c r="I14" s="1184"/>
      <c r="J14" s="1184"/>
      <c r="K14" s="1184"/>
      <c r="L14" s="1184"/>
      <c r="M14" s="1184"/>
      <c r="N14" s="1184"/>
      <c r="O14" s="1184"/>
      <c r="P14" s="1184"/>
      <c r="Q14" s="1184"/>
      <c r="R14" s="1184"/>
      <c r="S14" s="1184"/>
      <c r="T14" s="1184"/>
      <c r="U14" s="1184"/>
      <c r="V14" s="1184"/>
      <c r="W14" s="1184"/>
      <c r="X14" s="1184"/>
      <c r="Y14" s="1184"/>
      <c r="Z14" s="1184"/>
    </row>
    <row r="15" spans="1:26" ht="15.5">
      <c r="A15" s="1184"/>
      <c r="B15" s="1184"/>
      <c r="C15" s="1184"/>
      <c r="D15" s="1184"/>
      <c r="E15" s="1185"/>
      <c r="F15" s="1184"/>
      <c r="G15" s="1184"/>
      <c r="H15" s="1184"/>
      <c r="I15" s="1184"/>
      <c r="J15" s="1184"/>
      <c r="K15" s="1184"/>
      <c r="L15" s="1184"/>
      <c r="M15" s="1184"/>
      <c r="N15" s="1184"/>
      <c r="O15" s="1184"/>
      <c r="P15" s="1184"/>
      <c r="Q15" s="1184"/>
      <c r="R15" s="1184"/>
      <c r="S15" s="1184"/>
      <c r="T15" s="1184"/>
      <c r="U15" s="1184"/>
      <c r="V15" s="1184"/>
      <c r="W15" s="1184"/>
      <c r="X15" s="1184"/>
      <c r="Y15" s="1184"/>
      <c r="Z15" s="1184"/>
    </row>
    <row r="16" spans="1:26" ht="15.5">
      <c r="A16" s="1184">
        <v>2</v>
      </c>
      <c r="B16" s="1184" t="s">
        <v>2251</v>
      </c>
      <c r="C16" s="1184"/>
      <c r="D16" s="1184"/>
      <c r="E16" s="1184"/>
      <c r="F16" s="1184"/>
      <c r="G16" s="1184"/>
      <c r="H16" s="1184"/>
      <c r="I16" s="1184"/>
      <c r="J16" s="1184"/>
      <c r="K16" s="1184"/>
      <c r="L16" s="1184"/>
      <c r="M16" s="1184"/>
      <c r="N16" s="1184"/>
      <c r="O16" s="1184"/>
      <c r="P16" s="1184"/>
      <c r="Q16" s="1184"/>
      <c r="R16" s="1184"/>
      <c r="S16" s="1184"/>
      <c r="T16" s="1184"/>
      <c r="U16" s="1184"/>
      <c r="V16" s="1184"/>
      <c r="W16" s="1184"/>
      <c r="X16" s="1184"/>
      <c r="Y16" s="1184"/>
      <c r="Z16" s="1184"/>
    </row>
    <row r="17" spans="1:26" ht="15.5">
      <c r="A17" s="1184"/>
      <c r="B17" s="1443" t="s">
        <v>210</v>
      </c>
      <c r="C17" s="1444"/>
      <c r="D17" s="1184"/>
      <c r="E17" s="1184"/>
      <c r="F17" s="1184"/>
      <c r="G17" s="1184"/>
      <c r="H17" s="1184"/>
      <c r="I17" s="1184"/>
      <c r="J17" s="1184"/>
      <c r="K17" s="1184"/>
      <c r="L17" s="1184"/>
      <c r="M17" s="1184"/>
      <c r="N17" s="1184"/>
      <c r="O17" s="1184"/>
      <c r="P17" s="1184"/>
      <c r="Q17" s="1184"/>
      <c r="R17" s="1184"/>
      <c r="S17" s="1184"/>
      <c r="T17" s="1184"/>
      <c r="U17" s="1184"/>
      <c r="V17" s="1184"/>
      <c r="W17" s="1184"/>
      <c r="X17" s="1184"/>
      <c r="Y17" s="1184"/>
      <c r="Z17" s="1184"/>
    </row>
    <row r="18" spans="1:26" ht="15.5">
      <c r="A18" s="1184"/>
      <c r="B18" s="1186" t="s">
        <v>211</v>
      </c>
      <c r="C18" s="1186" t="s">
        <v>212</v>
      </c>
      <c r="D18" s="1184"/>
      <c r="E18" s="1184"/>
      <c r="F18" s="1184"/>
      <c r="G18" s="1184"/>
      <c r="H18" s="1184"/>
      <c r="I18" s="1184"/>
      <c r="J18" s="1184"/>
      <c r="K18" s="1184"/>
      <c r="L18" s="1184"/>
      <c r="M18" s="1184"/>
      <c r="N18" s="1184"/>
      <c r="O18" s="1184"/>
      <c r="P18" s="1184"/>
      <c r="Q18" s="1184"/>
      <c r="R18" s="1184"/>
      <c r="S18" s="1184"/>
      <c r="T18" s="1184"/>
      <c r="U18" s="1184"/>
      <c r="V18" s="1184"/>
      <c r="W18" s="1184"/>
      <c r="X18" s="1184"/>
      <c r="Y18" s="1184"/>
      <c r="Z18" s="1184"/>
    </row>
    <row r="19" spans="1:26" ht="15.5">
      <c r="A19" s="1184"/>
      <c r="B19" s="1190" t="s">
        <v>214</v>
      </c>
      <c r="C19" s="1195">
        <f>Dashboard!G52</f>
        <v>22496298.09</v>
      </c>
      <c r="D19" s="1184"/>
      <c r="E19" s="1184"/>
      <c r="F19" s="1184"/>
      <c r="G19" s="1184"/>
      <c r="H19" s="1184"/>
      <c r="I19" s="1184"/>
      <c r="J19" s="1184"/>
      <c r="K19" s="1184"/>
      <c r="L19" s="1184"/>
      <c r="M19" s="1184"/>
      <c r="N19" s="1184"/>
      <c r="O19" s="1184"/>
      <c r="P19" s="1184"/>
      <c r="Q19" s="1184"/>
      <c r="R19" s="1184"/>
      <c r="S19" s="1184"/>
      <c r="T19" s="1184"/>
      <c r="U19" s="1184"/>
      <c r="V19" s="1184"/>
      <c r="W19" s="1184"/>
      <c r="X19" s="1184"/>
      <c r="Y19" s="1184"/>
      <c r="Z19" s="1184"/>
    </row>
    <row r="20" spans="1:26" ht="15.5">
      <c r="A20" s="1184"/>
      <c r="B20" s="1190" t="s">
        <v>216</v>
      </c>
      <c r="C20" s="1195">
        <f>Dashboard!G53</f>
        <v>8970383.0899999999</v>
      </c>
      <c r="D20" s="1184"/>
      <c r="E20" s="1184"/>
      <c r="F20" s="1184"/>
      <c r="G20" s="1184"/>
      <c r="H20" s="1184"/>
      <c r="I20" s="1184"/>
      <c r="J20" s="1184"/>
      <c r="K20" s="1184"/>
      <c r="L20" s="1184"/>
      <c r="M20" s="1184"/>
      <c r="N20" s="1184"/>
      <c r="O20" s="1184"/>
      <c r="P20" s="1184"/>
      <c r="Q20" s="1184"/>
      <c r="R20" s="1184"/>
      <c r="S20" s="1184"/>
      <c r="T20" s="1184"/>
      <c r="U20" s="1184"/>
      <c r="V20" s="1184"/>
      <c r="W20" s="1184"/>
      <c r="X20" s="1184"/>
      <c r="Y20" s="1184"/>
      <c r="Z20" s="1184"/>
    </row>
    <row r="21" spans="1:26" ht="15.5">
      <c r="A21" s="1184"/>
      <c r="B21" s="1190" t="s">
        <v>196</v>
      </c>
      <c r="C21" s="1195">
        <f>Dashboard!G54</f>
        <v>12675915</v>
      </c>
      <c r="D21" s="1184"/>
      <c r="E21" s="1184"/>
      <c r="F21" s="1184"/>
      <c r="G21" s="1184"/>
      <c r="H21" s="1184"/>
      <c r="I21" s="1184"/>
      <c r="J21" s="1184"/>
      <c r="K21" s="1184"/>
      <c r="L21" s="1184"/>
      <c r="M21" s="1184"/>
      <c r="N21" s="1184"/>
      <c r="O21" s="1184"/>
      <c r="P21" s="1184"/>
      <c r="Q21" s="1184"/>
      <c r="R21" s="1184"/>
      <c r="S21" s="1184"/>
      <c r="T21" s="1184"/>
      <c r="U21" s="1184"/>
      <c r="V21" s="1184"/>
      <c r="W21" s="1184"/>
      <c r="X21" s="1184"/>
      <c r="Y21" s="1184"/>
      <c r="Z21" s="1184"/>
    </row>
    <row r="22" spans="1:26" ht="15.5">
      <c r="A22" s="1184"/>
      <c r="B22" s="1190" t="s">
        <v>219</v>
      </c>
      <c r="C22" s="1196">
        <f>Dashboard!G55</f>
        <v>1.3217846864553473</v>
      </c>
      <c r="D22" s="1184"/>
      <c r="E22" s="1184"/>
      <c r="F22" s="1184"/>
      <c r="G22" s="1184"/>
      <c r="H22" s="1184"/>
      <c r="I22" s="1184"/>
      <c r="J22" s="1184"/>
      <c r="K22" s="1184"/>
      <c r="L22" s="1184"/>
      <c r="M22" s="1184"/>
      <c r="N22" s="1184"/>
      <c r="O22" s="1184"/>
      <c r="P22" s="1184"/>
      <c r="Q22" s="1184"/>
      <c r="R22" s="1184"/>
      <c r="S22" s="1184"/>
      <c r="T22" s="1184"/>
      <c r="U22" s="1184"/>
      <c r="V22" s="1184"/>
      <c r="W22" s="1184"/>
      <c r="X22" s="1184"/>
      <c r="Y22" s="1184"/>
      <c r="Z22" s="1184"/>
    </row>
    <row r="23" spans="1:26" ht="15.5">
      <c r="A23" s="1184"/>
      <c r="B23" s="1190" t="s">
        <v>221</v>
      </c>
      <c r="C23" s="1197">
        <f>Dashboard!G56</f>
        <v>0.24794586632771631</v>
      </c>
      <c r="D23" s="1184"/>
      <c r="E23" s="1184"/>
      <c r="F23" s="1184"/>
      <c r="G23" s="1184"/>
      <c r="H23" s="1184"/>
      <c r="I23" s="1184"/>
      <c r="J23" s="1184"/>
      <c r="K23" s="1184"/>
      <c r="L23" s="1184"/>
      <c r="M23" s="1184"/>
      <c r="N23" s="1184"/>
      <c r="O23" s="1184"/>
      <c r="P23" s="1184"/>
      <c r="Q23" s="1184"/>
      <c r="R23" s="1184"/>
      <c r="S23" s="1184"/>
      <c r="T23" s="1184"/>
      <c r="U23" s="1184"/>
      <c r="V23" s="1184"/>
      <c r="W23" s="1184"/>
      <c r="X23" s="1184"/>
      <c r="Y23" s="1184"/>
      <c r="Z23" s="1184"/>
    </row>
    <row r="24" spans="1:26" ht="15.5">
      <c r="A24" s="1184"/>
      <c r="B24" s="1190" t="s">
        <v>223</v>
      </c>
      <c r="C24" s="1197">
        <f>Dashboard!G57</f>
        <v>0.33284790951683618</v>
      </c>
      <c r="D24" s="1184"/>
      <c r="E24" s="1184"/>
      <c r="F24" s="1184"/>
      <c r="G24" s="1184"/>
      <c r="H24" s="1184"/>
      <c r="I24" s="1184"/>
      <c r="J24" s="1184"/>
      <c r="K24" s="1184"/>
      <c r="L24" s="1184"/>
      <c r="M24" s="1184"/>
      <c r="N24" s="1184"/>
      <c r="O24" s="1184"/>
      <c r="P24" s="1184"/>
      <c r="Q24" s="1184"/>
      <c r="R24" s="1184"/>
      <c r="S24" s="1184"/>
      <c r="T24" s="1184"/>
      <c r="U24" s="1184"/>
      <c r="V24" s="1184"/>
      <c r="W24" s="1184"/>
      <c r="X24" s="1184"/>
      <c r="Y24" s="1184"/>
      <c r="Z24" s="1184"/>
    </row>
    <row r="25" spans="1:26" ht="15.5">
      <c r="A25" s="1184"/>
      <c r="B25" s="1190" t="s">
        <v>225</v>
      </c>
      <c r="C25" s="1198">
        <f>Dashboard!G58</f>
        <v>17.693182272018159</v>
      </c>
      <c r="D25" s="1184"/>
      <c r="E25" s="1184"/>
      <c r="F25" s="1184"/>
      <c r="G25" s="1184"/>
      <c r="H25" s="1184"/>
      <c r="I25" s="1184"/>
      <c r="J25" s="1184"/>
      <c r="K25" s="1184"/>
      <c r="L25" s="1184"/>
      <c r="M25" s="1184"/>
      <c r="N25" s="1184"/>
      <c r="O25" s="1184"/>
      <c r="P25" s="1184"/>
      <c r="Q25" s="1184"/>
      <c r="R25" s="1184"/>
      <c r="S25" s="1184"/>
      <c r="T25" s="1184"/>
      <c r="U25" s="1184"/>
      <c r="V25" s="1184"/>
      <c r="W25" s="1184"/>
      <c r="X25" s="1184"/>
      <c r="Y25" s="1184"/>
      <c r="Z25" s="1184"/>
    </row>
    <row r="26" spans="1:26" ht="15.5">
      <c r="A26" s="1184"/>
      <c r="B26" s="1190" t="s">
        <v>227</v>
      </c>
      <c r="C26" s="1199" t="str">
        <f>Dashboard!G59</f>
        <v>FY30</v>
      </c>
      <c r="D26" s="1184"/>
      <c r="E26" s="1184"/>
      <c r="F26" s="1184"/>
      <c r="G26" s="1184"/>
      <c r="H26" s="1184"/>
      <c r="I26" s="1184"/>
      <c r="J26" s="1184"/>
      <c r="K26" s="1184"/>
      <c r="L26" s="1184"/>
      <c r="M26" s="1184"/>
      <c r="N26" s="1184"/>
      <c r="O26" s="1184"/>
      <c r="P26" s="1184"/>
      <c r="Q26" s="1184"/>
      <c r="R26" s="1184"/>
      <c r="S26" s="1184"/>
      <c r="T26" s="1184"/>
      <c r="U26" s="1184"/>
      <c r="V26" s="1184"/>
      <c r="W26" s="1184"/>
      <c r="X26" s="1184"/>
      <c r="Y26" s="1184"/>
      <c r="Z26" s="1184"/>
    </row>
    <row r="27" spans="1:26" ht="15.5">
      <c r="A27" s="1184"/>
      <c r="B27" s="1184" t="s">
        <v>2252</v>
      </c>
      <c r="C27" s="1184" t="s">
        <v>2253</v>
      </c>
      <c r="D27" s="1184"/>
      <c r="E27" s="1184"/>
      <c r="F27" s="1184"/>
      <c r="G27" s="1184"/>
      <c r="H27" s="1184"/>
      <c r="I27" s="1184"/>
      <c r="J27" s="1184"/>
      <c r="K27" s="1184"/>
      <c r="L27" s="1184"/>
      <c r="M27" s="1184"/>
      <c r="N27" s="1184"/>
      <c r="O27" s="1184"/>
      <c r="P27" s="1184"/>
      <c r="Q27" s="1184"/>
      <c r="R27" s="1184"/>
      <c r="S27" s="1184"/>
      <c r="T27" s="1184"/>
      <c r="U27" s="1184"/>
      <c r="V27" s="1184"/>
      <c r="W27" s="1184"/>
      <c r="X27" s="1184"/>
      <c r="Y27" s="1184"/>
      <c r="Z27" s="1184"/>
    </row>
    <row r="28" spans="1:26" ht="15.5">
      <c r="A28" s="1184"/>
      <c r="B28" s="1184"/>
      <c r="C28" s="1184"/>
      <c r="D28" s="1184"/>
      <c r="E28" s="1184"/>
      <c r="F28" s="1184"/>
      <c r="G28" s="1184"/>
      <c r="H28" s="1184"/>
      <c r="I28" s="1184"/>
      <c r="J28" s="1184"/>
      <c r="K28" s="1184"/>
      <c r="L28" s="1184"/>
      <c r="M28" s="1184"/>
      <c r="N28" s="1184"/>
      <c r="O28" s="1184"/>
      <c r="P28" s="1184"/>
      <c r="Q28" s="1184"/>
      <c r="R28" s="1184"/>
      <c r="S28" s="1184"/>
      <c r="T28" s="1184"/>
      <c r="U28" s="1184"/>
      <c r="V28" s="1184"/>
      <c r="W28" s="1184"/>
      <c r="X28" s="1184"/>
      <c r="Y28" s="1184"/>
      <c r="Z28" s="1184"/>
    </row>
    <row r="29" spans="1:26" ht="15.5">
      <c r="A29" s="1184">
        <v>3</v>
      </c>
      <c r="B29" s="1184" t="s">
        <v>2254</v>
      </c>
      <c r="C29" s="1184"/>
      <c r="D29" s="1184"/>
      <c r="E29" s="1184"/>
      <c r="F29" s="1184"/>
      <c r="G29" s="1184"/>
      <c r="H29" s="1184"/>
      <c r="I29" s="1184"/>
      <c r="J29" s="1184"/>
      <c r="K29" s="1184"/>
      <c r="L29" s="1184"/>
      <c r="M29" s="1184"/>
      <c r="N29" s="1184"/>
      <c r="O29" s="1184"/>
      <c r="P29" s="1184"/>
      <c r="Q29" s="1184"/>
      <c r="R29" s="1184"/>
      <c r="S29" s="1184"/>
      <c r="T29" s="1184"/>
      <c r="U29" s="1184"/>
      <c r="V29" s="1184"/>
      <c r="W29" s="1184"/>
      <c r="X29" s="1184"/>
      <c r="Y29" s="1184"/>
      <c r="Z29" s="1184"/>
    </row>
    <row r="30" spans="1:26" ht="15.5">
      <c r="A30" s="1184"/>
      <c r="B30" s="1443" t="s">
        <v>2255</v>
      </c>
      <c r="C30" s="1444"/>
      <c r="D30" s="1184"/>
      <c r="E30" s="1184"/>
      <c r="F30" s="1184"/>
      <c r="G30" s="1184"/>
      <c r="H30" s="1184"/>
      <c r="I30" s="1184"/>
      <c r="J30" s="1184"/>
      <c r="K30" s="1184"/>
      <c r="L30" s="1184"/>
      <c r="M30" s="1184"/>
      <c r="N30" s="1184"/>
      <c r="O30" s="1184"/>
      <c r="P30" s="1184"/>
      <c r="Q30" s="1184"/>
      <c r="R30" s="1184"/>
      <c r="S30" s="1184"/>
      <c r="T30" s="1184"/>
      <c r="U30" s="1184"/>
      <c r="V30" s="1184"/>
      <c r="W30" s="1184"/>
      <c r="X30" s="1184"/>
      <c r="Y30" s="1184"/>
      <c r="Z30" s="1184"/>
    </row>
    <row r="31" spans="1:26" ht="15.5">
      <c r="A31" s="1184"/>
      <c r="B31" s="1186" t="s">
        <v>2256</v>
      </c>
      <c r="C31" s="1186" t="s">
        <v>2257</v>
      </c>
      <c r="D31" s="1184"/>
      <c r="E31" s="1184"/>
      <c r="F31" s="1184"/>
      <c r="G31" s="1184"/>
      <c r="H31" s="1184"/>
      <c r="I31" s="1184"/>
      <c r="J31" s="1184"/>
      <c r="K31" s="1184"/>
      <c r="L31" s="1184"/>
      <c r="M31" s="1184"/>
      <c r="N31" s="1184"/>
      <c r="O31" s="1184"/>
      <c r="P31" s="1184"/>
      <c r="Q31" s="1184"/>
      <c r="R31" s="1184"/>
      <c r="S31" s="1184"/>
      <c r="T31" s="1184"/>
      <c r="U31" s="1184"/>
      <c r="V31" s="1184"/>
      <c r="W31" s="1184"/>
      <c r="X31" s="1184"/>
      <c r="Y31" s="1184"/>
      <c r="Z31" s="1184"/>
    </row>
    <row r="32" spans="1:26" ht="15.5">
      <c r="A32" s="1184"/>
      <c r="B32" s="1187" t="s">
        <v>265</v>
      </c>
      <c r="C32" s="1200">
        <f>Dashboard!P54</f>
        <v>1500</v>
      </c>
      <c r="D32" s="1184"/>
      <c r="E32" s="1184"/>
      <c r="F32" s="1184"/>
      <c r="G32" s="1184"/>
      <c r="H32" s="1184"/>
      <c r="I32" s="1184"/>
      <c r="J32" s="1184"/>
      <c r="K32" s="1184"/>
      <c r="L32" s="1184"/>
      <c r="M32" s="1184"/>
      <c r="N32" s="1184"/>
      <c r="O32" s="1184"/>
      <c r="P32" s="1184"/>
      <c r="Q32" s="1184"/>
      <c r="R32" s="1184"/>
      <c r="S32" s="1184"/>
      <c r="T32" s="1184"/>
      <c r="U32" s="1184"/>
      <c r="V32" s="1184"/>
      <c r="W32" s="1184"/>
      <c r="X32" s="1184"/>
      <c r="Y32" s="1184"/>
      <c r="Z32" s="1184"/>
    </row>
    <row r="33" spans="1:26" ht="15.5">
      <c r="A33" s="1184"/>
      <c r="B33" s="1187" t="s">
        <v>2258</v>
      </c>
      <c r="C33" s="1200">
        <f>Dashboard!P58</f>
        <v>2000</v>
      </c>
      <c r="D33" s="1184"/>
      <c r="E33" s="1184"/>
      <c r="F33" s="1184"/>
      <c r="G33" s="1184"/>
      <c r="H33" s="1184"/>
      <c r="I33" s="1184"/>
      <c r="J33" s="1184"/>
      <c r="K33" s="1184"/>
      <c r="L33" s="1184"/>
      <c r="M33" s="1184"/>
      <c r="N33" s="1184"/>
      <c r="O33" s="1184"/>
      <c r="P33" s="1184"/>
      <c r="Q33" s="1184"/>
      <c r="R33" s="1184"/>
      <c r="S33" s="1184"/>
      <c r="T33" s="1184"/>
      <c r="U33" s="1184"/>
      <c r="V33" s="1184"/>
      <c r="W33" s="1184"/>
      <c r="X33" s="1184"/>
      <c r="Y33" s="1184"/>
      <c r="Z33" s="1184"/>
    </row>
    <row r="34" spans="1:26" ht="15.5">
      <c r="A34" s="1184"/>
      <c r="B34" s="1187" t="s">
        <v>263</v>
      </c>
      <c r="C34" s="1200">
        <f>Dashboard!P53</f>
        <v>3000</v>
      </c>
      <c r="D34" s="1184"/>
      <c r="E34" s="1184"/>
      <c r="F34" s="1184"/>
      <c r="G34" s="1184"/>
      <c r="H34" s="1184"/>
      <c r="I34" s="1184"/>
      <c r="J34" s="1184"/>
      <c r="K34" s="1184"/>
      <c r="L34" s="1184"/>
      <c r="M34" s="1184"/>
      <c r="N34" s="1184"/>
      <c r="O34" s="1184"/>
      <c r="P34" s="1184"/>
      <c r="Q34" s="1184"/>
      <c r="R34" s="1184"/>
      <c r="S34" s="1184"/>
      <c r="T34" s="1184"/>
      <c r="U34" s="1184"/>
      <c r="V34" s="1184"/>
      <c r="W34" s="1184"/>
      <c r="X34" s="1184"/>
      <c r="Y34" s="1184"/>
      <c r="Z34" s="1184"/>
    </row>
    <row r="35" spans="1:26" ht="15.5">
      <c r="A35" s="1184"/>
      <c r="B35" s="1187" t="s">
        <v>267</v>
      </c>
      <c r="C35" s="1200">
        <f>Dashboard!P55</f>
        <v>3500</v>
      </c>
      <c r="D35" s="1184"/>
      <c r="E35" s="1184"/>
      <c r="F35" s="1184"/>
      <c r="G35" s="1184"/>
      <c r="H35" s="1184"/>
      <c r="I35" s="1184"/>
      <c r="J35" s="1184"/>
      <c r="K35" s="1184"/>
      <c r="L35" s="1184"/>
      <c r="M35" s="1184"/>
      <c r="N35" s="1184"/>
      <c r="O35" s="1184"/>
      <c r="P35" s="1184"/>
      <c r="Q35" s="1184"/>
      <c r="R35" s="1184"/>
      <c r="S35" s="1184"/>
      <c r="T35" s="1184"/>
      <c r="U35" s="1184"/>
      <c r="V35" s="1184"/>
      <c r="W35" s="1184"/>
      <c r="X35" s="1184"/>
      <c r="Y35" s="1184"/>
      <c r="Z35" s="1184"/>
    </row>
    <row r="36" spans="1:26" ht="15.5">
      <c r="A36" s="1184"/>
      <c r="B36" s="1187" t="s">
        <v>268</v>
      </c>
      <c r="C36" s="1200">
        <f>Dashboard!P56</f>
        <v>3500</v>
      </c>
      <c r="D36" s="1184"/>
      <c r="E36" s="1184"/>
      <c r="F36" s="1184"/>
      <c r="G36" s="1184"/>
      <c r="H36" s="1184"/>
      <c r="I36" s="1184"/>
      <c r="J36" s="1184"/>
      <c r="K36" s="1184"/>
      <c r="L36" s="1184"/>
      <c r="M36" s="1184"/>
      <c r="N36" s="1184"/>
      <c r="O36" s="1184"/>
      <c r="P36" s="1184"/>
      <c r="Q36" s="1184"/>
      <c r="R36" s="1184"/>
      <c r="S36" s="1184"/>
      <c r="T36" s="1184"/>
      <c r="U36" s="1184"/>
      <c r="V36" s="1184"/>
      <c r="W36" s="1184"/>
      <c r="X36" s="1184"/>
      <c r="Y36" s="1184"/>
      <c r="Z36" s="1184"/>
    </row>
    <row r="37" spans="1:26" ht="15.5">
      <c r="A37" s="1184"/>
      <c r="B37" s="1187" t="s">
        <v>270</v>
      </c>
      <c r="C37" s="1200">
        <f>Dashboard!P57</f>
        <v>3500</v>
      </c>
      <c r="D37" s="1184"/>
      <c r="E37" s="1184"/>
      <c r="F37" s="1184"/>
      <c r="G37" s="1184"/>
      <c r="H37" s="1184"/>
      <c r="I37" s="1184"/>
      <c r="J37" s="1184"/>
      <c r="K37" s="1184"/>
      <c r="L37" s="1184"/>
      <c r="M37" s="1184"/>
      <c r="N37" s="1184"/>
      <c r="O37" s="1184"/>
      <c r="P37" s="1184"/>
      <c r="Q37" s="1184"/>
      <c r="R37" s="1184"/>
      <c r="S37" s="1184"/>
      <c r="T37" s="1184"/>
      <c r="U37" s="1184"/>
      <c r="V37" s="1184"/>
      <c r="W37" s="1184"/>
      <c r="X37" s="1184"/>
      <c r="Y37" s="1184"/>
      <c r="Z37" s="1184"/>
    </row>
    <row r="38" spans="1:26" ht="15.5">
      <c r="A38" s="1184"/>
      <c r="B38" s="1187" t="s">
        <v>261</v>
      </c>
      <c r="C38" s="1200">
        <f>Dashboard!P52</f>
        <v>5000</v>
      </c>
      <c r="D38" s="1184"/>
      <c r="E38" s="1184"/>
      <c r="F38" s="1184"/>
      <c r="G38" s="1184"/>
      <c r="H38" s="1184"/>
      <c r="I38" s="1184"/>
      <c r="J38" s="1184"/>
      <c r="K38" s="1184"/>
      <c r="L38" s="1184"/>
      <c r="M38" s="1184"/>
      <c r="N38" s="1184"/>
      <c r="O38" s="1184"/>
      <c r="P38" s="1184"/>
      <c r="Q38" s="1184"/>
      <c r="R38" s="1184"/>
      <c r="S38" s="1184"/>
      <c r="T38" s="1184"/>
      <c r="U38" s="1184"/>
      <c r="V38" s="1184"/>
      <c r="W38" s="1184"/>
      <c r="X38" s="1184"/>
      <c r="Y38" s="1184"/>
      <c r="Z38" s="1184"/>
    </row>
    <row r="39" spans="1:26" ht="15.5">
      <c r="A39" s="1184"/>
      <c r="B39" s="1187" t="s">
        <v>274</v>
      </c>
      <c r="C39" s="1200">
        <f>Dashboard!P59</f>
        <v>6000</v>
      </c>
      <c r="D39" s="1184"/>
      <c r="E39" s="1184"/>
      <c r="F39" s="1184"/>
      <c r="G39" s="1184"/>
      <c r="H39" s="1184"/>
      <c r="I39" s="1184"/>
      <c r="J39" s="1184"/>
      <c r="K39" s="1184"/>
      <c r="L39" s="1184"/>
      <c r="M39" s="1184"/>
      <c r="N39" s="1184"/>
      <c r="O39" s="1184"/>
      <c r="P39" s="1184"/>
      <c r="Q39" s="1184"/>
      <c r="R39" s="1184"/>
      <c r="S39" s="1184"/>
      <c r="T39" s="1184"/>
      <c r="U39" s="1184"/>
      <c r="V39" s="1184"/>
      <c r="W39" s="1184"/>
      <c r="X39" s="1184"/>
      <c r="Y39" s="1184"/>
      <c r="Z39" s="1184"/>
    </row>
    <row r="40" spans="1:26" ht="15.5">
      <c r="A40" s="1184"/>
      <c r="B40" s="1184"/>
      <c r="C40" s="1184"/>
      <c r="D40" s="1184"/>
      <c r="E40" s="1184"/>
      <c r="F40" s="1184"/>
      <c r="G40" s="1184"/>
      <c r="H40" s="1184"/>
      <c r="I40" s="1184"/>
      <c r="J40" s="1184"/>
      <c r="K40" s="1184"/>
      <c r="L40" s="1184"/>
      <c r="M40" s="1184"/>
      <c r="N40" s="1184"/>
      <c r="O40" s="1184"/>
      <c r="P40" s="1184"/>
      <c r="Q40" s="1184"/>
      <c r="R40" s="1184"/>
      <c r="S40" s="1184"/>
      <c r="T40" s="1184"/>
      <c r="U40" s="1184"/>
      <c r="V40" s="1184"/>
      <c r="W40" s="1184"/>
      <c r="X40" s="1184"/>
      <c r="Y40" s="1184"/>
      <c r="Z40" s="1184"/>
    </row>
    <row r="41" spans="1:26" ht="15.5">
      <c r="A41" s="1184"/>
      <c r="B41" s="1184"/>
      <c r="C41" s="1184"/>
      <c r="D41" s="1184"/>
      <c r="E41" s="1184"/>
      <c r="F41" s="1184"/>
      <c r="G41" s="1184"/>
      <c r="H41" s="1184"/>
      <c r="I41" s="1184"/>
      <c r="J41" s="1184"/>
      <c r="K41" s="1184"/>
      <c r="L41" s="1184"/>
      <c r="M41" s="1184"/>
      <c r="N41" s="1184"/>
      <c r="O41" s="1184"/>
      <c r="P41" s="1184"/>
      <c r="Q41" s="1184"/>
      <c r="R41" s="1184"/>
      <c r="S41" s="1184"/>
      <c r="T41" s="1184"/>
      <c r="U41" s="1184"/>
      <c r="V41" s="1184"/>
      <c r="W41" s="1184"/>
      <c r="X41" s="1184"/>
      <c r="Y41" s="1184"/>
      <c r="Z41" s="1184"/>
    </row>
    <row r="42" spans="1:26" ht="15.5">
      <c r="A42" s="1184">
        <v>4</v>
      </c>
      <c r="B42" s="1184" t="s">
        <v>2259</v>
      </c>
      <c r="C42" s="1184"/>
      <c r="D42" s="1184"/>
      <c r="E42" s="1184"/>
      <c r="F42" s="1184"/>
      <c r="G42" s="1184"/>
      <c r="H42" s="1184"/>
      <c r="I42" s="1184"/>
      <c r="J42" s="1184"/>
      <c r="K42" s="1184"/>
      <c r="L42" s="1184"/>
      <c r="M42" s="1184"/>
      <c r="N42" s="1184"/>
      <c r="O42" s="1184"/>
      <c r="P42" s="1184"/>
      <c r="Q42" s="1184"/>
      <c r="R42" s="1184"/>
      <c r="S42" s="1184"/>
      <c r="T42" s="1184"/>
      <c r="U42" s="1184"/>
      <c r="V42" s="1184"/>
      <c r="W42" s="1184"/>
      <c r="X42" s="1184"/>
      <c r="Y42" s="1184"/>
      <c r="Z42" s="1184"/>
    </row>
    <row r="43" spans="1:26" ht="15.5">
      <c r="A43" s="1184"/>
      <c r="B43" s="1443" t="s">
        <v>258</v>
      </c>
      <c r="C43" s="1445"/>
      <c r="D43" s="1444"/>
      <c r="E43" s="1184"/>
      <c r="F43" s="1184"/>
      <c r="G43" s="1184"/>
      <c r="H43" s="1184"/>
      <c r="I43" s="1184"/>
      <c r="J43" s="1184"/>
      <c r="K43" s="1184"/>
      <c r="L43" s="1184"/>
      <c r="M43" s="1184"/>
      <c r="N43" s="1184"/>
      <c r="O43" s="1184"/>
      <c r="P43" s="1184"/>
      <c r="Q43" s="1184"/>
      <c r="R43" s="1184"/>
      <c r="S43" s="1184"/>
      <c r="T43" s="1184"/>
      <c r="U43" s="1184"/>
      <c r="V43" s="1184"/>
      <c r="W43" s="1184"/>
      <c r="X43" s="1184"/>
      <c r="Y43" s="1184"/>
      <c r="Z43" s="1184"/>
    </row>
    <row r="44" spans="1:26" ht="15.5">
      <c r="A44" s="1184"/>
      <c r="B44" s="1186" t="s">
        <v>211</v>
      </c>
      <c r="C44" s="1186" t="s">
        <v>212</v>
      </c>
      <c r="D44" s="1186" t="s">
        <v>317</v>
      </c>
      <c r="E44" s="1184"/>
      <c r="F44" s="1184"/>
      <c r="G44" s="1184"/>
      <c r="H44" s="1184"/>
      <c r="I44" s="1184"/>
      <c r="J44" s="1184"/>
      <c r="K44" s="1184"/>
      <c r="L44" s="1184"/>
      <c r="M44" s="1184"/>
      <c r="N44" s="1184"/>
      <c r="O44" s="1184"/>
      <c r="P44" s="1184"/>
      <c r="Q44" s="1184"/>
      <c r="R44" s="1184"/>
      <c r="S44" s="1184"/>
      <c r="T44" s="1184"/>
      <c r="U44" s="1184"/>
      <c r="V44" s="1184"/>
      <c r="W44" s="1184"/>
      <c r="X44" s="1184"/>
      <c r="Y44" s="1184"/>
      <c r="Z44" s="1184"/>
    </row>
    <row r="45" spans="1:26" ht="15.5">
      <c r="A45" s="1184"/>
      <c r="B45" s="1187" t="s">
        <v>262</v>
      </c>
      <c r="C45" s="1188">
        <f>Dashboard!J52</f>
        <v>25571991.785529338</v>
      </c>
      <c r="D45" s="1201" t="s">
        <v>322</v>
      </c>
      <c r="E45" s="1184"/>
      <c r="F45" s="1184"/>
      <c r="G45" s="1184"/>
      <c r="H45" s="1184"/>
      <c r="I45" s="1184"/>
      <c r="J45" s="1184"/>
      <c r="K45" s="1184"/>
      <c r="L45" s="1184"/>
      <c r="M45" s="1184"/>
      <c r="N45" s="1184"/>
      <c r="O45" s="1184"/>
      <c r="P45" s="1184"/>
      <c r="Q45" s="1184"/>
      <c r="R45" s="1184"/>
      <c r="S45" s="1184"/>
      <c r="T45" s="1184"/>
      <c r="U45" s="1184"/>
      <c r="V45" s="1184"/>
      <c r="W45" s="1184"/>
      <c r="X45" s="1184"/>
      <c r="Y45" s="1184"/>
      <c r="Z45" s="1184"/>
    </row>
    <row r="46" spans="1:26" ht="15.5">
      <c r="A46" s="1184"/>
      <c r="B46" s="1187" t="s">
        <v>264</v>
      </c>
      <c r="C46" s="1188">
        <f>Dashboard!J53</f>
        <v>22466577.085336529</v>
      </c>
      <c r="D46" s="1201" t="s">
        <v>322</v>
      </c>
      <c r="E46" s="1184"/>
      <c r="F46" s="1184"/>
      <c r="G46" s="1184"/>
      <c r="H46" s="1184"/>
      <c r="I46" s="1184"/>
      <c r="J46" s="1184"/>
      <c r="K46" s="1184"/>
      <c r="L46" s="1184"/>
      <c r="M46" s="1184"/>
      <c r="N46" s="1184"/>
      <c r="O46" s="1184"/>
      <c r="P46" s="1184"/>
      <c r="Q46" s="1184"/>
      <c r="R46" s="1184"/>
      <c r="S46" s="1184"/>
      <c r="T46" s="1184"/>
      <c r="U46" s="1184"/>
      <c r="V46" s="1184"/>
      <c r="W46" s="1184"/>
      <c r="X46" s="1184"/>
      <c r="Y46" s="1184"/>
      <c r="Z46" s="1184"/>
    </row>
    <row r="47" spans="1:26" ht="15.5">
      <c r="A47" s="1184"/>
      <c r="B47" s="1187" t="s">
        <v>266</v>
      </c>
      <c r="C47" s="1192">
        <f>Dashboard!J54</f>
        <v>0.87856187635919314</v>
      </c>
      <c r="D47" s="1201" t="s">
        <v>328</v>
      </c>
      <c r="E47" s="1184"/>
      <c r="F47" s="1184"/>
      <c r="G47" s="1184"/>
      <c r="H47" s="1184"/>
      <c r="I47" s="1184"/>
      <c r="J47" s="1184"/>
      <c r="K47" s="1184"/>
      <c r="L47" s="1184"/>
      <c r="M47" s="1184"/>
      <c r="N47" s="1184"/>
      <c r="O47" s="1184"/>
      <c r="P47" s="1184"/>
      <c r="Q47" s="1184"/>
      <c r="R47" s="1184"/>
      <c r="S47" s="1184"/>
      <c r="T47" s="1184"/>
      <c r="U47" s="1184"/>
      <c r="V47" s="1184"/>
      <c r="W47" s="1184"/>
      <c r="X47" s="1184"/>
      <c r="Y47" s="1184"/>
      <c r="Z47" s="1184"/>
    </row>
    <row r="48" spans="1:26" ht="15.5">
      <c r="A48" s="1184"/>
      <c r="B48" s="1187" t="s">
        <v>194</v>
      </c>
      <c r="C48" s="1188">
        <f>Dashboard!J55</f>
        <v>13901342.685076447</v>
      </c>
      <c r="D48" s="1201" t="s">
        <v>322</v>
      </c>
      <c r="E48" s="1184"/>
      <c r="F48" s="1184"/>
      <c r="G48" s="1184"/>
      <c r="H48" s="1184"/>
      <c r="I48" s="1184"/>
      <c r="J48" s="1184"/>
      <c r="K48" s="1184"/>
      <c r="L48" s="1184"/>
      <c r="M48" s="1184"/>
      <c r="N48" s="1184"/>
      <c r="O48" s="1184"/>
      <c r="P48" s="1184"/>
      <c r="Q48" s="1184"/>
      <c r="R48" s="1184"/>
      <c r="S48" s="1184"/>
      <c r="T48" s="1184"/>
      <c r="U48" s="1184"/>
      <c r="V48" s="1184"/>
      <c r="W48" s="1184"/>
      <c r="X48" s="1184"/>
      <c r="Y48" s="1184"/>
      <c r="Z48" s="1184"/>
    </row>
    <row r="49" spans="1:26" ht="15.5">
      <c r="A49" s="1184"/>
      <c r="B49" s="1187" t="s">
        <v>269</v>
      </c>
      <c r="C49" s="1192">
        <f>Dashboard!J56</f>
        <v>0.54361595301868237</v>
      </c>
      <c r="D49" s="1201" t="s">
        <v>328</v>
      </c>
      <c r="E49" s="1184"/>
      <c r="F49" s="1184"/>
      <c r="G49" s="1184"/>
      <c r="H49" s="1184"/>
      <c r="I49" s="1184"/>
      <c r="J49" s="1184"/>
      <c r="K49" s="1184"/>
      <c r="L49" s="1184"/>
      <c r="M49" s="1184"/>
      <c r="N49" s="1184"/>
      <c r="O49" s="1184"/>
      <c r="P49" s="1184"/>
      <c r="Q49" s="1184"/>
      <c r="R49" s="1184"/>
      <c r="S49" s="1184"/>
      <c r="T49" s="1184"/>
      <c r="U49" s="1184"/>
      <c r="V49" s="1184"/>
      <c r="W49" s="1184"/>
      <c r="X49" s="1184"/>
      <c r="Y49" s="1184"/>
      <c r="Z49" s="1184"/>
    </row>
    <row r="50" spans="1:26" ht="15.5">
      <c r="A50" s="1184"/>
      <c r="B50" s="1187" t="s">
        <v>271</v>
      </c>
      <c r="C50" s="1188">
        <f>Dashboard!J57</f>
        <v>9039286.5045535136</v>
      </c>
      <c r="D50" s="1201" t="s">
        <v>322</v>
      </c>
      <c r="E50" s="1184"/>
      <c r="F50" s="1184"/>
      <c r="G50" s="1184"/>
      <c r="H50" s="1184"/>
      <c r="I50" s="1184"/>
      <c r="J50" s="1184"/>
      <c r="K50" s="1184"/>
      <c r="L50" s="1184"/>
      <c r="M50" s="1184"/>
      <c r="N50" s="1184"/>
      <c r="O50" s="1184"/>
      <c r="P50" s="1184"/>
      <c r="Q50" s="1184"/>
      <c r="R50" s="1184"/>
      <c r="S50" s="1184"/>
      <c r="T50" s="1184"/>
      <c r="U50" s="1184"/>
      <c r="V50" s="1184"/>
      <c r="W50" s="1184"/>
      <c r="X50" s="1184"/>
      <c r="Y50" s="1184"/>
      <c r="Z50" s="1184"/>
    </row>
    <row r="51" spans="1:26" ht="15.5">
      <c r="A51" s="1184"/>
      <c r="B51" s="1187" t="s">
        <v>273</v>
      </c>
      <c r="C51" s="1192">
        <f>Dashboard!J58</f>
        <v>0.35348386548710919</v>
      </c>
      <c r="D51" s="1201" t="s">
        <v>328</v>
      </c>
      <c r="E51" s="1184"/>
      <c r="F51" s="1184"/>
      <c r="G51" s="1184"/>
      <c r="H51" s="1184"/>
      <c r="I51" s="1184"/>
      <c r="J51" s="1184"/>
      <c r="K51" s="1184"/>
      <c r="L51" s="1184"/>
      <c r="M51" s="1184"/>
      <c r="N51" s="1184"/>
      <c r="O51" s="1184"/>
      <c r="P51" s="1184"/>
      <c r="Q51" s="1184"/>
      <c r="R51" s="1184"/>
      <c r="S51" s="1184"/>
      <c r="T51" s="1184"/>
      <c r="U51" s="1184"/>
      <c r="V51" s="1184"/>
      <c r="W51" s="1184"/>
      <c r="X51" s="1184"/>
      <c r="Y51" s="1184"/>
      <c r="Z51" s="1184"/>
    </row>
    <row r="52" spans="1:26" ht="15.5">
      <c r="A52" s="1184"/>
      <c r="B52" s="1190" t="s">
        <v>319</v>
      </c>
      <c r="C52" s="1202">
        <f>Dashboard!J75</f>
        <v>174</v>
      </c>
      <c r="D52" s="1201" t="s">
        <v>320</v>
      </c>
      <c r="E52" s="1184"/>
      <c r="F52" s="1184"/>
      <c r="G52" s="1184"/>
      <c r="H52" s="1184"/>
      <c r="I52" s="1184"/>
      <c r="J52" s="1184"/>
      <c r="K52" s="1184"/>
      <c r="L52" s="1184"/>
      <c r="M52" s="1184"/>
      <c r="N52" s="1184"/>
      <c r="O52" s="1184"/>
      <c r="P52" s="1184"/>
      <c r="Q52" s="1184"/>
      <c r="R52" s="1184"/>
      <c r="S52" s="1184"/>
      <c r="T52" s="1184"/>
      <c r="U52" s="1184"/>
      <c r="V52" s="1184"/>
      <c r="W52" s="1184"/>
      <c r="X52" s="1184"/>
      <c r="Y52" s="1184"/>
      <c r="Z52" s="1184"/>
    </row>
    <row r="53" spans="1:26" ht="15.5">
      <c r="A53" s="1184"/>
      <c r="B53" s="1201" t="s">
        <v>324</v>
      </c>
      <c r="C53" s="1203">
        <f>Dashboard!J77</f>
        <v>146965.4700317778</v>
      </c>
      <c r="D53" s="1190" t="s">
        <v>325</v>
      </c>
      <c r="E53" s="1184"/>
      <c r="F53" s="1184"/>
      <c r="G53" s="1184"/>
      <c r="H53" s="1184"/>
      <c r="I53" s="1184"/>
      <c r="J53" s="1184"/>
      <c r="K53" s="1184"/>
      <c r="L53" s="1184"/>
      <c r="M53" s="1184"/>
      <c r="N53" s="1184"/>
      <c r="O53" s="1184"/>
      <c r="P53" s="1184"/>
      <c r="Q53" s="1184"/>
      <c r="R53" s="1184"/>
      <c r="S53" s="1184"/>
      <c r="T53" s="1184"/>
      <c r="U53" s="1184"/>
      <c r="V53" s="1184"/>
      <c r="W53" s="1184"/>
      <c r="X53" s="1184"/>
      <c r="Y53" s="1184"/>
      <c r="Z53" s="1184"/>
    </row>
    <row r="54" spans="1:26" ht="15.5">
      <c r="A54" s="1184"/>
      <c r="B54" s="1201" t="s">
        <v>327</v>
      </c>
      <c r="C54" s="1203">
        <f>Dashboard!J78</f>
        <v>79892.774052163484</v>
      </c>
      <c r="D54" s="1190" t="s">
        <v>325</v>
      </c>
      <c r="E54" s="1184"/>
      <c r="F54" s="1184"/>
      <c r="G54" s="1184"/>
      <c r="H54" s="1184"/>
      <c r="I54" s="1184"/>
      <c r="J54" s="1184"/>
      <c r="K54" s="1184"/>
      <c r="L54" s="1184"/>
      <c r="M54" s="1184"/>
      <c r="N54" s="1184"/>
      <c r="O54" s="1184"/>
      <c r="P54" s="1184"/>
      <c r="Q54" s="1184"/>
      <c r="R54" s="1184"/>
      <c r="S54" s="1184"/>
      <c r="T54" s="1184"/>
      <c r="U54" s="1184"/>
      <c r="V54" s="1184"/>
      <c r="W54" s="1184"/>
      <c r="X54" s="1184"/>
      <c r="Y54" s="1184"/>
      <c r="Z54" s="1184"/>
    </row>
    <row r="55" spans="1:26" ht="15.5">
      <c r="A55" s="1184"/>
      <c r="B55" s="1201" t="s">
        <v>249</v>
      </c>
      <c r="C55" s="1204">
        <f>Dashboard!J79</f>
        <v>0.70345495527680413</v>
      </c>
      <c r="D55" s="1201" t="s">
        <v>328</v>
      </c>
      <c r="E55" s="1184"/>
      <c r="F55" s="1184"/>
      <c r="G55" s="1184"/>
      <c r="H55" s="1184"/>
      <c r="I55" s="1184"/>
      <c r="J55" s="1184"/>
      <c r="K55" s="1184"/>
      <c r="L55" s="1184"/>
      <c r="M55" s="1184"/>
      <c r="N55" s="1184"/>
      <c r="O55" s="1184"/>
      <c r="P55" s="1184"/>
      <c r="Q55" s="1184"/>
      <c r="R55" s="1184"/>
      <c r="S55" s="1184"/>
      <c r="T55" s="1184"/>
      <c r="U55" s="1184"/>
      <c r="V55" s="1184"/>
      <c r="W55" s="1184"/>
      <c r="X55" s="1184"/>
      <c r="Y55" s="1184"/>
      <c r="Z55" s="1184"/>
    </row>
    <row r="56" spans="1:26" ht="15.5">
      <c r="A56" s="1184"/>
      <c r="B56" s="1184"/>
      <c r="C56" s="1184"/>
      <c r="D56" s="1184"/>
      <c r="E56" s="1184"/>
      <c r="F56" s="1184"/>
      <c r="G56" s="1184"/>
      <c r="H56" s="1184"/>
      <c r="I56" s="1184"/>
      <c r="J56" s="1184"/>
      <c r="K56" s="1184"/>
      <c r="L56" s="1184"/>
      <c r="M56" s="1184"/>
      <c r="N56" s="1184"/>
      <c r="O56" s="1184"/>
      <c r="P56" s="1184"/>
      <c r="Q56" s="1184"/>
      <c r="R56" s="1184"/>
      <c r="S56" s="1184"/>
      <c r="T56" s="1184"/>
      <c r="U56" s="1184"/>
      <c r="V56" s="1184"/>
      <c r="W56" s="1184"/>
      <c r="X56" s="1184"/>
      <c r="Y56" s="1184"/>
      <c r="Z56" s="1184"/>
    </row>
    <row r="57" spans="1:26" ht="15.5">
      <c r="A57" s="1184">
        <v>5</v>
      </c>
      <c r="B57" s="1443" t="s">
        <v>2260</v>
      </c>
      <c r="C57" s="1445"/>
      <c r="D57" s="1444"/>
      <c r="E57" s="1446"/>
      <c r="F57" s="1305"/>
      <c r="G57" s="1305"/>
      <c r="H57" s="1184"/>
      <c r="I57" s="1184"/>
      <c r="J57" s="1184"/>
      <c r="K57" s="1184"/>
      <c r="L57" s="1184"/>
      <c r="M57" s="1184"/>
      <c r="N57" s="1184"/>
      <c r="O57" s="1184"/>
      <c r="P57" s="1184"/>
      <c r="Q57" s="1184"/>
      <c r="R57" s="1184"/>
      <c r="S57" s="1184"/>
      <c r="T57" s="1184"/>
      <c r="U57" s="1184"/>
      <c r="V57" s="1184"/>
      <c r="W57" s="1184"/>
      <c r="X57" s="1184"/>
      <c r="Y57" s="1184"/>
      <c r="Z57" s="1184"/>
    </row>
    <row r="58" spans="1:26" ht="15.5">
      <c r="A58" s="1184"/>
      <c r="B58" s="1186" t="s">
        <v>211</v>
      </c>
      <c r="C58" s="1186" t="s">
        <v>212</v>
      </c>
      <c r="D58" s="1186" t="s">
        <v>317</v>
      </c>
      <c r="E58" s="1205"/>
      <c r="F58" s="1205"/>
      <c r="G58" s="1205"/>
      <c r="H58" s="1184"/>
      <c r="I58" s="1184"/>
      <c r="J58" s="1184"/>
      <c r="K58" s="1184"/>
      <c r="L58" s="1184"/>
      <c r="M58" s="1184"/>
      <c r="N58" s="1184"/>
      <c r="O58" s="1184"/>
      <c r="P58" s="1184"/>
      <c r="Q58" s="1184"/>
      <c r="R58" s="1184"/>
      <c r="S58" s="1184"/>
      <c r="T58" s="1184"/>
      <c r="U58" s="1184"/>
      <c r="V58" s="1184"/>
      <c r="W58" s="1184"/>
      <c r="X58" s="1184"/>
      <c r="Y58" s="1184"/>
      <c r="Z58" s="1184"/>
    </row>
    <row r="59" spans="1:26" ht="15.5">
      <c r="A59" s="1184"/>
      <c r="B59" s="1187" t="s">
        <v>262</v>
      </c>
      <c r="C59" s="1188">
        <f>Dashboard!G41</f>
        <v>20615521.882462904</v>
      </c>
      <c r="D59" s="1201" t="s">
        <v>322</v>
      </c>
      <c r="E59" s="1206"/>
      <c r="F59" s="1207"/>
      <c r="G59" s="1206"/>
      <c r="H59" s="1184"/>
      <c r="I59" s="1184"/>
      <c r="J59" s="1184"/>
      <c r="K59" s="1184"/>
      <c r="L59" s="1184"/>
      <c r="M59" s="1184"/>
      <c r="N59" s="1184"/>
      <c r="O59" s="1184"/>
      <c r="P59" s="1184"/>
      <c r="Q59" s="1184"/>
      <c r="R59" s="1184"/>
      <c r="S59" s="1184"/>
      <c r="T59" s="1184"/>
      <c r="U59" s="1184"/>
      <c r="V59" s="1184"/>
      <c r="W59" s="1184"/>
      <c r="X59" s="1184"/>
      <c r="Y59" s="1184"/>
      <c r="Z59" s="1184"/>
    </row>
    <row r="60" spans="1:26" ht="15.5">
      <c r="A60" s="1184"/>
      <c r="B60" s="1187" t="s">
        <v>264</v>
      </c>
      <c r="C60" s="1188">
        <f>Dashboard!G42</f>
        <v>18125573.176462904</v>
      </c>
      <c r="D60" s="1201" t="s">
        <v>322</v>
      </c>
      <c r="E60" s="1206"/>
      <c r="F60" s="1207"/>
      <c r="G60" s="1206"/>
      <c r="H60" s="1184"/>
      <c r="I60" s="1184"/>
      <c r="J60" s="1184"/>
      <c r="K60" s="1184"/>
      <c r="L60" s="1184"/>
      <c r="M60" s="1184"/>
      <c r="N60" s="1184"/>
      <c r="O60" s="1184"/>
      <c r="P60" s="1184"/>
      <c r="Q60" s="1184"/>
      <c r="R60" s="1184"/>
      <c r="S60" s="1184"/>
      <c r="T60" s="1184"/>
      <c r="U60" s="1184"/>
      <c r="V60" s="1184"/>
      <c r="W60" s="1184"/>
      <c r="X60" s="1184"/>
      <c r="Y60" s="1184"/>
      <c r="Z60" s="1184"/>
    </row>
    <row r="61" spans="1:26" ht="15.5">
      <c r="A61" s="1184"/>
      <c r="B61" s="1187" t="s">
        <v>266</v>
      </c>
      <c r="C61" s="1192">
        <f>Dashboard!G43</f>
        <v>0.87921971026510193</v>
      </c>
      <c r="D61" s="1201" t="s">
        <v>328</v>
      </c>
      <c r="E61" s="1206"/>
      <c r="F61" s="1207"/>
      <c r="G61" s="1206"/>
      <c r="H61" s="1184"/>
      <c r="I61" s="1184"/>
      <c r="J61" s="1184"/>
      <c r="K61" s="1184"/>
      <c r="L61" s="1184"/>
      <c r="M61" s="1184"/>
      <c r="N61" s="1184"/>
      <c r="O61" s="1184"/>
      <c r="P61" s="1184"/>
      <c r="Q61" s="1184"/>
      <c r="R61" s="1184"/>
      <c r="S61" s="1184"/>
      <c r="T61" s="1184"/>
      <c r="U61" s="1184"/>
      <c r="V61" s="1184"/>
      <c r="W61" s="1184"/>
      <c r="X61" s="1184"/>
      <c r="Y61" s="1184"/>
      <c r="Z61" s="1184"/>
    </row>
    <row r="62" spans="1:26" ht="15.5">
      <c r="A62" s="1184"/>
      <c r="B62" s="1187" t="s">
        <v>194</v>
      </c>
      <c r="C62" s="1188">
        <f>Dashboard!G44</f>
        <v>10726643.498227151</v>
      </c>
      <c r="D62" s="1201" t="s">
        <v>322</v>
      </c>
      <c r="E62" s="1206"/>
      <c r="F62" s="1207"/>
      <c r="G62" s="1206"/>
      <c r="H62" s="1184"/>
      <c r="I62" s="1184"/>
      <c r="J62" s="1184"/>
      <c r="K62" s="1184"/>
      <c r="L62" s="1184"/>
      <c r="M62" s="1184"/>
      <c r="N62" s="1184"/>
      <c r="O62" s="1184"/>
      <c r="P62" s="1184"/>
      <c r="Q62" s="1184"/>
      <c r="R62" s="1184"/>
      <c r="S62" s="1184"/>
      <c r="T62" s="1184"/>
      <c r="U62" s="1184"/>
      <c r="V62" s="1184"/>
      <c r="W62" s="1184"/>
      <c r="X62" s="1184"/>
      <c r="Y62" s="1184"/>
      <c r="Z62" s="1184"/>
    </row>
    <row r="63" spans="1:26" ht="15.5">
      <c r="A63" s="1184"/>
      <c r="B63" s="1187" t="s">
        <v>269</v>
      </c>
      <c r="C63" s="1192">
        <f>Dashboard!G45</f>
        <v>0.52031879471128173</v>
      </c>
      <c r="D63" s="1201" t="s">
        <v>328</v>
      </c>
      <c r="E63" s="1206"/>
      <c r="F63" s="1208"/>
      <c r="G63" s="1206"/>
      <c r="H63" s="1184"/>
      <c r="I63" s="1184"/>
      <c r="J63" s="1184"/>
      <c r="K63" s="1184"/>
      <c r="L63" s="1184"/>
      <c r="M63" s="1184"/>
      <c r="N63" s="1184"/>
      <c r="O63" s="1184"/>
      <c r="P63" s="1184"/>
      <c r="Q63" s="1184"/>
      <c r="R63" s="1184"/>
      <c r="S63" s="1184"/>
      <c r="T63" s="1184"/>
      <c r="U63" s="1184"/>
      <c r="V63" s="1184"/>
      <c r="W63" s="1184"/>
      <c r="X63" s="1184"/>
      <c r="Y63" s="1184"/>
      <c r="Z63" s="1184"/>
    </row>
    <row r="64" spans="1:26" ht="15.5">
      <c r="A64" s="1184"/>
      <c r="B64" s="1187" t="s">
        <v>271</v>
      </c>
      <c r="C64" s="1188">
        <f>Dashboard!G46</f>
        <v>6240242.941259006</v>
      </c>
      <c r="D64" s="1201" t="s">
        <v>322</v>
      </c>
      <c r="E64" s="1184"/>
      <c r="F64" s="1184"/>
      <c r="G64" s="1184"/>
      <c r="H64" s="1184"/>
      <c r="I64" s="1184"/>
      <c r="J64" s="1184"/>
      <c r="K64" s="1184"/>
      <c r="L64" s="1184"/>
      <c r="M64" s="1184"/>
      <c r="N64" s="1184"/>
      <c r="O64" s="1184"/>
      <c r="P64" s="1184"/>
      <c r="Q64" s="1184"/>
      <c r="R64" s="1184"/>
      <c r="S64" s="1184"/>
      <c r="T64" s="1184"/>
      <c r="U64" s="1184"/>
      <c r="V64" s="1184"/>
      <c r="W64" s="1184"/>
      <c r="X64" s="1184"/>
      <c r="Y64" s="1184"/>
      <c r="Z64" s="1184"/>
    </row>
    <row r="65" spans="1:26" ht="15.5">
      <c r="A65" s="1184"/>
      <c r="B65" s="1187" t="s">
        <v>273</v>
      </c>
      <c r="C65" s="1192">
        <f>Dashboard!G47</f>
        <v>0.30269633613143798</v>
      </c>
      <c r="D65" s="1201" t="s">
        <v>328</v>
      </c>
      <c r="E65" s="1184"/>
      <c r="F65" s="1184"/>
      <c r="G65" s="1184"/>
      <c r="H65" s="1184"/>
      <c r="I65" s="1184"/>
      <c r="J65" s="1184"/>
      <c r="K65" s="1184"/>
      <c r="L65" s="1184"/>
      <c r="M65" s="1184"/>
      <c r="N65" s="1184"/>
      <c r="O65" s="1184"/>
      <c r="P65" s="1184"/>
      <c r="Q65" s="1184"/>
      <c r="R65" s="1184"/>
      <c r="S65" s="1184"/>
      <c r="T65" s="1184"/>
      <c r="U65" s="1184"/>
      <c r="V65" s="1184"/>
      <c r="W65" s="1184"/>
      <c r="X65" s="1184"/>
      <c r="Y65" s="1184"/>
      <c r="Z65" s="1184"/>
    </row>
    <row r="66" spans="1:26" ht="15.5">
      <c r="A66" s="1184"/>
      <c r="B66" s="1190" t="s">
        <v>319</v>
      </c>
      <c r="C66" s="1202">
        <f>Dashboard!J29</f>
        <v>162.34200000000004</v>
      </c>
      <c r="D66" s="1201" t="s">
        <v>320</v>
      </c>
      <c r="E66" s="1184"/>
      <c r="F66" s="1184"/>
      <c r="G66" s="1184"/>
      <c r="H66" s="1184"/>
      <c r="I66" s="1184"/>
      <c r="J66" s="1184"/>
      <c r="K66" s="1184"/>
      <c r="L66" s="1184"/>
      <c r="M66" s="1184"/>
      <c r="N66" s="1184"/>
      <c r="O66" s="1184"/>
      <c r="P66" s="1184"/>
      <c r="Q66" s="1184"/>
      <c r="R66" s="1184"/>
      <c r="S66" s="1184"/>
      <c r="T66" s="1184"/>
      <c r="U66" s="1184"/>
      <c r="V66" s="1184"/>
      <c r="W66" s="1184"/>
      <c r="X66" s="1184"/>
      <c r="Y66" s="1184"/>
      <c r="Z66" s="1184"/>
    </row>
    <row r="67" spans="1:26" ht="29">
      <c r="A67" s="1184"/>
      <c r="B67" s="1201" t="s">
        <v>324</v>
      </c>
      <c r="C67" s="1203">
        <f>Dashboard!J31</f>
        <v>126988.22167068842</v>
      </c>
      <c r="D67" s="1190" t="s">
        <v>325</v>
      </c>
      <c r="E67" s="1184"/>
      <c r="F67" s="1184"/>
      <c r="G67" s="1184"/>
      <c r="H67" s="24" t="s">
        <v>261</v>
      </c>
      <c r="I67" s="1209">
        <v>17.727</v>
      </c>
      <c r="J67" s="1184"/>
      <c r="K67" s="1184"/>
      <c r="L67" s="1184"/>
      <c r="M67" s="1184"/>
      <c r="N67" s="1184"/>
      <c r="O67" s="1184"/>
      <c r="P67" s="1184"/>
      <c r="Q67" s="1184"/>
      <c r="R67" s="1184"/>
      <c r="S67" s="1184"/>
      <c r="T67" s="1184"/>
      <c r="U67" s="1184"/>
      <c r="V67" s="1184"/>
      <c r="W67" s="1184"/>
      <c r="X67" s="1184"/>
      <c r="Y67" s="1184"/>
      <c r="Z67" s="1184"/>
    </row>
    <row r="68" spans="1:26" ht="29">
      <c r="A68" s="1184"/>
      <c r="B68" s="1201" t="s">
        <v>327</v>
      </c>
      <c r="C68" s="1203">
        <f>Dashboard!J32</f>
        <v>66074.358442221652</v>
      </c>
      <c r="D68" s="1190" t="s">
        <v>325</v>
      </c>
      <c r="E68" s="1184"/>
      <c r="F68" s="1184"/>
      <c r="G68" s="1184"/>
      <c r="H68" s="24" t="s">
        <v>263</v>
      </c>
      <c r="I68" s="1209">
        <v>16.794</v>
      </c>
      <c r="J68" s="1184"/>
      <c r="K68" s="1184"/>
      <c r="L68" s="1184"/>
      <c r="M68" s="1184"/>
      <c r="N68" s="1184"/>
      <c r="O68" s="1184"/>
      <c r="P68" s="1184"/>
      <c r="Q68" s="1184"/>
      <c r="R68" s="1184"/>
      <c r="S68" s="1184"/>
      <c r="T68" s="1184"/>
      <c r="U68" s="1184"/>
      <c r="V68" s="1184"/>
      <c r="W68" s="1184"/>
      <c r="X68" s="1184"/>
      <c r="Y68" s="1184"/>
      <c r="Z68" s="1184"/>
    </row>
    <row r="69" spans="1:26" ht="29">
      <c r="A69" s="1184"/>
      <c r="B69" s="1201" t="s">
        <v>249</v>
      </c>
      <c r="C69" s="1204">
        <f>Dashboard!J33</f>
        <v>0.54280443934499745</v>
      </c>
      <c r="D69" s="1201" t="s">
        <v>328</v>
      </c>
      <c r="E69" s="1184"/>
      <c r="F69" s="1184"/>
      <c r="G69" s="1184"/>
      <c r="H69" s="24" t="s">
        <v>265</v>
      </c>
      <c r="I69" s="1209">
        <v>13.995000000000001</v>
      </c>
      <c r="J69" s="1184"/>
      <c r="K69" s="1184"/>
      <c r="L69" s="1184"/>
      <c r="M69" s="1184"/>
      <c r="N69" s="1184"/>
      <c r="O69" s="1184"/>
      <c r="P69" s="1184"/>
      <c r="Q69" s="1184"/>
      <c r="R69" s="1184"/>
      <c r="S69" s="1184"/>
      <c r="T69" s="1184"/>
      <c r="U69" s="1184"/>
      <c r="V69" s="1184"/>
      <c r="W69" s="1184"/>
      <c r="X69" s="1184"/>
      <c r="Y69" s="1184"/>
      <c r="Z69" s="1184"/>
    </row>
    <row r="70" spans="1:26" ht="15.5">
      <c r="A70" s="1184"/>
      <c r="B70" s="1184"/>
      <c r="C70" s="1184"/>
      <c r="D70" s="1184"/>
      <c r="E70" s="1184"/>
      <c r="F70" s="1184"/>
      <c r="G70" s="1184"/>
      <c r="H70" s="24" t="s">
        <v>1541</v>
      </c>
      <c r="I70" s="1209">
        <v>16.794</v>
      </c>
      <c r="J70" s="1184"/>
      <c r="K70" s="1184"/>
      <c r="L70" s="1184"/>
      <c r="M70" s="1184"/>
      <c r="N70" s="1184"/>
      <c r="O70" s="1184"/>
      <c r="P70" s="1184"/>
      <c r="Q70" s="1184"/>
      <c r="R70" s="1184"/>
      <c r="S70" s="1184"/>
      <c r="T70" s="1184"/>
      <c r="U70" s="1184"/>
      <c r="V70" s="1184"/>
      <c r="W70" s="1184"/>
      <c r="X70" s="1184"/>
      <c r="Y70" s="1184"/>
      <c r="Z70" s="1184"/>
    </row>
    <row r="71" spans="1:26" ht="29">
      <c r="A71" s="1184">
        <v>6</v>
      </c>
      <c r="B71" s="1184" t="s">
        <v>2261</v>
      </c>
      <c r="C71" s="1184"/>
      <c r="D71" s="1184"/>
      <c r="E71" s="1184"/>
      <c r="F71" s="1184"/>
      <c r="G71" s="1184"/>
      <c r="H71" s="24" t="s">
        <v>1076</v>
      </c>
      <c r="I71" s="1209">
        <v>13.995000000000001</v>
      </c>
      <c r="J71" s="1184"/>
      <c r="K71" s="1184"/>
      <c r="L71" s="1184"/>
      <c r="M71" s="1184"/>
      <c r="N71" s="1184"/>
      <c r="O71" s="1184"/>
      <c r="P71" s="1184"/>
      <c r="Q71" s="1184"/>
      <c r="R71" s="1184"/>
      <c r="S71" s="1184"/>
      <c r="T71" s="1184"/>
      <c r="U71" s="1184"/>
      <c r="V71" s="1184"/>
      <c r="W71" s="1184"/>
      <c r="X71" s="1184"/>
      <c r="Y71" s="1184"/>
      <c r="Z71" s="1184"/>
    </row>
    <row r="72" spans="1:26" ht="29">
      <c r="A72" s="1184"/>
      <c r="B72" s="1443" t="s">
        <v>296</v>
      </c>
      <c r="C72" s="1444"/>
      <c r="D72" s="1206">
        <v>7</v>
      </c>
      <c r="E72" s="1443" t="s">
        <v>297</v>
      </c>
      <c r="F72" s="1444"/>
      <c r="G72" s="1184"/>
      <c r="H72" s="24" t="s">
        <v>1078</v>
      </c>
      <c r="I72" s="1209">
        <v>13.995000000000001</v>
      </c>
      <c r="J72" s="1184"/>
      <c r="K72" s="1184"/>
      <c r="L72" s="1184"/>
      <c r="M72" s="1184"/>
      <c r="N72" s="1184"/>
      <c r="O72" s="1184"/>
      <c r="P72" s="1184"/>
      <c r="Q72" s="1184"/>
      <c r="R72" s="1184"/>
      <c r="S72" s="1184"/>
      <c r="T72" s="1184"/>
      <c r="U72" s="1184"/>
      <c r="V72" s="1184"/>
      <c r="W72" s="1184"/>
      <c r="X72" s="1184"/>
      <c r="Y72" s="1184"/>
      <c r="Z72" s="1184"/>
    </row>
    <row r="73" spans="1:26" ht="15.5">
      <c r="A73" s="1184"/>
      <c r="B73" s="1186" t="s">
        <v>299</v>
      </c>
      <c r="C73" s="1186" t="s">
        <v>300</v>
      </c>
      <c r="D73" s="1206"/>
      <c r="E73" s="1186" t="s">
        <v>299</v>
      </c>
      <c r="F73" s="1186" t="s">
        <v>300</v>
      </c>
      <c r="G73" s="1184"/>
      <c r="H73" s="24" t="s">
        <v>1080</v>
      </c>
      <c r="I73" s="1209">
        <v>2.7990000000000004</v>
      </c>
      <c r="J73" s="1184"/>
      <c r="K73" s="1184"/>
      <c r="L73" s="1184"/>
      <c r="M73" s="1184"/>
      <c r="N73" s="1184"/>
      <c r="O73" s="1184"/>
      <c r="P73" s="1184"/>
      <c r="Q73" s="1184"/>
      <c r="R73" s="1184"/>
      <c r="S73" s="1184"/>
      <c r="T73" s="1184"/>
      <c r="U73" s="1184"/>
      <c r="V73" s="1184"/>
      <c r="W73" s="1184"/>
      <c r="X73" s="1184"/>
      <c r="Y73" s="1184"/>
      <c r="Z73" s="1184"/>
    </row>
    <row r="74" spans="1:26" ht="15.5">
      <c r="A74" s="1184"/>
      <c r="B74" s="1187" t="s">
        <v>302</v>
      </c>
      <c r="C74" s="1210">
        <f t="array" ref="C74">IFERROR((INDEX('Calendar Assumptions'!$F$5:$P$5,MATCH(Inputs!$E$488,'Calendar Assumptions'!$F$4:$P$4,0))+INDEX('Calendar Assumptions'!$F$6:$P$6,MATCH(Inputs!$E$488,'Calendar Assumptions'!$F$4:$P$4,0))+INDEX('Calendar Assumptions'!$F$7:$P$7,MATCH(Inputs!$E$488,'Calendar Assumptions'!$F$4:$P$4,0))),0)</f>
        <v>52</v>
      </c>
      <c r="D74" s="1206"/>
      <c r="E74" s="1187" t="s">
        <v>302</v>
      </c>
      <c r="F74" s="1210">
        <f t="array" ref="F74">IFERROR((INDEX('Calendar Assumptions'!$F$5:$P$5,MATCH(Valuations!$C$128,'Calendar Assumptions'!$F$4:$P$4,0))+INDEX('Calendar Assumptions'!$F$6:$P$6,MATCH(Valuations!$C$128,'Calendar Assumptions'!$F$4:$P$4,0))+INDEX('Calendar Assumptions'!$F$7:$P$7,MATCH(Valuations!$C$128,'Calendar Assumptions'!$F$4:$P$4,0))),0)</f>
        <v>48.516000000000005</v>
      </c>
      <c r="G74" s="1184"/>
      <c r="H74" s="24" t="s">
        <v>311</v>
      </c>
      <c r="I74" s="1209">
        <v>27.057000000000002</v>
      </c>
      <c r="J74" s="1184"/>
      <c r="K74" s="1184"/>
      <c r="L74" s="1184"/>
      <c r="M74" s="1184"/>
      <c r="N74" s="1184"/>
      <c r="O74" s="1184"/>
      <c r="P74" s="1184"/>
      <c r="Q74" s="1184"/>
      <c r="R74" s="1184"/>
      <c r="S74" s="1184"/>
      <c r="T74" s="1184"/>
      <c r="U74" s="1184"/>
      <c r="V74" s="1184"/>
      <c r="W74" s="1184"/>
      <c r="X74" s="1184"/>
      <c r="Y74" s="1184"/>
      <c r="Z74" s="1184"/>
    </row>
    <row r="75" spans="1:26" ht="15.5">
      <c r="A75" s="1184"/>
      <c r="B75" s="1187" t="s">
        <v>304</v>
      </c>
      <c r="C75" s="1211">
        <f t="array" ref="C75">IFERROR(INDEX('Calendar Assumptions'!$F$8:$P$8, MATCH(Inputs!$E$488,'Calendar Assumptions'!$F$4:$P$4,0)),0)</f>
        <v>18</v>
      </c>
      <c r="D75" s="1206"/>
      <c r="E75" s="1187" t="s">
        <v>304</v>
      </c>
      <c r="F75" s="1210">
        <f t="array" ref="F75">IFERROR(INDEX('Calendar Assumptions'!$F$8:$P$8, MATCH(Valuations!$C$128,'Calendar Assumptions'!$F$4:$P$4,0)),0)</f>
        <v>16.794</v>
      </c>
      <c r="G75" s="1184"/>
      <c r="H75" s="24" t="s">
        <v>272</v>
      </c>
      <c r="I75" s="1209">
        <v>11.196000000000002</v>
      </c>
      <c r="J75" s="1184"/>
      <c r="K75" s="1184"/>
      <c r="L75" s="1184"/>
      <c r="M75" s="1184"/>
      <c r="N75" s="1184"/>
      <c r="O75" s="1184"/>
      <c r="P75" s="1184"/>
      <c r="Q75" s="1184"/>
      <c r="R75" s="1184"/>
      <c r="S75" s="1184"/>
      <c r="T75" s="1184"/>
      <c r="U75" s="1184"/>
      <c r="V75" s="1184"/>
      <c r="W75" s="1184"/>
      <c r="X75" s="1184"/>
      <c r="Y75" s="1184"/>
      <c r="Z75" s="1184"/>
    </row>
    <row r="76" spans="1:26" ht="15.5">
      <c r="A76" s="1184"/>
      <c r="B76" s="1187" t="s">
        <v>306</v>
      </c>
      <c r="C76" s="1211">
        <f t="array" ref="C76">IFERROR(INDEX('Calendar Assumptions'!$F$9:$P$9, MATCH(Inputs!$E$488,'Calendar Assumptions'!$F$4:$P$4,0)),0)</f>
        <v>15</v>
      </c>
      <c r="D76" s="1206"/>
      <c r="E76" s="1187" t="s">
        <v>306</v>
      </c>
      <c r="F76" s="1210">
        <f t="array" ref="F76">IFERROR(INDEX('Calendar Assumptions'!$F$9:$P$9, MATCH(Valuations!$C$128,'Calendar Assumptions'!$F$4:$P$4,0)),0)</f>
        <v>13.995000000000001</v>
      </c>
      <c r="G76" s="1184"/>
      <c r="H76" s="24" t="s">
        <v>1542</v>
      </c>
      <c r="I76" s="1209">
        <v>3.7320000000000002</v>
      </c>
      <c r="J76" s="1184"/>
      <c r="K76" s="1184"/>
      <c r="L76" s="1184"/>
      <c r="M76" s="1184"/>
      <c r="N76" s="1184"/>
      <c r="O76" s="1184"/>
      <c r="P76" s="1184"/>
      <c r="Q76" s="1184"/>
      <c r="R76" s="1184"/>
      <c r="S76" s="1184"/>
      <c r="T76" s="1184"/>
      <c r="U76" s="1184"/>
      <c r="V76" s="1184"/>
      <c r="W76" s="1184"/>
      <c r="X76" s="1184"/>
      <c r="Y76" s="1184"/>
      <c r="Z76" s="1184"/>
    </row>
    <row r="77" spans="1:26" ht="29">
      <c r="A77" s="1184"/>
      <c r="B77" s="1187" t="s">
        <v>308</v>
      </c>
      <c r="C77" s="1211">
        <f t="array" ref="C77">IFERROR(INDEX('Calendar Assumptions'!$F$10:$P$10, MATCH(Inputs!$E$488,'Calendar Assumptions'!$F$4:$P$4,0)),0)</f>
        <v>15</v>
      </c>
      <c r="D77" s="1206"/>
      <c r="E77" s="1187" t="s">
        <v>308</v>
      </c>
      <c r="F77" s="1210">
        <f t="array" ref="F77">IFERROR(INDEX('Calendar Assumptions'!$F$10:$P$10, MATCH(Valuations!$C$128,'Calendar Assumptions'!$F$4:$P$4,0)),0)</f>
        <v>13.995000000000001</v>
      </c>
      <c r="G77" s="1184"/>
      <c r="H77" s="24" t="s">
        <v>1543</v>
      </c>
      <c r="I77" s="1209">
        <v>24.258000000000003</v>
      </c>
      <c r="J77" s="1184"/>
      <c r="K77" s="1184"/>
      <c r="L77" s="1184"/>
      <c r="M77" s="1184"/>
      <c r="N77" s="1184"/>
      <c r="O77" s="1184"/>
      <c r="P77" s="1184"/>
      <c r="Q77" s="1184"/>
      <c r="R77" s="1184"/>
      <c r="S77" s="1184"/>
      <c r="T77" s="1184"/>
      <c r="U77" s="1184"/>
      <c r="V77" s="1184"/>
      <c r="W77" s="1184"/>
      <c r="X77" s="1184"/>
      <c r="Y77" s="1184"/>
      <c r="Z77" s="1184"/>
    </row>
    <row r="78" spans="1:26" ht="15.5">
      <c r="A78" s="1184"/>
      <c r="B78" s="1187" t="s">
        <v>1080</v>
      </c>
      <c r="C78" s="1211">
        <f t="array" ref="C78">IFERROR(INDEX('Calendar Assumptions'!$F$11:$P$11, MATCH(Inputs!$E$488,'Calendar Assumptions'!$F$4:$P$4,0)),0)</f>
        <v>3</v>
      </c>
      <c r="D78" s="1206"/>
      <c r="E78" s="1187" t="s">
        <v>1080</v>
      </c>
      <c r="F78" s="1210">
        <f t="array" ref="F78">IFERROR(INDEX('Calendar Assumptions'!$F$11:$P$11, MATCH(Valuations!$C$128,'Calendar Assumptions'!$F$4:$P$4,0)),0)</f>
        <v>2.7990000000000004</v>
      </c>
      <c r="G78" s="1184"/>
      <c r="H78" s="1184"/>
      <c r="I78" s="1184"/>
      <c r="J78" s="1184"/>
      <c r="K78" s="1184"/>
      <c r="L78" s="1184"/>
      <c r="M78" s="1184"/>
      <c r="N78" s="1184"/>
      <c r="O78" s="1184"/>
      <c r="P78" s="1184"/>
      <c r="Q78" s="1184"/>
      <c r="R78" s="1184"/>
      <c r="S78" s="1184"/>
      <c r="T78" s="1184"/>
      <c r="U78" s="1184"/>
      <c r="V78" s="1184"/>
      <c r="W78" s="1184"/>
      <c r="X78" s="1184"/>
      <c r="Y78" s="1184"/>
      <c r="Z78" s="1184"/>
    </row>
    <row r="79" spans="1:26" ht="15.5">
      <c r="A79" s="1184"/>
      <c r="B79" s="1187" t="s">
        <v>311</v>
      </c>
      <c r="C79" s="1211">
        <f t="array" ref="C79">IFERROR(INDEX('Calendar Assumptions'!$F$12:$P$12, MATCH(Inputs!$E$488,'Calendar Assumptions'!$F$4:$P$4,0)),0)</f>
        <v>29</v>
      </c>
      <c r="D79" s="1206"/>
      <c r="E79" s="1187" t="s">
        <v>311</v>
      </c>
      <c r="F79" s="1210">
        <f t="array" ref="F79">IFERROR(INDEX('Calendar Assumptions'!$F$12:$P$12, MATCH(Valuations!$C$128,'Calendar Assumptions'!$F$4:$P$4,0)),0)</f>
        <v>27.057000000000002</v>
      </c>
      <c r="G79" s="1184"/>
      <c r="H79" s="1184"/>
      <c r="I79" s="1184"/>
      <c r="J79" s="1184"/>
      <c r="K79" s="1184"/>
      <c r="L79" s="1184"/>
      <c r="M79" s="1184"/>
      <c r="N79" s="1184"/>
      <c r="O79" s="1184"/>
      <c r="P79" s="1184"/>
      <c r="Q79" s="1184"/>
      <c r="R79" s="1184"/>
      <c r="S79" s="1184"/>
      <c r="T79" s="1184"/>
      <c r="U79" s="1184"/>
      <c r="V79" s="1184"/>
      <c r="W79" s="1184"/>
      <c r="X79" s="1184"/>
      <c r="Y79" s="1184"/>
      <c r="Z79" s="1184"/>
    </row>
    <row r="80" spans="1:26" ht="15.5">
      <c r="A80" s="1184"/>
      <c r="B80" s="1187" t="s">
        <v>272</v>
      </c>
      <c r="C80" s="1211">
        <f t="array" ref="C80">IFERROR(INDEX('Calendar Assumptions'!$F$13:$P$13, MATCH(Inputs!$E$488,'Calendar Assumptions'!$F$4:$P$4,0)),0)</f>
        <v>12</v>
      </c>
      <c r="D80" s="1206"/>
      <c r="E80" s="1187" t="s">
        <v>272</v>
      </c>
      <c r="F80" s="1210">
        <f t="array" ref="F80">IFERROR(INDEX('Calendar Assumptions'!$F$13:$P$13, MATCH(Valuations!$C$128,'Calendar Assumptions'!$F$4:$P$4,0)),0)</f>
        <v>11.196000000000002</v>
      </c>
      <c r="G80" s="1184"/>
      <c r="H80" s="1184"/>
      <c r="I80" s="1184"/>
      <c r="J80" s="1184"/>
      <c r="K80" s="1184"/>
      <c r="L80" s="1184"/>
      <c r="M80" s="1184"/>
      <c r="N80" s="1184"/>
      <c r="O80" s="1184"/>
      <c r="P80" s="1184"/>
      <c r="Q80" s="1184"/>
      <c r="R80" s="1184"/>
      <c r="S80" s="1184"/>
      <c r="T80" s="1184"/>
      <c r="U80" s="1184"/>
      <c r="V80" s="1184"/>
      <c r="W80" s="1184"/>
      <c r="X80" s="1184"/>
      <c r="Y80" s="1184"/>
      <c r="Z80" s="1184"/>
    </row>
    <row r="81" spans="1:26" ht="15.5">
      <c r="A81" s="1184"/>
      <c r="B81" s="1187" t="s">
        <v>1085</v>
      </c>
      <c r="C81" s="1211">
        <f t="array" ref="C81">IFERROR(INDEX('Calendar Assumptions'!$F$15:$P$15, MATCH(Inputs!$E$488,'Calendar Assumptions'!$F$4:$P$4,0)),0)</f>
        <v>26</v>
      </c>
      <c r="D81" s="1206"/>
      <c r="E81" s="1187" t="s">
        <v>1085</v>
      </c>
      <c r="F81" s="1210">
        <f t="array" ref="F81">IFERROR(INDEX('Calendar Assumptions'!$F$15:$P$15, MATCH(Valuations!$C$128,'Calendar Assumptions'!$F$4:$P$4,0)),0)</f>
        <v>24.258000000000003</v>
      </c>
      <c r="G81" s="1184"/>
      <c r="H81" s="1184"/>
      <c r="I81" s="1184"/>
      <c r="J81" s="1184"/>
      <c r="K81" s="1184"/>
      <c r="L81" s="1184"/>
      <c r="M81" s="1184"/>
      <c r="N81" s="1184"/>
      <c r="O81" s="1184"/>
      <c r="P81" s="1184"/>
      <c r="Q81" s="1184"/>
      <c r="R81" s="1184"/>
      <c r="S81" s="1184"/>
      <c r="T81" s="1184"/>
      <c r="U81" s="1184"/>
      <c r="V81" s="1184"/>
      <c r="W81" s="1184"/>
      <c r="X81" s="1184"/>
      <c r="Y81" s="1184"/>
      <c r="Z81" s="1184"/>
    </row>
    <row r="82" spans="1:26" ht="15.5">
      <c r="A82" s="1184"/>
      <c r="B82" s="1187" t="s">
        <v>313</v>
      </c>
      <c r="C82" s="1211">
        <f t="array" ref="C82">IFERROR(INDEX('Calendar Assumptions'!$F$14:$P$14, MATCH(Inputs!$E$488,'Calendar Assumptions'!$F$4:$P$4,0)),0)</f>
        <v>4</v>
      </c>
      <c r="D82" s="1206"/>
      <c r="E82" s="1187" t="s">
        <v>313</v>
      </c>
      <c r="F82" s="1210">
        <f t="array" ref="F82">IFERROR(INDEX('Calendar Assumptions'!$F$14:$P$14, MATCH(Valuations!$C$128,'Calendar Assumptions'!$F$4:$P$4,0)),0)</f>
        <v>3.7320000000000002</v>
      </c>
      <c r="G82" s="1184"/>
      <c r="H82" s="1184"/>
      <c r="I82" s="1184"/>
      <c r="J82" s="1184"/>
      <c r="K82" s="1184"/>
      <c r="L82" s="1184"/>
      <c r="M82" s="1184"/>
      <c r="N82" s="1184"/>
      <c r="O82" s="1184"/>
      <c r="P82" s="1184"/>
      <c r="Q82" s="1184"/>
      <c r="R82" s="1184"/>
      <c r="S82" s="1184"/>
      <c r="T82" s="1184"/>
      <c r="U82" s="1184"/>
      <c r="V82" s="1184"/>
      <c r="W82" s="1184"/>
      <c r="X82" s="1184"/>
      <c r="Y82" s="1184"/>
      <c r="Z82" s="1184"/>
    </row>
    <row r="83" spans="1:26" ht="15.5">
      <c r="A83" s="1184"/>
      <c r="B83" s="1184"/>
      <c r="C83" s="1184"/>
      <c r="D83" s="1184"/>
      <c r="E83" s="1184"/>
      <c r="F83" s="1184"/>
      <c r="G83" s="1184"/>
      <c r="H83" s="1184"/>
      <c r="I83" s="1184"/>
      <c r="J83" s="1184"/>
      <c r="K83" s="1184"/>
      <c r="L83" s="1184"/>
      <c r="M83" s="1184"/>
      <c r="N83" s="1184"/>
      <c r="O83" s="1184"/>
      <c r="P83" s="1184"/>
      <c r="Q83" s="1184"/>
      <c r="R83" s="1184"/>
      <c r="S83" s="1184"/>
      <c r="T83" s="1184"/>
      <c r="U83" s="1184"/>
      <c r="V83" s="1184"/>
      <c r="W83" s="1184"/>
      <c r="X83" s="1184"/>
      <c r="Y83" s="1184"/>
      <c r="Z83" s="1184"/>
    </row>
    <row r="84" spans="1:26" ht="15.5">
      <c r="A84" s="1184"/>
      <c r="B84" s="1184"/>
      <c r="C84" s="1184"/>
      <c r="D84" s="1184"/>
      <c r="E84" s="1184"/>
      <c r="F84" s="1184"/>
      <c r="G84" s="1184"/>
      <c r="H84" s="1184"/>
      <c r="I84" s="1184"/>
      <c r="J84" s="1184"/>
      <c r="K84" s="1184"/>
      <c r="L84" s="1184"/>
      <c r="M84" s="1184"/>
      <c r="N84" s="1184"/>
      <c r="O84" s="1184"/>
      <c r="P84" s="1184"/>
      <c r="Q84" s="1184"/>
      <c r="R84" s="1184"/>
      <c r="S84" s="1184"/>
      <c r="T84" s="1184"/>
      <c r="U84" s="1184"/>
      <c r="V84" s="1184"/>
      <c r="W84" s="1184"/>
      <c r="X84" s="1184"/>
      <c r="Y84" s="1184"/>
      <c r="Z84" s="1184"/>
    </row>
    <row r="85" spans="1:26" ht="15.5">
      <c r="A85" s="1184"/>
      <c r="B85" s="1184"/>
      <c r="C85" s="1184"/>
      <c r="D85" s="1184"/>
      <c r="E85" s="1184"/>
      <c r="F85" s="1184"/>
      <c r="G85" s="1184"/>
      <c r="H85" s="1184"/>
      <c r="I85" s="1184"/>
      <c r="J85" s="1184"/>
      <c r="K85" s="1184"/>
      <c r="L85" s="1184"/>
      <c r="M85" s="1184"/>
      <c r="N85" s="1184"/>
      <c r="O85" s="1184"/>
      <c r="P85" s="1184"/>
      <c r="Q85" s="1184"/>
      <c r="R85" s="1184"/>
      <c r="S85" s="1184"/>
      <c r="T85" s="1184"/>
      <c r="U85" s="1184"/>
      <c r="V85" s="1184"/>
      <c r="W85" s="1184"/>
      <c r="X85" s="1184"/>
      <c r="Y85" s="1184"/>
      <c r="Z85" s="1184"/>
    </row>
    <row r="86" spans="1:26" ht="15.5">
      <c r="A86" s="1184"/>
      <c r="B86" s="1184"/>
      <c r="C86" s="1184"/>
      <c r="D86" s="1184"/>
      <c r="E86" s="1184"/>
      <c r="F86" s="1184"/>
      <c r="G86" s="1184"/>
      <c r="H86" s="1184"/>
      <c r="I86" s="1184"/>
      <c r="J86" s="1184"/>
      <c r="K86" s="1184"/>
      <c r="L86" s="1184"/>
      <c r="M86" s="1184"/>
      <c r="N86" s="1184"/>
      <c r="O86" s="1184"/>
      <c r="P86" s="1184"/>
      <c r="Q86" s="1184"/>
      <c r="R86" s="1184"/>
      <c r="S86" s="1184"/>
      <c r="T86" s="1184"/>
      <c r="U86" s="1184"/>
      <c r="V86" s="1184"/>
      <c r="W86" s="1184"/>
      <c r="X86" s="1184"/>
      <c r="Y86" s="1184"/>
      <c r="Z86" s="1184"/>
    </row>
    <row r="87" spans="1:26" ht="15.5">
      <c r="A87" s="1184"/>
      <c r="B87" s="1184"/>
      <c r="C87" s="1184"/>
      <c r="D87" s="1184"/>
      <c r="E87" s="1184"/>
      <c r="F87" s="1184"/>
      <c r="G87" s="1184"/>
      <c r="H87" s="1184"/>
      <c r="I87" s="1184"/>
      <c r="J87" s="1184"/>
      <c r="K87" s="1184"/>
      <c r="L87" s="1184"/>
      <c r="M87" s="1184"/>
      <c r="N87" s="1184"/>
      <c r="O87" s="1184"/>
      <c r="P87" s="1184"/>
      <c r="Q87" s="1184"/>
      <c r="R87" s="1184"/>
      <c r="S87" s="1184"/>
      <c r="T87" s="1184"/>
      <c r="U87" s="1184"/>
      <c r="V87" s="1184"/>
      <c r="W87" s="1184"/>
      <c r="X87" s="1184"/>
      <c r="Y87" s="1184"/>
      <c r="Z87" s="1184"/>
    </row>
    <row r="88" spans="1:26" ht="15.5">
      <c r="A88" s="1184"/>
      <c r="B88" s="1184"/>
      <c r="C88" s="1184"/>
      <c r="D88" s="1184"/>
      <c r="E88" s="1184"/>
      <c r="F88" s="1184"/>
      <c r="G88" s="1184"/>
      <c r="H88" s="1184"/>
      <c r="I88" s="1184"/>
      <c r="J88" s="1184"/>
      <c r="K88" s="1184"/>
      <c r="L88" s="1184"/>
      <c r="M88" s="1184"/>
      <c r="N88" s="1184"/>
      <c r="O88" s="1184"/>
      <c r="P88" s="1184"/>
      <c r="Q88" s="1184"/>
      <c r="R88" s="1184"/>
      <c r="S88" s="1184"/>
      <c r="T88" s="1184"/>
      <c r="U88" s="1184"/>
      <c r="V88" s="1184"/>
      <c r="W88" s="1184"/>
      <c r="X88" s="1184"/>
      <c r="Y88" s="1184"/>
      <c r="Z88" s="1184"/>
    </row>
    <row r="89" spans="1:26" ht="15.5">
      <c r="A89" s="1184"/>
      <c r="B89" s="1184"/>
      <c r="C89" s="1184"/>
      <c r="D89" s="1184"/>
      <c r="E89" s="1184"/>
      <c r="F89" s="1184"/>
      <c r="G89" s="1184"/>
      <c r="H89" s="1184"/>
      <c r="I89" s="1184"/>
      <c r="J89" s="1184"/>
      <c r="K89" s="1184"/>
      <c r="L89" s="1184"/>
      <c r="M89" s="1184"/>
      <c r="N89" s="1184"/>
      <c r="O89" s="1184"/>
      <c r="P89" s="1184"/>
      <c r="Q89" s="1184"/>
      <c r="R89" s="1184"/>
      <c r="S89" s="1184"/>
      <c r="T89" s="1184"/>
      <c r="U89" s="1184"/>
      <c r="V89" s="1184"/>
      <c r="W89" s="1184"/>
      <c r="X89" s="1184"/>
      <c r="Y89" s="1184"/>
      <c r="Z89" s="1184"/>
    </row>
    <row r="90" spans="1:26" ht="15.5">
      <c r="A90" s="1184"/>
      <c r="B90" s="1184"/>
      <c r="C90" s="1184"/>
      <c r="D90" s="1184"/>
      <c r="E90" s="1184"/>
      <c r="F90" s="1184"/>
      <c r="G90" s="1184"/>
      <c r="H90" s="1184"/>
      <c r="I90" s="1184"/>
      <c r="J90" s="1184"/>
      <c r="K90" s="1184"/>
      <c r="L90" s="1184"/>
      <c r="M90" s="1184"/>
      <c r="N90" s="1184"/>
      <c r="O90" s="1184"/>
      <c r="P90" s="1184"/>
      <c r="Q90" s="1184"/>
      <c r="R90" s="1184"/>
      <c r="S90" s="1184"/>
      <c r="T90" s="1184"/>
      <c r="U90" s="1184"/>
      <c r="V90" s="1184"/>
      <c r="W90" s="1184"/>
      <c r="X90" s="1184"/>
      <c r="Y90" s="1184"/>
      <c r="Z90" s="1184"/>
    </row>
    <row r="91" spans="1:26" ht="15.5">
      <c r="A91" s="1184"/>
      <c r="B91" s="1184"/>
      <c r="C91" s="1184"/>
      <c r="D91" s="1184"/>
      <c r="E91" s="1184"/>
      <c r="F91" s="1184"/>
      <c r="G91" s="1184"/>
      <c r="H91" s="1184"/>
      <c r="I91" s="1184"/>
      <c r="J91" s="1184"/>
      <c r="K91" s="1184"/>
      <c r="L91" s="1184"/>
      <c r="M91" s="1184"/>
      <c r="N91" s="1184"/>
      <c r="O91" s="1184"/>
      <c r="P91" s="1184"/>
      <c r="Q91" s="1184"/>
      <c r="R91" s="1184"/>
      <c r="S91" s="1184"/>
      <c r="T91" s="1184"/>
      <c r="U91" s="1184"/>
      <c r="V91" s="1184"/>
      <c r="W91" s="1184"/>
      <c r="X91" s="1184"/>
      <c r="Y91" s="1184"/>
      <c r="Z91" s="1184"/>
    </row>
    <row r="92" spans="1:26" ht="15.5">
      <c r="A92" s="1184"/>
      <c r="B92" s="1184"/>
      <c r="C92" s="1184"/>
      <c r="D92" s="1184"/>
      <c r="E92" s="1184"/>
      <c r="F92" s="1184"/>
      <c r="G92" s="1184"/>
      <c r="H92" s="1184"/>
      <c r="I92" s="1184"/>
      <c r="J92" s="1184"/>
      <c r="K92" s="1184"/>
      <c r="L92" s="1184"/>
      <c r="M92" s="1184"/>
      <c r="N92" s="1184"/>
      <c r="O92" s="1184"/>
      <c r="P92" s="1184"/>
      <c r="Q92" s="1184"/>
      <c r="R92" s="1184"/>
      <c r="S92" s="1184"/>
      <c r="T92" s="1184"/>
      <c r="U92" s="1184"/>
      <c r="V92" s="1184"/>
      <c r="W92" s="1184"/>
      <c r="X92" s="1184"/>
      <c r="Y92" s="1184"/>
      <c r="Z92" s="1184"/>
    </row>
    <row r="93" spans="1:26" ht="15.5">
      <c r="A93" s="1184"/>
      <c r="B93" s="1184"/>
      <c r="C93" s="1184"/>
      <c r="D93" s="1184"/>
      <c r="E93" s="1184"/>
      <c r="F93" s="1184"/>
      <c r="G93" s="1184"/>
      <c r="H93" s="1184"/>
      <c r="I93" s="1184"/>
      <c r="J93" s="1184"/>
      <c r="K93" s="1184"/>
      <c r="L93" s="1184"/>
      <c r="M93" s="1184"/>
      <c r="N93" s="1184"/>
      <c r="O93" s="1184"/>
      <c r="P93" s="1184"/>
      <c r="Q93" s="1184"/>
      <c r="R93" s="1184"/>
      <c r="S93" s="1184"/>
      <c r="T93" s="1184"/>
      <c r="U93" s="1184"/>
      <c r="V93" s="1184"/>
      <c r="W93" s="1184"/>
      <c r="X93" s="1184"/>
      <c r="Y93" s="1184"/>
      <c r="Z93" s="1184"/>
    </row>
    <row r="94" spans="1:26" ht="15.5">
      <c r="A94" s="1184"/>
      <c r="B94" s="1184"/>
      <c r="C94" s="1184"/>
      <c r="D94" s="1184"/>
      <c r="E94" s="1184"/>
      <c r="F94" s="1184"/>
      <c r="G94" s="1184"/>
      <c r="H94" s="1184"/>
      <c r="I94" s="1184"/>
      <c r="J94" s="1184"/>
      <c r="K94" s="1184"/>
      <c r="L94" s="1184"/>
      <c r="M94" s="1184"/>
      <c r="N94" s="1184"/>
      <c r="O94" s="1184"/>
      <c r="P94" s="1184"/>
      <c r="Q94" s="1184"/>
      <c r="R94" s="1184"/>
      <c r="S94" s="1184"/>
      <c r="T94" s="1184"/>
      <c r="U94" s="1184"/>
      <c r="V94" s="1184"/>
      <c r="W94" s="1184"/>
      <c r="X94" s="1184"/>
      <c r="Y94" s="1184"/>
      <c r="Z94" s="1184"/>
    </row>
    <row r="95" spans="1:26" ht="15.5">
      <c r="A95" s="1184"/>
      <c r="B95" s="1184"/>
      <c r="C95" s="1184"/>
      <c r="D95" s="1184"/>
      <c r="E95" s="1184"/>
      <c r="F95" s="1184"/>
      <c r="G95" s="1184"/>
      <c r="H95" s="1184"/>
      <c r="I95" s="1184"/>
      <c r="J95" s="1184"/>
      <c r="K95" s="1184"/>
      <c r="L95" s="1184"/>
      <c r="M95" s="1184"/>
      <c r="N95" s="1184"/>
      <c r="O95" s="1184"/>
      <c r="P95" s="1184"/>
      <c r="Q95" s="1184"/>
      <c r="R95" s="1184"/>
      <c r="S95" s="1184"/>
      <c r="T95" s="1184"/>
      <c r="U95" s="1184"/>
      <c r="V95" s="1184"/>
      <c r="W95" s="1184"/>
      <c r="X95" s="1184"/>
      <c r="Y95" s="1184"/>
      <c r="Z95" s="1184"/>
    </row>
    <row r="96" spans="1:26" ht="15.5">
      <c r="A96" s="1184"/>
      <c r="B96" s="1184"/>
      <c r="C96" s="1184"/>
      <c r="D96" s="1184"/>
      <c r="E96" s="1184"/>
      <c r="F96" s="1184"/>
      <c r="G96" s="1184"/>
      <c r="H96" s="1184"/>
      <c r="I96" s="1184"/>
      <c r="J96" s="1184"/>
      <c r="K96" s="1184"/>
      <c r="L96" s="1184"/>
      <c r="M96" s="1184"/>
      <c r="N96" s="1184"/>
      <c r="O96" s="1184"/>
      <c r="P96" s="1184"/>
      <c r="Q96" s="1184"/>
      <c r="R96" s="1184"/>
      <c r="S96" s="1184"/>
      <c r="T96" s="1184"/>
      <c r="U96" s="1184"/>
      <c r="V96" s="1184"/>
      <c r="W96" s="1184"/>
      <c r="X96" s="1184"/>
      <c r="Y96" s="1184"/>
      <c r="Z96" s="1184"/>
    </row>
    <row r="97" spans="1:26" ht="15.5">
      <c r="A97" s="1184"/>
      <c r="B97" s="1184"/>
      <c r="C97" s="1184"/>
      <c r="D97" s="1184"/>
      <c r="E97" s="1184"/>
      <c r="F97" s="1184"/>
      <c r="G97" s="1184"/>
      <c r="H97" s="1184"/>
      <c r="I97" s="1184"/>
      <c r="J97" s="1184"/>
      <c r="K97" s="1184"/>
      <c r="L97" s="1184"/>
      <c r="M97" s="1184"/>
      <c r="N97" s="1184"/>
      <c r="O97" s="1184"/>
      <c r="P97" s="1184"/>
      <c r="Q97" s="1184"/>
      <c r="R97" s="1184"/>
      <c r="S97" s="1184"/>
      <c r="T97" s="1184"/>
      <c r="U97" s="1184"/>
      <c r="V97" s="1184"/>
      <c r="W97" s="1184"/>
      <c r="X97" s="1184"/>
      <c r="Y97" s="1184"/>
      <c r="Z97" s="1184"/>
    </row>
    <row r="98" spans="1:26" ht="15.5">
      <c r="A98" s="1184"/>
      <c r="B98" s="1184"/>
      <c r="C98" s="1184"/>
      <c r="D98" s="1184"/>
      <c r="E98" s="1184"/>
      <c r="F98" s="1184"/>
      <c r="G98" s="1184"/>
      <c r="H98" s="1184"/>
      <c r="I98" s="1184"/>
      <c r="J98" s="1184"/>
      <c r="K98" s="1184"/>
      <c r="L98" s="1184"/>
      <c r="M98" s="1184"/>
      <c r="N98" s="1184"/>
      <c r="O98" s="1184"/>
      <c r="P98" s="1184"/>
      <c r="Q98" s="1184"/>
      <c r="R98" s="1184"/>
      <c r="S98" s="1184"/>
      <c r="T98" s="1184"/>
      <c r="U98" s="1184"/>
      <c r="V98" s="1184"/>
      <c r="W98" s="1184"/>
      <c r="X98" s="1184"/>
      <c r="Y98" s="1184"/>
      <c r="Z98" s="1184"/>
    </row>
    <row r="99" spans="1:26" ht="15.5">
      <c r="A99" s="1184">
        <v>8</v>
      </c>
      <c r="B99" s="1184"/>
      <c r="C99" s="1184"/>
      <c r="D99" s="1184"/>
      <c r="E99" s="1184"/>
      <c r="F99" s="1184"/>
      <c r="G99" s="1184"/>
      <c r="H99" s="1184"/>
      <c r="I99" s="1184"/>
      <c r="J99" s="1184"/>
      <c r="K99" s="1184"/>
      <c r="L99" s="1184"/>
      <c r="M99" s="1184"/>
      <c r="N99" s="1184"/>
      <c r="O99" s="1184"/>
      <c r="P99" s="1184"/>
      <c r="Q99" s="1184"/>
      <c r="R99" s="1184"/>
      <c r="S99" s="1184"/>
      <c r="T99" s="1184"/>
      <c r="U99" s="1184"/>
      <c r="V99" s="1184"/>
      <c r="W99" s="1184"/>
      <c r="X99" s="1184"/>
      <c r="Y99" s="1184"/>
      <c r="Z99" s="1184"/>
    </row>
    <row r="100" spans="1:26" ht="15.5">
      <c r="A100" s="1184"/>
      <c r="B100" s="1184"/>
      <c r="C100" s="1184"/>
      <c r="D100" s="1184"/>
      <c r="E100" s="1184"/>
      <c r="F100" s="1184"/>
      <c r="G100" s="1184"/>
      <c r="H100" s="1184"/>
      <c r="I100" s="1184"/>
      <c r="J100" s="1184"/>
      <c r="K100" s="1184"/>
      <c r="L100" s="1184"/>
      <c r="M100" s="1184"/>
      <c r="N100" s="1184"/>
      <c r="O100" s="1184"/>
      <c r="P100" s="1184"/>
      <c r="Q100" s="1184"/>
      <c r="R100" s="1184"/>
      <c r="S100" s="1184"/>
      <c r="T100" s="1184"/>
      <c r="U100" s="1184"/>
      <c r="V100" s="1184"/>
      <c r="W100" s="1184"/>
      <c r="X100" s="1184"/>
      <c r="Y100" s="1184"/>
      <c r="Z100" s="1184"/>
    </row>
    <row r="101" spans="1:26" ht="15.5">
      <c r="A101" s="1184"/>
      <c r="B101" s="1184"/>
      <c r="C101" s="1184"/>
      <c r="D101" s="1184"/>
      <c r="E101" s="1184"/>
      <c r="F101" s="1184"/>
      <c r="G101" s="1184"/>
      <c r="H101" s="1184"/>
      <c r="I101" s="1184"/>
      <c r="J101" s="1184"/>
      <c r="K101" s="1184"/>
      <c r="L101" s="1184"/>
      <c r="M101" s="1184"/>
      <c r="N101" s="1184"/>
      <c r="O101" s="1184"/>
      <c r="P101" s="1184"/>
      <c r="Q101" s="1184"/>
      <c r="R101" s="1184"/>
      <c r="S101" s="1184"/>
      <c r="T101" s="1184"/>
      <c r="U101" s="1184"/>
      <c r="V101" s="1184"/>
      <c r="W101" s="1184"/>
      <c r="X101" s="1184"/>
      <c r="Y101" s="1184"/>
      <c r="Z101" s="1184"/>
    </row>
    <row r="102" spans="1:26" ht="15.5">
      <c r="A102" s="1184"/>
      <c r="B102" s="1184"/>
      <c r="C102" s="1184"/>
      <c r="D102" s="1184"/>
      <c r="E102" s="1184"/>
      <c r="F102" s="1184"/>
      <c r="G102" s="1184"/>
      <c r="H102" s="1184"/>
      <c r="I102" s="1184"/>
      <c r="J102" s="1184"/>
      <c r="K102" s="1184"/>
      <c r="L102" s="1184"/>
      <c r="M102" s="1184"/>
      <c r="N102" s="1184"/>
      <c r="O102" s="1184"/>
      <c r="P102" s="1184"/>
      <c r="Q102" s="1184"/>
      <c r="R102" s="1184"/>
      <c r="S102" s="1184"/>
      <c r="T102" s="1184"/>
      <c r="U102" s="1184"/>
      <c r="V102" s="1184"/>
      <c r="W102" s="1184"/>
      <c r="X102" s="1184"/>
      <c r="Y102" s="1184"/>
      <c r="Z102" s="1184"/>
    </row>
    <row r="103" spans="1:26" ht="15.5">
      <c r="A103" s="1184"/>
      <c r="B103" s="1184"/>
      <c r="C103" s="1184"/>
      <c r="D103" s="1184"/>
      <c r="E103" s="1184"/>
      <c r="F103" s="1184"/>
      <c r="G103" s="1184"/>
      <c r="H103" s="1184"/>
      <c r="I103" s="1184"/>
      <c r="J103" s="1184"/>
      <c r="K103" s="1184"/>
      <c r="L103" s="1184"/>
      <c r="M103" s="1184"/>
      <c r="N103" s="1184"/>
      <c r="O103" s="1184"/>
      <c r="P103" s="1184"/>
      <c r="Q103" s="1184"/>
      <c r="R103" s="1184"/>
      <c r="S103" s="1184"/>
      <c r="T103" s="1184"/>
      <c r="U103" s="1184"/>
      <c r="V103" s="1184"/>
      <c r="W103" s="1184"/>
      <c r="X103" s="1184"/>
      <c r="Y103" s="1184"/>
      <c r="Z103" s="1184"/>
    </row>
    <row r="104" spans="1:26" ht="15.5">
      <c r="A104" s="1184"/>
      <c r="B104" s="1184"/>
      <c r="C104" s="1184"/>
      <c r="D104" s="1184"/>
      <c r="E104" s="1184"/>
      <c r="F104" s="1184"/>
      <c r="G104" s="1184"/>
      <c r="H104" s="1184"/>
      <c r="I104" s="1184"/>
      <c r="J104" s="1184"/>
      <c r="K104" s="1184"/>
      <c r="L104" s="1184"/>
      <c r="M104" s="1184"/>
      <c r="N104" s="1184"/>
      <c r="O104" s="1184"/>
      <c r="P104" s="1184"/>
      <c r="Q104" s="1184"/>
      <c r="R104" s="1184"/>
      <c r="S104" s="1184"/>
      <c r="T104" s="1184"/>
      <c r="U104" s="1184"/>
      <c r="V104" s="1184"/>
      <c r="W104" s="1184"/>
      <c r="X104" s="1184"/>
      <c r="Y104" s="1184"/>
      <c r="Z104" s="1184"/>
    </row>
    <row r="105" spans="1:26" ht="15.5">
      <c r="A105" s="1184"/>
      <c r="B105" s="1184"/>
      <c r="C105" s="1184"/>
      <c r="D105" s="1184"/>
      <c r="E105" s="1184"/>
      <c r="F105" s="1184"/>
      <c r="G105" s="1184"/>
      <c r="H105" s="1184"/>
      <c r="I105" s="1184"/>
      <c r="J105" s="1184"/>
      <c r="K105" s="1184"/>
      <c r="L105" s="1184"/>
      <c r="M105" s="1184"/>
      <c r="N105" s="1184"/>
      <c r="O105" s="1184"/>
      <c r="P105" s="1184"/>
      <c r="Q105" s="1184"/>
      <c r="R105" s="1184"/>
      <c r="S105" s="1184"/>
      <c r="T105" s="1184"/>
      <c r="U105" s="1184"/>
      <c r="V105" s="1184"/>
      <c r="W105" s="1184"/>
      <c r="X105" s="1184"/>
      <c r="Y105" s="1184"/>
      <c r="Z105" s="1184"/>
    </row>
    <row r="106" spans="1:26" ht="15.5">
      <c r="A106" s="1184"/>
      <c r="B106" s="1184"/>
      <c r="C106" s="1184"/>
      <c r="D106" s="1184"/>
      <c r="E106" s="1184"/>
      <c r="F106" s="1184"/>
      <c r="G106" s="1184"/>
      <c r="H106" s="1185"/>
      <c r="I106" s="1184"/>
      <c r="J106" s="1184"/>
      <c r="K106" s="1184"/>
      <c r="L106" s="1184"/>
      <c r="M106" s="1184"/>
      <c r="N106" s="1184"/>
      <c r="O106" s="1184"/>
      <c r="P106" s="1184"/>
      <c r="Q106" s="1184"/>
      <c r="R106" s="1184"/>
      <c r="S106" s="1184"/>
      <c r="T106" s="1184"/>
      <c r="U106" s="1184"/>
      <c r="V106" s="1184"/>
      <c r="W106" s="1184"/>
      <c r="X106" s="1184"/>
      <c r="Y106" s="1184"/>
      <c r="Z106" s="1184"/>
    </row>
    <row r="107" spans="1:26" ht="15.5">
      <c r="A107" s="1184"/>
      <c r="B107" s="1184"/>
      <c r="C107" s="1184"/>
      <c r="D107" s="1184"/>
      <c r="E107" s="1184"/>
      <c r="F107" s="1184"/>
      <c r="G107" s="1184"/>
      <c r="H107" s="1184"/>
      <c r="I107" s="1184"/>
      <c r="J107" s="1184"/>
      <c r="K107" s="1184"/>
      <c r="L107" s="1184"/>
      <c r="M107" s="1184"/>
      <c r="N107" s="1184"/>
      <c r="O107" s="1184"/>
      <c r="P107" s="1184"/>
      <c r="Q107" s="1184"/>
      <c r="R107" s="1184"/>
      <c r="S107" s="1184"/>
      <c r="T107" s="1184"/>
      <c r="U107" s="1184"/>
      <c r="V107" s="1184"/>
      <c r="W107" s="1184"/>
      <c r="X107" s="1184"/>
      <c r="Y107" s="1184"/>
      <c r="Z107" s="1184"/>
    </row>
    <row r="108" spans="1:26" ht="15.5">
      <c r="A108" s="1184"/>
      <c r="B108" s="1184"/>
      <c r="C108" s="1184"/>
      <c r="D108" s="1184"/>
      <c r="E108" s="1184"/>
      <c r="F108" s="1184"/>
      <c r="G108" s="1184"/>
      <c r="H108" s="1184"/>
      <c r="I108" s="1184"/>
      <c r="J108" s="1184"/>
      <c r="K108" s="1184"/>
      <c r="L108" s="1184"/>
      <c r="M108" s="1184"/>
      <c r="N108" s="1184"/>
      <c r="O108" s="1184"/>
      <c r="P108" s="1184"/>
      <c r="Q108" s="1184"/>
      <c r="R108" s="1184"/>
      <c r="S108" s="1184"/>
      <c r="T108" s="1184"/>
      <c r="U108" s="1184"/>
      <c r="V108" s="1184"/>
      <c r="W108" s="1184"/>
      <c r="X108" s="1184"/>
      <c r="Y108" s="1184"/>
      <c r="Z108" s="1184"/>
    </row>
    <row r="109" spans="1:26" ht="15.5">
      <c r="A109" s="1184"/>
      <c r="B109" s="1184"/>
      <c r="C109" s="1184"/>
      <c r="D109" s="1184"/>
      <c r="E109" s="1184"/>
      <c r="F109" s="1184"/>
      <c r="G109" s="1184"/>
      <c r="H109" s="1184"/>
      <c r="I109" s="1184"/>
      <c r="J109" s="1184"/>
      <c r="K109" s="1184"/>
      <c r="L109" s="1184"/>
      <c r="M109" s="1184"/>
      <c r="N109" s="1184"/>
      <c r="O109" s="1184"/>
      <c r="P109" s="1184"/>
      <c r="Q109" s="1184"/>
      <c r="R109" s="1184"/>
      <c r="S109" s="1184"/>
      <c r="T109" s="1184"/>
      <c r="U109" s="1184"/>
      <c r="V109" s="1184"/>
      <c r="W109" s="1184"/>
      <c r="X109" s="1184"/>
      <c r="Y109" s="1184"/>
      <c r="Z109" s="1184"/>
    </row>
    <row r="110" spans="1:26" ht="15.5">
      <c r="A110" s="1184"/>
      <c r="B110" s="1184"/>
      <c r="C110" s="1184"/>
      <c r="D110" s="1184"/>
      <c r="E110" s="1184"/>
      <c r="F110" s="1184"/>
      <c r="G110" s="1184"/>
      <c r="H110" s="1184"/>
      <c r="I110" s="1184"/>
      <c r="J110" s="1184"/>
      <c r="K110" s="1184"/>
      <c r="L110" s="1184"/>
      <c r="M110" s="1184"/>
      <c r="N110" s="1184"/>
      <c r="O110" s="1184"/>
      <c r="P110" s="1184"/>
      <c r="Q110" s="1184"/>
      <c r="R110" s="1184"/>
      <c r="S110" s="1184"/>
      <c r="T110" s="1184"/>
      <c r="U110" s="1184"/>
      <c r="V110" s="1184"/>
      <c r="W110" s="1184"/>
      <c r="X110" s="1184"/>
      <c r="Y110" s="1184"/>
      <c r="Z110" s="1184"/>
    </row>
    <row r="111" spans="1:26" ht="15.5">
      <c r="A111" s="1184"/>
      <c r="B111" s="1184"/>
      <c r="C111" s="1184"/>
      <c r="D111" s="1184"/>
      <c r="E111" s="1184"/>
      <c r="F111" s="1184"/>
      <c r="G111" s="1184"/>
      <c r="H111" s="1184"/>
      <c r="I111" s="1184"/>
      <c r="J111" s="1184"/>
      <c r="K111" s="1184"/>
      <c r="L111" s="1184"/>
      <c r="M111" s="1184"/>
      <c r="N111" s="1184"/>
      <c r="O111" s="1184"/>
      <c r="P111" s="1184"/>
      <c r="Q111" s="1184"/>
      <c r="R111" s="1184"/>
      <c r="S111" s="1184"/>
      <c r="T111" s="1184"/>
      <c r="U111" s="1184"/>
      <c r="V111" s="1184"/>
      <c r="W111" s="1184"/>
      <c r="X111" s="1184"/>
      <c r="Y111" s="1184"/>
      <c r="Z111" s="1184"/>
    </row>
    <row r="112" spans="1:26" ht="15.5">
      <c r="A112" s="1184"/>
      <c r="B112" s="1184"/>
      <c r="C112" s="1184"/>
      <c r="D112" s="1184"/>
      <c r="E112" s="1184"/>
      <c r="F112" s="1184"/>
      <c r="G112" s="1184"/>
      <c r="H112" s="1184"/>
      <c r="I112" s="1184"/>
      <c r="J112" s="1184"/>
      <c r="K112" s="1184"/>
      <c r="L112" s="1184"/>
      <c r="M112" s="1184"/>
      <c r="N112" s="1184"/>
      <c r="O112" s="1184"/>
      <c r="P112" s="1184"/>
      <c r="Q112" s="1184"/>
      <c r="R112" s="1184"/>
      <c r="S112" s="1184"/>
      <c r="T112" s="1184"/>
      <c r="U112" s="1184"/>
      <c r="V112" s="1184"/>
      <c r="W112" s="1184"/>
      <c r="X112" s="1184"/>
      <c r="Y112" s="1184"/>
      <c r="Z112" s="1184"/>
    </row>
    <row r="113" spans="1:26" ht="15.5">
      <c r="A113" s="1184"/>
      <c r="B113" s="1184"/>
      <c r="C113" s="1184"/>
      <c r="D113" s="1184"/>
      <c r="E113" s="1184"/>
      <c r="F113" s="1184"/>
      <c r="G113" s="1184"/>
      <c r="H113" s="1184"/>
      <c r="I113" s="1184"/>
      <c r="J113" s="1184"/>
      <c r="K113" s="1184"/>
      <c r="L113" s="1184"/>
      <c r="M113" s="1184"/>
      <c r="N113" s="1184"/>
      <c r="O113" s="1184"/>
      <c r="P113" s="1184"/>
      <c r="Q113" s="1184"/>
      <c r="R113" s="1184"/>
      <c r="S113" s="1184"/>
      <c r="T113" s="1184"/>
      <c r="U113" s="1184"/>
      <c r="V113" s="1184"/>
      <c r="W113" s="1184"/>
      <c r="X113" s="1184"/>
      <c r="Y113" s="1184"/>
      <c r="Z113" s="1184"/>
    </row>
    <row r="114" spans="1:26" ht="15.5">
      <c r="A114" s="1212"/>
      <c r="B114" s="1184"/>
      <c r="C114" s="1184"/>
      <c r="D114" s="1184"/>
      <c r="E114" s="1184"/>
      <c r="F114" s="1184"/>
      <c r="G114" s="1184"/>
      <c r="H114" s="1184"/>
      <c r="I114" s="1184"/>
      <c r="J114" s="1184"/>
      <c r="K114" s="1184"/>
      <c r="L114" s="1184"/>
      <c r="M114" s="1184"/>
      <c r="N114" s="1184"/>
      <c r="O114" s="1184"/>
      <c r="P114" s="1184"/>
      <c r="Q114" s="1184"/>
      <c r="R114" s="1184"/>
      <c r="S114" s="1184"/>
      <c r="T114" s="1184"/>
      <c r="U114" s="1184"/>
      <c r="V114" s="1184"/>
      <c r="W114" s="1184"/>
      <c r="X114" s="1184"/>
      <c r="Y114" s="1184"/>
      <c r="Z114" s="1184"/>
    </row>
    <row r="115" spans="1:26" ht="15.5">
      <c r="A115" s="1184"/>
      <c r="B115" s="1184"/>
      <c r="C115" s="1184"/>
      <c r="D115" s="1184"/>
      <c r="E115" s="1184"/>
      <c r="F115" s="1184"/>
      <c r="G115" s="1184"/>
      <c r="H115" s="1184"/>
      <c r="I115" s="1184"/>
      <c r="J115" s="1184"/>
      <c r="K115" s="1184"/>
      <c r="L115" s="1184"/>
      <c r="M115" s="1184"/>
      <c r="N115" s="1184"/>
      <c r="O115" s="1184"/>
      <c r="P115" s="1184"/>
      <c r="Q115" s="1184"/>
      <c r="R115" s="1184"/>
      <c r="S115" s="1184"/>
      <c r="T115" s="1184"/>
      <c r="U115" s="1184"/>
      <c r="V115" s="1184"/>
      <c r="W115" s="1184"/>
      <c r="X115" s="1184"/>
      <c r="Y115" s="1184"/>
      <c r="Z115" s="1184"/>
    </row>
    <row r="116" spans="1:26" ht="15.5">
      <c r="A116" s="1184">
        <v>9</v>
      </c>
      <c r="B116" s="1184"/>
      <c r="C116" s="1184"/>
      <c r="D116" s="1184"/>
      <c r="E116" s="1184"/>
      <c r="F116" s="1184"/>
      <c r="G116" s="1184"/>
      <c r="H116" s="1184"/>
      <c r="I116" s="1184"/>
      <c r="J116" s="1184"/>
      <c r="K116" s="1184"/>
      <c r="L116" s="1184"/>
      <c r="M116" s="1184"/>
      <c r="N116" s="1184"/>
      <c r="O116" s="1184"/>
      <c r="P116" s="1184"/>
      <c r="Q116" s="1184"/>
      <c r="R116" s="1184"/>
      <c r="S116" s="1184"/>
      <c r="T116" s="1184"/>
      <c r="U116" s="1184"/>
      <c r="V116" s="1184"/>
      <c r="W116" s="1184"/>
      <c r="X116" s="1184"/>
      <c r="Y116" s="1184"/>
      <c r="Z116" s="1184"/>
    </row>
    <row r="117" spans="1:26" ht="15.5">
      <c r="A117" s="1184"/>
      <c r="B117" s="1184"/>
      <c r="C117" s="1184"/>
      <c r="D117" s="1184"/>
      <c r="E117" s="1184"/>
      <c r="F117" s="1184"/>
      <c r="G117" s="1184"/>
      <c r="H117" s="1184"/>
      <c r="I117" s="1184"/>
      <c r="J117" s="1184"/>
      <c r="K117" s="1184"/>
      <c r="L117" s="1184"/>
      <c r="M117" s="1184"/>
      <c r="N117" s="1184"/>
      <c r="O117" s="1184"/>
      <c r="P117" s="1184"/>
      <c r="Q117" s="1184"/>
      <c r="R117" s="1184"/>
      <c r="S117" s="1184"/>
      <c r="T117" s="1184"/>
      <c r="U117" s="1184"/>
      <c r="V117" s="1184"/>
      <c r="W117" s="1184"/>
      <c r="X117" s="1184"/>
      <c r="Y117" s="1184"/>
      <c r="Z117" s="1184"/>
    </row>
    <row r="118" spans="1:26" ht="15.5">
      <c r="A118" s="1184"/>
      <c r="B118" s="1184"/>
      <c r="C118" s="1184"/>
      <c r="D118" s="1184"/>
      <c r="E118" s="1184"/>
      <c r="F118" s="1184"/>
      <c r="G118" s="1184"/>
      <c r="H118" s="1184"/>
      <c r="I118" s="1184"/>
      <c r="J118" s="1184"/>
      <c r="K118" s="1184"/>
      <c r="L118" s="1184"/>
      <c r="M118" s="1184"/>
      <c r="N118" s="1184"/>
      <c r="O118" s="1184"/>
      <c r="P118" s="1184"/>
      <c r="Q118" s="1184"/>
      <c r="R118" s="1184"/>
      <c r="S118" s="1184"/>
      <c r="T118" s="1184"/>
      <c r="U118" s="1184"/>
      <c r="V118" s="1184"/>
      <c r="W118" s="1184"/>
      <c r="X118" s="1184"/>
      <c r="Y118" s="1184"/>
      <c r="Z118" s="1184"/>
    </row>
    <row r="119" spans="1:26" ht="15.5">
      <c r="A119" s="1184"/>
      <c r="B119" s="1184"/>
      <c r="C119" s="1184"/>
      <c r="D119" s="1184"/>
      <c r="E119" s="1184"/>
      <c r="F119" s="1184"/>
      <c r="G119" s="1184"/>
      <c r="H119" s="1184"/>
      <c r="I119" s="1184"/>
      <c r="J119" s="1184"/>
      <c r="K119" s="1184"/>
      <c r="L119" s="1184"/>
      <c r="M119" s="1184"/>
      <c r="N119" s="1184"/>
      <c r="O119" s="1184"/>
      <c r="P119" s="1184"/>
      <c r="Q119" s="1184"/>
      <c r="R119" s="1184"/>
      <c r="S119" s="1184"/>
      <c r="T119" s="1184"/>
      <c r="U119" s="1184"/>
      <c r="V119" s="1184"/>
      <c r="W119" s="1184"/>
      <c r="X119" s="1184"/>
      <c r="Y119" s="1184"/>
      <c r="Z119" s="1184"/>
    </row>
    <row r="120" spans="1:26" ht="15.5">
      <c r="A120" s="1184"/>
      <c r="B120" s="1184"/>
      <c r="C120" s="1184"/>
      <c r="D120" s="1184"/>
      <c r="E120" s="1184"/>
      <c r="F120" s="1184"/>
      <c r="G120" s="1184"/>
      <c r="H120" s="1184"/>
      <c r="I120" s="1184"/>
      <c r="J120" s="1184"/>
      <c r="K120" s="1184"/>
      <c r="L120" s="1184"/>
      <c r="M120" s="1184"/>
      <c r="N120" s="1184"/>
      <c r="O120" s="1184"/>
      <c r="P120" s="1184"/>
      <c r="Q120" s="1184"/>
      <c r="R120" s="1184"/>
      <c r="S120" s="1184"/>
      <c r="T120" s="1184"/>
      <c r="U120" s="1184"/>
      <c r="V120" s="1184"/>
      <c r="W120" s="1184"/>
      <c r="X120" s="1184"/>
      <c r="Y120" s="1184"/>
      <c r="Z120" s="1184"/>
    </row>
    <row r="121" spans="1:26" ht="15.5">
      <c r="A121" s="1184"/>
      <c r="B121" s="1184"/>
      <c r="C121" s="1184"/>
      <c r="D121" s="1184"/>
      <c r="E121" s="1184"/>
      <c r="F121" s="1184"/>
      <c r="G121" s="1184"/>
      <c r="H121" s="1184"/>
      <c r="I121" s="1184"/>
      <c r="J121" s="1184"/>
      <c r="K121" s="1184"/>
      <c r="L121" s="1184"/>
      <c r="M121" s="1184"/>
      <c r="N121" s="1184"/>
      <c r="O121" s="1184"/>
      <c r="P121" s="1184"/>
      <c r="Q121" s="1184"/>
      <c r="R121" s="1184"/>
      <c r="S121" s="1184"/>
      <c r="T121" s="1184"/>
      <c r="U121" s="1184"/>
      <c r="V121" s="1184"/>
      <c r="W121" s="1184"/>
      <c r="X121" s="1184"/>
      <c r="Y121" s="1184"/>
      <c r="Z121" s="1184"/>
    </row>
    <row r="122" spans="1:26" ht="15.5">
      <c r="A122" s="1184"/>
      <c r="B122" s="1184"/>
      <c r="C122" s="1184"/>
      <c r="D122" s="1184"/>
      <c r="E122" s="1184"/>
      <c r="F122" s="1184"/>
      <c r="G122" s="1184"/>
      <c r="H122" s="1184"/>
      <c r="I122" s="1184"/>
      <c r="J122" s="1184"/>
      <c r="K122" s="1184"/>
      <c r="L122" s="1184"/>
      <c r="M122" s="1184"/>
      <c r="N122" s="1184"/>
      <c r="O122" s="1184"/>
      <c r="P122" s="1184"/>
      <c r="Q122" s="1184"/>
      <c r="R122" s="1184"/>
      <c r="S122" s="1184"/>
      <c r="T122" s="1184"/>
      <c r="U122" s="1184"/>
      <c r="V122" s="1184"/>
      <c r="W122" s="1184"/>
      <c r="X122" s="1184"/>
      <c r="Y122" s="1184"/>
      <c r="Z122" s="1184"/>
    </row>
    <row r="123" spans="1:26" ht="15.5">
      <c r="A123" s="1184"/>
      <c r="B123" s="1184"/>
      <c r="C123" s="1184"/>
      <c r="D123" s="1184"/>
      <c r="E123" s="1184"/>
      <c r="F123" s="1184"/>
      <c r="G123" s="1184"/>
      <c r="H123" s="1184"/>
      <c r="I123" s="1184"/>
      <c r="J123" s="1184"/>
      <c r="K123" s="1184"/>
      <c r="L123" s="1184"/>
      <c r="M123" s="1184"/>
      <c r="N123" s="1184"/>
      <c r="O123" s="1184"/>
      <c r="P123" s="1184"/>
      <c r="Q123" s="1184"/>
      <c r="R123" s="1184"/>
      <c r="S123" s="1184"/>
      <c r="T123" s="1184"/>
      <c r="U123" s="1184"/>
      <c r="V123" s="1184"/>
      <c r="W123" s="1184"/>
      <c r="X123" s="1184"/>
      <c r="Y123" s="1184"/>
      <c r="Z123" s="1184"/>
    </row>
    <row r="124" spans="1:26" ht="15.5">
      <c r="A124" s="1184"/>
      <c r="B124" s="1184"/>
      <c r="C124" s="1184"/>
      <c r="D124" s="1184"/>
      <c r="E124" s="1184"/>
      <c r="F124" s="1184"/>
      <c r="G124" s="1184"/>
      <c r="H124" s="1184"/>
      <c r="I124" s="1184"/>
      <c r="J124" s="1184"/>
      <c r="K124" s="1184"/>
      <c r="L124" s="1184"/>
      <c r="M124" s="1184"/>
      <c r="N124" s="1184"/>
      <c r="O124" s="1184"/>
      <c r="P124" s="1184"/>
      <c r="Q124" s="1184"/>
      <c r="R124" s="1184"/>
      <c r="S124" s="1184"/>
      <c r="T124" s="1184"/>
      <c r="U124" s="1184"/>
      <c r="V124" s="1184"/>
      <c r="W124" s="1184"/>
      <c r="X124" s="1184"/>
      <c r="Y124" s="1184"/>
      <c r="Z124" s="1184"/>
    </row>
    <row r="125" spans="1:26" ht="15.5">
      <c r="A125" s="1184"/>
      <c r="B125" s="1184"/>
      <c r="C125" s="1184"/>
      <c r="D125" s="1184"/>
      <c r="E125" s="1184"/>
      <c r="F125" s="1184"/>
      <c r="G125" s="1184"/>
      <c r="H125" s="1184"/>
      <c r="I125" s="1184"/>
      <c r="J125" s="1184"/>
      <c r="K125" s="1184"/>
      <c r="L125" s="1184"/>
      <c r="M125" s="1184"/>
      <c r="N125" s="1184"/>
      <c r="O125" s="1184"/>
      <c r="P125" s="1184"/>
      <c r="Q125" s="1184"/>
      <c r="R125" s="1184"/>
      <c r="S125" s="1184"/>
      <c r="T125" s="1184"/>
      <c r="U125" s="1184"/>
      <c r="V125" s="1184"/>
      <c r="W125" s="1184"/>
      <c r="X125" s="1184"/>
      <c r="Y125" s="1184"/>
      <c r="Z125" s="1184"/>
    </row>
    <row r="126" spans="1:26" ht="15.5">
      <c r="A126" s="1184"/>
      <c r="B126" s="1184"/>
      <c r="C126" s="1184"/>
      <c r="D126" s="1184"/>
      <c r="E126" s="1184"/>
      <c r="F126" s="1184"/>
      <c r="G126" s="1184"/>
      <c r="H126" s="1184"/>
      <c r="I126" s="1184"/>
      <c r="J126" s="1184"/>
      <c r="K126" s="1184"/>
      <c r="L126" s="1184"/>
      <c r="M126" s="1184"/>
      <c r="N126" s="1184"/>
      <c r="O126" s="1184"/>
      <c r="P126" s="1184"/>
      <c r="Q126" s="1184"/>
      <c r="R126" s="1184"/>
      <c r="S126" s="1184"/>
      <c r="T126" s="1184"/>
      <c r="U126" s="1184"/>
      <c r="V126" s="1184"/>
      <c r="W126" s="1184"/>
      <c r="X126" s="1184"/>
      <c r="Y126" s="1184"/>
      <c r="Z126" s="1184"/>
    </row>
    <row r="127" spans="1:26" ht="15.5">
      <c r="A127" s="1184"/>
      <c r="B127" s="1184"/>
      <c r="C127" s="1184"/>
      <c r="D127" s="1184"/>
      <c r="E127" s="1184"/>
      <c r="F127" s="1184"/>
      <c r="G127" s="1184"/>
      <c r="H127" s="1184"/>
      <c r="I127" s="1184"/>
      <c r="J127" s="1184"/>
      <c r="K127" s="1184"/>
      <c r="L127" s="1184"/>
      <c r="M127" s="1184"/>
      <c r="N127" s="1184"/>
      <c r="O127" s="1184"/>
      <c r="P127" s="1184"/>
      <c r="Q127" s="1184"/>
      <c r="R127" s="1184"/>
      <c r="S127" s="1184"/>
      <c r="T127" s="1184"/>
      <c r="U127" s="1184"/>
      <c r="V127" s="1184"/>
      <c r="W127" s="1184"/>
      <c r="X127" s="1184"/>
      <c r="Y127" s="1184"/>
      <c r="Z127" s="1184"/>
    </row>
    <row r="128" spans="1:26" ht="15.5">
      <c r="A128" s="1184"/>
      <c r="B128" s="1184"/>
      <c r="C128" s="1184"/>
      <c r="D128" s="1184"/>
      <c r="E128" s="1184"/>
      <c r="F128" s="1184"/>
      <c r="G128" s="1184"/>
      <c r="H128" s="1184"/>
      <c r="I128" s="1184"/>
      <c r="J128" s="1184"/>
      <c r="K128" s="1184"/>
      <c r="L128" s="1184"/>
      <c r="M128" s="1184"/>
      <c r="N128" s="1184"/>
      <c r="O128" s="1184"/>
      <c r="P128" s="1184"/>
      <c r="Q128" s="1184"/>
      <c r="R128" s="1184"/>
      <c r="S128" s="1184"/>
      <c r="T128" s="1184"/>
      <c r="U128" s="1184"/>
      <c r="V128" s="1184"/>
      <c r="W128" s="1184"/>
      <c r="X128" s="1184"/>
      <c r="Y128" s="1184"/>
      <c r="Z128" s="1184"/>
    </row>
    <row r="129" spans="1:26" ht="15.5">
      <c r="A129" s="1184"/>
      <c r="B129" s="1184"/>
      <c r="C129" s="1184"/>
      <c r="D129" s="1184"/>
      <c r="E129" s="1184"/>
      <c r="F129" s="1184"/>
      <c r="G129" s="1184"/>
      <c r="H129" s="1184"/>
      <c r="I129" s="1184"/>
      <c r="J129" s="1184"/>
      <c r="K129" s="1184"/>
      <c r="L129" s="1184"/>
      <c r="M129" s="1184"/>
      <c r="N129" s="1184"/>
      <c r="O129" s="1184"/>
      <c r="P129" s="1184"/>
      <c r="Q129" s="1184"/>
      <c r="R129" s="1184"/>
      <c r="S129" s="1184"/>
      <c r="T129" s="1184"/>
      <c r="U129" s="1184"/>
      <c r="V129" s="1184"/>
      <c r="W129" s="1184"/>
      <c r="X129" s="1184"/>
      <c r="Y129" s="1184"/>
      <c r="Z129" s="1184"/>
    </row>
    <row r="130" spans="1:26" ht="15.5">
      <c r="A130" s="1184"/>
      <c r="B130" s="1184"/>
      <c r="C130" s="1184"/>
      <c r="D130" s="1184"/>
      <c r="E130" s="1184"/>
      <c r="F130" s="1184"/>
      <c r="G130" s="1184"/>
      <c r="H130" s="1184"/>
      <c r="I130" s="1184"/>
      <c r="J130" s="1184"/>
      <c r="K130" s="1184"/>
      <c r="L130" s="1184"/>
      <c r="M130" s="1184"/>
      <c r="N130" s="1184"/>
      <c r="O130" s="1184"/>
      <c r="P130" s="1184"/>
      <c r="Q130" s="1184"/>
      <c r="R130" s="1184"/>
      <c r="S130" s="1184"/>
      <c r="T130" s="1184"/>
      <c r="U130" s="1184"/>
      <c r="V130" s="1184"/>
      <c r="W130" s="1184"/>
      <c r="X130" s="1184"/>
      <c r="Y130" s="1184"/>
      <c r="Z130" s="1184"/>
    </row>
    <row r="131" spans="1:26" ht="15.5">
      <c r="A131" s="1184"/>
      <c r="B131" s="1184"/>
      <c r="C131" s="1184"/>
      <c r="D131" s="1184"/>
      <c r="E131" s="1184"/>
      <c r="F131" s="1184"/>
      <c r="G131" s="1184"/>
      <c r="H131" s="1184"/>
      <c r="I131" s="1184"/>
      <c r="J131" s="1184"/>
      <c r="K131" s="1184"/>
      <c r="L131" s="1184"/>
      <c r="M131" s="1184"/>
      <c r="N131" s="1184"/>
      <c r="O131" s="1184"/>
      <c r="P131" s="1184"/>
      <c r="Q131" s="1184"/>
      <c r="R131" s="1184"/>
      <c r="S131" s="1184"/>
      <c r="T131" s="1184"/>
      <c r="U131" s="1184"/>
      <c r="V131" s="1184"/>
      <c r="W131" s="1184"/>
      <c r="X131" s="1184"/>
      <c r="Y131" s="1184"/>
      <c r="Z131" s="1184"/>
    </row>
    <row r="132" spans="1:26" ht="15.5">
      <c r="A132" s="1184">
        <v>10</v>
      </c>
      <c r="B132" s="1184"/>
      <c r="C132" s="1184"/>
      <c r="D132" s="1184"/>
      <c r="E132" s="1184"/>
      <c r="F132" s="1184"/>
      <c r="G132" s="1184"/>
      <c r="H132" s="1184"/>
      <c r="I132" s="1184"/>
      <c r="J132" s="1184"/>
      <c r="K132" s="1184"/>
      <c r="L132" s="1184"/>
      <c r="M132" s="1184"/>
      <c r="N132" s="1184"/>
      <c r="O132" s="1184"/>
      <c r="P132" s="1184"/>
      <c r="Q132" s="1184"/>
      <c r="R132" s="1184"/>
      <c r="S132" s="1184"/>
      <c r="T132" s="1184"/>
      <c r="U132" s="1184"/>
      <c r="V132" s="1184"/>
      <c r="W132" s="1184"/>
      <c r="X132" s="1184"/>
      <c r="Y132" s="1184"/>
      <c r="Z132" s="1184"/>
    </row>
    <row r="133" spans="1:26" ht="15.5">
      <c r="A133" s="1184"/>
      <c r="B133" s="1184"/>
      <c r="C133" s="1184"/>
      <c r="D133" s="1184"/>
      <c r="E133" s="1184"/>
      <c r="F133" s="1184"/>
      <c r="G133" s="1184"/>
      <c r="H133" s="1184"/>
      <c r="I133" s="1184"/>
      <c r="J133" s="1184"/>
      <c r="K133" s="1184"/>
      <c r="L133" s="1184"/>
      <c r="M133" s="1184"/>
      <c r="N133" s="1184"/>
      <c r="O133" s="1184"/>
      <c r="P133" s="1184"/>
      <c r="Q133" s="1184"/>
      <c r="R133" s="1184"/>
      <c r="S133" s="1184"/>
      <c r="T133" s="1184"/>
      <c r="U133" s="1184"/>
      <c r="V133" s="1184"/>
      <c r="W133" s="1184"/>
      <c r="X133" s="1184"/>
      <c r="Y133" s="1184"/>
      <c r="Z133" s="1184"/>
    </row>
    <row r="134" spans="1:26" ht="15.5">
      <c r="A134" s="1184"/>
      <c r="B134" s="1184"/>
      <c r="C134" s="1184"/>
      <c r="D134" s="1184"/>
      <c r="E134" s="1184"/>
      <c r="F134" s="1184"/>
      <c r="G134" s="1184"/>
      <c r="H134" s="1184"/>
      <c r="I134" s="1184"/>
      <c r="J134" s="1184"/>
      <c r="K134" s="1184"/>
      <c r="L134" s="1184"/>
      <c r="M134" s="1184"/>
      <c r="N134" s="1184"/>
      <c r="O134" s="1184"/>
      <c r="P134" s="1184"/>
      <c r="Q134" s="1184"/>
      <c r="R134" s="1184"/>
      <c r="S134" s="1184"/>
      <c r="T134" s="1184"/>
      <c r="U134" s="1184"/>
      <c r="V134" s="1184"/>
      <c r="W134" s="1184"/>
      <c r="X134" s="1184"/>
      <c r="Y134" s="1184"/>
      <c r="Z134" s="1184"/>
    </row>
    <row r="135" spans="1:26" ht="15.5">
      <c r="A135" s="1184"/>
      <c r="B135" s="1184"/>
      <c r="C135" s="1184"/>
      <c r="D135" s="1184"/>
      <c r="E135" s="1184"/>
      <c r="F135" s="1184"/>
      <c r="G135" s="1184"/>
      <c r="H135" s="1184"/>
      <c r="I135" s="1184"/>
      <c r="J135" s="1184"/>
      <c r="K135" s="1184"/>
      <c r="L135" s="1184"/>
      <c r="M135" s="1184"/>
      <c r="N135" s="1184"/>
      <c r="O135" s="1184"/>
      <c r="P135" s="1184"/>
      <c r="Q135" s="1184"/>
      <c r="R135" s="1184"/>
      <c r="S135" s="1184"/>
      <c r="T135" s="1184"/>
      <c r="U135" s="1184"/>
      <c r="V135" s="1184"/>
      <c r="W135" s="1184"/>
      <c r="X135" s="1184"/>
      <c r="Y135" s="1184"/>
      <c r="Z135" s="1184"/>
    </row>
    <row r="136" spans="1:26" ht="15.5">
      <c r="A136" s="1184"/>
      <c r="B136" s="1184"/>
      <c r="C136" s="1184"/>
      <c r="D136" s="1184"/>
      <c r="E136" s="1184"/>
      <c r="F136" s="1184"/>
      <c r="G136" s="1184"/>
      <c r="H136" s="1184"/>
      <c r="I136" s="1184"/>
      <c r="J136" s="1184"/>
      <c r="K136" s="1184"/>
      <c r="L136" s="1184"/>
      <c r="M136" s="1184"/>
      <c r="N136" s="1184"/>
      <c r="O136" s="1184"/>
      <c r="P136" s="1184"/>
      <c r="Q136" s="1184"/>
      <c r="R136" s="1184"/>
      <c r="S136" s="1184"/>
      <c r="T136" s="1184"/>
      <c r="U136" s="1184"/>
      <c r="V136" s="1184"/>
      <c r="W136" s="1184"/>
      <c r="X136" s="1184"/>
      <c r="Y136" s="1184"/>
      <c r="Z136" s="1184"/>
    </row>
    <row r="137" spans="1:26" ht="15.5">
      <c r="A137" s="1184"/>
      <c r="B137" s="1184"/>
      <c r="C137" s="1184"/>
      <c r="D137" s="1184"/>
      <c r="E137" s="1184"/>
      <c r="F137" s="1184"/>
      <c r="G137" s="1184"/>
      <c r="H137" s="1184"/>
      <c r="I137" s="1184"/>
      <c r="J137" s="1184"/>
      <c r="K137" s="1184"/>
      <c r="L137" s="1184"/>
      <c r="M137" s="1184"/>
      <c r="N137" s="1184"/>
      <c r="O137" s="1184"/>
      <c r="P137" s="1184"/>
      <c r="Q137" s="1184"/>
      <c r="R137" s="1184"/>
      <c r="S137" s="1184"/>
      <c r="T137" s="1184"/>
      <c r="U137" s="1184"/>
      <c r="V137" s="1184"/>
      <c r="W137" s="1184"/>
      <c r="X137" s="1184"/>
      <c r="Y137" s="1184"/>
      <c r="Z137" s="1184"/>
    </row>
    <row r="138" spans="1:26" ht="15.5">
      <c r="A138" s="1184"/>
      <c r="B138" s="1184"/>
      <c r="C138" s="1184"/>
      <c r="D138" s="1184"/>
      <c r="E138" s="1184"/>
      <c r="F138" s="1185" t="s">
        <v>2262</v>
      </c>
      <c r="G138" s="1184"/>
      <c r="H138" s="1184"/>
      <c r="I138" s="1184"/>
      <c r="J138" s="1184"/>
      <c r="K138" s="1184"/>
      <c r="L138" s="1184"/>
      <c r="M138" s="1184"/>
      <c r="N138" s="1184"/>
      <c r="O138" s="1184"/>
      <c r="P138" s="1184"/>
      <c r="Q138" s="1184"/>
      <c r="R138" s="1184"/>
      <c r="S138" s="1184"/>
      <c r="T138" s="1184"/>
      <c r="U138" s="1184"/>
      <c r="V138" s="1184"/>
      <c r="W138" s="1184"/>
      <c r="X138" s="1184"/>
      <c r="Y138" s="1184"/>
      <c r="Z138" s="1184"/>
    </row>
    <row r="139" spans="1:26" ht="15.5">
      <c r="A139" s="1184"/>
      <c r="B139" s="1184"/>
      <c r="C139" s="1184"/>
      <c r="D139" s="1184"/>
      <c r="E139" s="1184"/>
      <c r="F139" s="1184"/>
      <c r="G139" s="1184"/>
      <c r="H139" s="1184"/>
      <c r="I139" s="1184"/>
      <c r="J139" s="1184"/>
      <c r="K139" s="1184"/>
      <c r="L139" s="1184"/>
      <c r="M139" s="1184"/>
      <c r="N139" s="1184"/>
      <c r="O139" s="1184"/>
      <c r="P139" s="1184"/>
      <c r="Q139" s="1184"/>
      <c r="R139" s="1184"/>
      <c r="S139" s="1184"/>
      <c r="T139" s="1184"/>
      <c r="U139" s="1184"/>
      <c r="V139" s="1184"/>
      <c r="W139" s="1184"/>
      <c r="X139" s="1184"/>
      <c r="Y139" s="1184"/>
      <c r="Z139" s="1184"/>
    </row>
    <row r="140" spans="1:26" ht="15.5">
      <c r="A140" s="1184"/>
      <c r="B140" s="1184"/>
      <c r="C140" s="1184"/>
      <c r="D140" s="1184"/>
      <c r="E140" s="1184"/>
      <c r="F140" s="1184"/>
      <c r="G140" s="1184"/>
      <c r="H140" s="1184"/>
      <c r="I140" s="1184"/>
      <c r="J140" s="1184"/>
      <c r="K140" s="1184"/>
      <c r="L140" s="1184"/>
      <c r="M140" s="1184"/>
      <c r="N140" s="1184"/>
      <c r="O140" s="1184"/>
      <c r="P140" s="1184"/>
      <c r="Q140" s="1184"/>
      <c r="R140" s="1184"/>
      <c r="S140" s="1184"/>
      <c r="T140" s="1184"/>
      <c r="U140" s="1184"/>
      <c r="V140" s="1184"/>
      <c r="W140" s="1184"/>
      <c r="X140" s="1184"/>
      <c r="Y140" s="1184"/>
      <c r="Z140" s="1184"/>
    </row>
    <row r="141" spans="1:26" ht="15.5">
      <c r="A141" s="1184"/>
      <c r="B141" s="1184"/>
      <c r="C141" s="1184"/>
      <c r="D141" s="1184"/>
      <c r="E141" s="1184"/>
      <c r="F141" s="1184"/>
      <c r="G141" s="1184"/>
      <c r="H141" s="1184"/>
      <c r="I141" s="1184"/>
      <c r="J141" s="1184"/>
      <c r="K141" s="1184"/>
      <c r="L141" s="1184"/>
      <c r="M141" s="1184"/>
      <c r="N141" s="1184"/>
      <c r="O141" s="1184"/>
      <c r="P141" s="1184"/>
      <c r="Q141" s="1184"/>
      <c r="R141" s="1184"/>
      <c r="S141" s="1184"/>
      <c r="T141" s="1184"/>
      <c r="U141" s="1184"/>
      <c r="V141" s="1184"/>
      <c r="W141" s="1184"/>
      <c r="X141" s="1184"/>
      <c r="Y141" s="1184"/>
      <c r="Z141" s="1184"/>
    </row>
    <row r="142" spans="1:26" ht="15.5">
      <c r="A142" s="1184"/>
      <c r="B142" s="1184"/>
      <c r="C142" s="1184"/>
      <c r="D142" s="1184"/>
      <c r="E142" s="1184"/>
      <c r="F142" s="1184"/>
      <c r="G142" s="1184"/>
      <c r="H142" s="1184"/>
      <c r="I142" s="1184"/>
      <c r="J142" s="1184"/>
      <c r="K142" s="1184"/>
      <c r="L142" s="1184"/>
      <c r="M142" s="1184"/>
      <c r="N142" s="1184"/>
      <c r="O142" s="1184"/>
      <c r="P142" s="1184"/>
      <c r="Q142" s="1184"/>
      <c r="R142" s="1184"/>
      <c r="S142" s="1184"/>
      <c r="T142" s="1184"/>
      <c r="U142" s="1184"/>
      <c r="V142" s="1184"/>
      <c r="W142" s="1184"/>
      <c r="X142" s="1184"/>
      <c r="Y142" s="1184"/>
      <c r="Z142" s="1184"/>
    </row>
    <row r="143" spans="1:26" ht="15.5">
      <c r="A143" s="1184"/>
      <c r="B143" s="1184"/>
      <c r="C143" s="1184"/>
      <c r="D143" s="1184"/>
      <c r="E143" s="1184"/>
      <c r="F143" s="1184"/>
      <c r="G143" s="1184"/>
      <c r="H143" s="1184"/>
      <c r="I143" s="1184"/>
      <c r="J143" s="1184"/>
      <c r="K143" s="1184"/>
      <c r="L143" s="1184"/>
      <c r="M143" s="1184"/>
      <c r="N143" s="1184"/>
      <c r="O143" s="1184"/>
      <c r="P143" s="1184"/>
      <c r="Q143" s="1184"/>
      <c r="R143" s="1184"/>
      <c r="S143" s="1184"/>
      <c r="T143" s="1184"/>
      <c r="U143" s="1184"/>
      <c r="V143" s="1184"/>
      <c r="W143" s="1184"/>
      <c r="X143" s="1184"/>
      <c r="Y143" s="1184"/>
      <c r="Z143" s="1184"/>
    </row>
    <row r="144" spans="1:26" ht="15.5">
      <c r="A144" s="1184"/>
      <c r="B144" s="1184"/>
      <c r="C144" s="1184"/>
      <c r="D144" s="1184"/>
      <c r="E144" s="1184"/>
      <c r="F144" s="1184"/>
      <c r="G144" s="1184"/>
      <c r="H144" s="1184"/>
      <c r="I144" s="1184"/>
      <c r="J144" s="1184"/>
      <c r="K144" s="1184"/>
      <c r="L144" s="1184"/>
      <c r="M144" s="1184"/>
      <c r="N144" s="1184"/>
      <c r="O144" s="1184"/>
      <c r="P144" s="1184"/>
      <c r="Q144" s="1184"/>
      <c r="R144" s="1184"/>
      <c r="S144" s="1184"/>
      <c r="T144" s="1184"/>
      <c r="U144" s="1184"/>
      <c r="V144" s="1184"/>
      <c r="W144" s="1184"/>
      <c r="X144" s="1184"/>
      <c r="Y144" s="1184"/>
      <c r="Z144" s="1184"/>
    </row>
    <row r="145" spans="1:26" ht="15.5">
      <c r="A145" s="1184"/>
      <c r="B145" s="1184"/>
      <c r="C145" s="1184"/>
      <c r="D145" s="1184"/>
      <c r="E145" s="1184"/>
      <c r="F145" s="1184"/>
      <c r="G145" s="1184"/>
      <c r="H145" s="1184"/>
      <c r="I145" s="1184"/>
      <c r="J145" s="1184"/>
      <c r="K145" s="1184"/>
      <c r="L145" s="1184"/>
      <c r="M145" s="1184"/>
      <c r="N145" s="1184"/>
      <c r="O145" s="1184"/>
      <c r="P145" s="1184"/>
      <c r="Q145" s="1184"/>
      <c r="R145" s="1184"/>
      <c r="S145" s="1184"/>
      <c r="T145" s="1184"/>
      <c r="U145" s="1184"/>
      <c r="V145" s="1184"/>
      <c r="W145" s="1184"/>
      <c r="X145" s="1184"/>
      <c r="Y145" s="1184"/>
      <c r="Z145" s="1184"/>
    </row>
    <row r="146" spans="1:26" ht="15.5">
      <c r="A146" s="1184">
        <v>11</v>
      </c>
      <c r="B146" s="1184"/>
      <c r="C146" s="1184"/>
      <c r="D146" s="1184"/>
      <c r="E146" s="1184"/>
      <c r="F146" s="1184"/>
      <c r="G146" s="1184"/>
      <c r="H146" s="1184"/>
      <c r="I146" s="1184"/>
      <c r="J146" s="1184"/>
      <c r="K146" s="1184"/>
      <c r="L146" s="1184"/>
      <c r="M146" s="1184"/>
      <c r="N146" s="1184"/>
      <c r="O146" s="1184"/>
      <c r="P146" s="1184"/>
      <c r="Q146" s="1184"/>
      <c r="R146" s="1184"/>
      <c r="S146" s="1184"/>
      <c r="T146" s="1184"/>
      <c r="U146" s="1184"/>
      <c r="V146" s="1184"/>
      <c r="W146" s="1184"/>
      <c r="X146" s="1184"/>
      <c r="Y146" s="1184"/>
      <c r="Z146" s="1184"/>
    </row>
    <row r="147" spans="1:26" ht="15.5">
      <c r="A147" s="1184"/>
      <c r="B147" s="1184"/>
      <c r="C147" s="1184"/>
      <c r="D147" s="1184"/>
      <c r="E147" s="1184"/>
      <c r="F147" s="1184"/>
      <c r="G147" s="1184"/>
      <c r="H147" s="1184"/>
      <c r="I147" s="1184"/>
      <c r="J147" s="1184"/>
      <c r="K147" s="1184"/>
      <c r="L147" s="1184"/>
      <c r="M147" s="1184"/>
      <c r="N147" s="1184"/>
      <c r="O147" s="1184"/>
      <c r="P147" s="1184"/>
      <c r="Q147" s="1184"/>
      <c r="R147" s="1184"/>
      <c r="S147" s="1184"/>
      <c r="T147" s="1184"/>
      <c r="U147" s="1184"/>
      <c r="V147" s="1184"/>
      <c r="W147" s="1184"/>
      <c r="X147" s="1184"/>
      <c r="Y147" s="1184"/>
      <c r="Z147" s="1184"/>
    </row>
    <row r="148" spans="1:26" ht="15.5">
      <c r="A148" s="1184"/>
      <c r="B148" s="1184"/>
      <c r="C148" s="1184"/>
      <c r="D148" s="1184"/>
      <c r="E148" s="1184"/>
      <c r="F148" s="1184"/>
      <c r="G148" s="1184"/>
      <c r="H148" s="1184"/>
      <c r="I148" s="1184"/>
      <c r="J148" s="1184"/>
      <c r="K148" s="1184"/>
      <c r="L148" s="1184"/>
      <c r="M148" s="1184"/>
      <c r="N148" s="1184"/>
      <c r="O148" s="1184"/>
      <c r="P148" s="1184"/>
      <c r="Q148" s="1184"/>
      <c r="R148" s="1184"/>
      <c r="S148" s="1184"/>
      <c r="T148" s="1184"/>
      <c r="U148" s="1184"/>
      <c r="V148" s="1184"/>
      <c r="W148" s="1184"/>
      <c r="X148" s="1184"/>
      <c r="Y148" s="1184"/>
      <c r="Z148" s="1184"/>
    </row>
    <row r="149" spans="1:26" ht="15.5">
      <c r="A149" s="1184"/>
      <c r="B149" s="1184"/>
      <c r="C149" s="1184"/>
      <c r="D149" s="1184"/>
      <c r="E149" s="1184"/>
      <c r="F149" s="1184"/>
      <c r="G149" s="1184"/>
      <c r="H149" s="1184"/>
      <c r="I149" s="1184"/>
      <c r="J149" s="1184"/>
      <c r="K149" s="1184"/>
      <c r="L149" s="1184"/>
      <c r="M149" s="1184"/>
      <c r="N149" s="1184"/>
      <c r="O149" s="1184"/>
      <c r="P149" s="1184"/>
      <c r="Q149" s="1184"/>
      <c r="R149" s="1184"/>
      <c r="S149" s="1184"/>
      <c r="T149" s="1184"/>
      <c r="U149" s="1184"/>
      <c r="V149" s="1184"/>
      <c r="W149" s="1184"/>
      <c r="X149" s="1184"/>
      <c r="Y149" s="1184"/>
      <c r="Z149" s="1184"/>
    </row>
    <row r="150" spans="1:26" ht="15.5">
      <c r="A150" s="1184"/>
      <c r="B150" s="1184"/>
      <c r="C150" s="1184"/>
      <c r="D150" s="1184"/>
      <c r="E150" s="1184"/>
      <c r="F150" s="1185" t="s">
        <v>2263</v>
      </c>
      <c r="G150" s="1184"/>
      <c r="H150" s="1184"/>
      <c r="I150" s="1184"/>
      <c r="J150" s="1184"/>
      <c r="K150" s="1184"/>
      <c r="L150" s="1184"/>
      <c r="M150" s="1184"/>
      <c r="N150" s="1184"/>
      <c r="O150" s="1184"/>
      <c r="P150" s="1184"/>
      <c r="Q150" s="1184"/>
      <c r="R150" s="1184"/>
      <c r="S150" s="1184"/>
      <c r="T150" s="1184"/>
      <c r="U150" s="1184"/>
      <c r="V150" s="1184"/>
      <c r="W150" s="1184"/>
      <c r="X150" s="1184"/>
      <c r="Y150" s="1184"/>
      <c r="Z150" s="1184"/>
    </row>
    <row r="151" spans="1:26" ht="15.5">
      <c r="A151" s="1184"/>
      <c r="B151" s="1184"/>
      <c r="C151" s="1184"/>
      <c r="D151" s="1184"/>
      <c r="E151" s="1184"/>
      <c r="F151" s="1184"/>
      <c r="G151" s="1184"/>
      <c r="H151" s="1184"/>
      <c r="I151" s="1184"/>
      <c r="J151" s="1184"/>
      <c r="K151" s="1184"/>
      <c r="L151" s="1184"/>
      <c r="M151" s="1184"/>
      <c r="N151" s="1184"/>
      <c r="O151" s="1184"/>
      <c r="P151" s="1184"/>
      <c r="Q151" s="1184"/>
      <c r="R151" s="1184"/>
      <c r="S151" s="1184"/>
      <c r="T151" s="1184"/>
      <c r="U151" s="1184"/>
      <c r="V151" s="1184"/>
      <c r="W151" s="1184"/>
      <c r="X151" s="1184"/>
      <c r="Y151" s="1184"/>
      <c r="Z151" s="1184"/>
    </row>
    <row r="152" spans="1:26" ht="15.5">
      <c r="A152" s="1184"/>
      <c r="B152" s="1184"/>
      <c r="C152" s="1184"/>
      <c r="D152" s="1184"/>
      <c r="E152" s="1184"/>
      <c r="F152" s="1184"/>
      <c r="G152" s="1184"/>
      <c r="H152" s="1184"/>
      <c r="I152" s="1184"/>
      <c r="J152" s="1184"/>
      <c r="K152" s="1184"/>
      <c r="L152" s="1184"/>
      <c r="M152" s="1184"/>
      <c r="N152" s="1184"/>
      <c r="O152" s="1184"/>
      <c r="P152" s="1184"/>
      <c r="Q152" s="1184"/>
      <c r="R152" s="1184"/>
      <c r="S152" s="1184"/>
      <c r="T152" s="1184"/>
      <c r="U152" s="1184"/>
      <c r="V152" s="1184"/>
      <c r="W152" s="1184"/>
      <c r="X152" s="1184"/>
      <c r="Y152" s="1184"/>
      <c r="Z152" s="1184"/>
    </row>
    <row r="153" spans="1:26" ht="15.5">
      <c r="A153" s="1184"/>
      <c r="B153" s="1184"/>
      <c r="C153" s="1184"/>
      <c r="D153" s="1184"/>
      <c r="E153" s="1184"/>
      <c r="F153" s="1184"/>
      <c r="G153" s="1184"/>
      <c r="H153" s="1184"/>
      <c r="I153" s="1184"/>
      <c r="J153" s="1184"/>
      <c r="K153" s="1184"/>
      <c r="L153" s="1184"/>
      <c r="M153" s="1184"/>
      <c r="N153" s="1184"/>
      <c r="O153" s="1184"/>
      <c r="P153" s="1184"/>
      <c r="Q153" s="1184"/>
      <c r="R153" s="1184"/>
      <c r="S153" s="1184"/>
      <c r="T153" s="1184"/>
      <c r="U153" s="1184"/>
      <c r="V153" s="1184"/>
      <c r="W153" s="1184"/>
      <c r="X153" s="1184"/>
      <c r="Y153" s="1184"/>
      <c r="Z153" s="1184"/>
    </row>
    <row r="154" spans="1:26" ht="15.5">
      <c r="A154" s="1184"/>
      <c r="B154" s="1184"/>
      <c r="C154" s="1184"/>
      <c r="D154" s="1184"/>
      <c r="E154" s="1184"/>
      <c r="F154" s="1184"/>
      <c r="G154" s="1184"/>
      <c r="H154" s="1184"/>
      <c r="I154" s="1184"/>
      <c r="J154" s="1184"/>
      <c r="K154" s="1184"/>
      <c r="L154" s="1184"/>
      <c r="M154" s="1184"/>
      <c r="N154" s="1184"/>
      <c r="O154" s="1184"/>
      <c r="P154" s="1184"/>
      <c r="Q154" s="1184"/>
      <c r="R154" s="1184"/>
      <c r="S154" s="1184"/>
      <c r="T154" s="1184"/>
      <c r="U154" s="1184"/>
      <c r="V154" s="1184"/>
      <c r="W154" s="1184"/>
      <c r="X154" s="1184"/>
      <c r="Y154" s="1184"/>
      <c r="Z154" s="1184"/>
    </row>
    <row r="155" spans="1:26" ht="15.5">
      <c r="A155" s="1184"/>
      <c r="B155" s="1184"/>
      <c r="C155" s="1184"/>
      <c r="D155" s="1184"/>
      <c r="E155" s="1184"/>
      <c r="F155" s="1184"/>
      <c r="G155" s="1184"/>
      <c r="H155" s="1184"/>
      <c r="I155" s="1184"/>
      <c r="J155" s="1184"/>
      <c r="K155" s="1184"/>
      <c r="L155" s="1184"/>
      <c r="M155" s="1184"/>
      <c r="N155" s="1184"/>
      <c r="O155" s="1184"/>
      <c r="P155" s="1184"/>
      <c r="Q155" s="1184"/>
      <c r="R155" s="1184"/>
      <c r="S155" s="1184"/>
      <c r="T155" s="1184"/>
      <c r="U155" s="1184"/>
      <c r="V155" s="1184"/>
      <c r="W155" s="1184"/>
      <c r="X155" s="1184"/>
      <c r="Y155" s="1184"/>
      <c r="Z155" s="1184"/>
    </row>
    <row r="156" spans="1:26" ht="15.5">
      <c r="A156" s="1184"/>
      <c r="B156" s="1184"/>
      <c r="C156" s="1184"/>
      <c r="D156" s="1184"/>
      <c r="E156" s="1184"/>
      <c r="F156" s="1184"/>
      <c r="G156" s="1184"/>
      <c r="H156" s="1184"/>
      <c r="I156" s="1184"/>
      <c r="J156" s="1184"/>
      <c r="K156" s="1184"/>
      <c r="L156" s="1184"/>
      <c r="M156" s="1184"/>
      <c r="N156" s="1184"/>
      <c r="O156" s="1184"/>
      <c r="P156" s="1184"/>
      <c r="Q156" s="1184"/>
      <c r="R156" s="1184"/>
      <c r="S156" s="1184"/>
      <c r="T156" s="1184"/>
      <c r="U156" s="1184"/>
      <c r="V156" s="1184"/>
      <c r="W156" s="1184"/>
      <c r="X156" s="1184"/>
      <c r="Y156" s="1184"/>
      <c r="Z156" s="1184"/>
    </row>
    <row r="157" spans="1:26" ht="15.5">
      <c r="A157" s="1184"/>
      <c r="B157" s="1184"/>
      <c r="C157" s="1184"/>
      <c r="D157" s="1184"/>
      <c r="E157" s="1184"/>
      <c r="F157" s="1184"/>
      <c r="G157" s="1184"/>
      <c r="H157" s="1184"/>
      <c r="I157" s="1184"/>
      <c r="J157" s="1184"/>
      <c r="K157" s="1184"/>
      <c r="L157" s="1184"/>
      <c r="M157" s="1184"/>
      <c r="N157" s="1184"/>
      <c r="O157" s="1184"/>
      <c r="P157" s="1184"/>
      <c r="Q157" s="1184"/>
      <c r="R157" s="1184"/>
      <c r="S157" s="1184"/>
      <c r="T157" s="1184"/>
      <c r="U157" s="1184"/>
      <c r="V157" s="1184"/>
      <c r="W157" s="1184"/>
      <c r="X157" s="1184"/>
      <c r="Y157" s="1184"/>
      <c r="Z157" s="1184"/>
    </row>
    <row r="158" spans="1:26" ht="15.5">
      <c r="A158" s="1184"/>
      <c r="B158" s="1184"/>
      <c r="C158" s="1184"/>
      <c r="D158" s="1184"/>
      <c r="E158" s="1184"/>
      <c r="F158" s="1184"/>
      <c r="G158" s="1184"/>
      <c r="H158" s="1184"/>
      <c r="I158" s="1184"/>
      <c r="J158" s="1184"/>
      <c r="K158" s="1184"/>
      <c r="L158" s="1184"/>
      <c r="M158" s="1184"/>
      <c r="N158" s="1184"/>
      <c r="O158" s="1184"/>
      <c r="P158" s="1184"/>
      <c r="Q158" s="1184"/>
      <c r="R158" s="1184"/>
      <c r="S158" s="1184"/>
      <c r="T158" s="1184"/>
      <c r="U158" s="1184"/>
      <c r="V158" s="1184"/>
      <c r="W158" s="1184"/>
      <c r="X158" s="1184"/>
      <c r="Y158" s="1184"/>
      <c r="Z158" s="1184"/>
    </row>
    <row r="159" spans="1:26" ht="15.5">
      <c r="A159" s="1184">
        <v>12</v>
      </c>
      <c r="B159" s="1184"/>
      <c r="C159" s="1184"/>
      <c r="D159" s="1184"/>
      <c r="E159" s="1184"/>
      <c r="F159" s="1184"/>
      <c r="G159" s="1184"/>
      <c r="H159" s="1184"/>
      <c r="I159" s="1184"/>
      <c r="J159" s="1184"/>
      <c r="K159" s="1184"/>
      <c r="L159" s="1184"/>
      <c r="M159" s="1184"/>
      <c r="N159" s="1184"/>
      <c r="O159" s="1184"/>
      <c r="P159" s="1184"/>
      <c r="Q159" s="1184"/>
      <c r="R159" s="1184"/>
      <c r="S159" s="1184"/>
      <c r="T159" s="1184"/>
      <c r="U159" s="1184"/>
      <c r="V159" s="1184"/>
      <c r="W159" s="1184"/>
      <c r="X159" s="1184"/>
      <c r="Y159" s="1184"/>
      <c r="Z159" s="1184"/>
    </row>
    <row r="160" spans="1:26" ht="15.5">
      <c r="A160" s="1184"/>
      <c r="B160" s="1184"/>
      <c r="C160" s="1184"/>
      <c r="D160" s="1184"/>
      <c r="E160" s="1184"/>
      <c r="F160" s="1184"/>
      <c r="G160" s="1184"/>
      <c r="H160" s="1184"/>
      <c r="I160" s="1184"/>
      <c r="J160" s="1184"/>
      <c r="K160" s="1184"/>
      <c r="L160" s="1184"/>
      <c r="M160" s="1184"/>
      <c r="N160" s="1184"/>
      <c r="O160" s="1184"/>
      <c r="P160" s="1184"/>
      <c r="Q160" s="1184"/>
      <c r="R160" s="1184"/>
      <c r="S160" s="1184"/>
      <c r="T160" s="1184"/>
      <c r="U160" s="1184"/>
      <c r="V160" s="1184"/>
      <c r="W160" s="1184"/>
      <c r="X160" s="1184"/>
      <c r="Y160" s="1184"/>
      <c r="Z160" s="1184"/>
    </row>
    <row r="161" spans="1:26" ht="15.5">
      <c r="A161" s="1184"/>
      <c r="B161" s="1184"/>
      <c r="C161" s="1184"/>
      <c r="D161" s="1184"/>
      <c r="E161" s="1184"/>
      <c r="F161" s="1184"/>
      <c r="G161" s="1184"/>
      <c r="H161" s="1184"/>
      <c r="I161" s="1184"/>
      <c r="J161" s="1184"/>
      <c r="K161" s="1184"/>
      <c r="L161" s="1184"/>
      <c r="M161" s="1184"/>
      <c r="N161" s="1184"/>
      <c r="O161" s="1184"/>
      <c r="P161" s="1184"/>
      <c r="Q161" s="1184"/>
      <c r="R161" s="1184"/>
      <c r="S161" s="1184"/>
      <c r="T161" s="1184"/>
      <c r="U161" s="1184"/>
      <c r="V161" s="1184"/>
      <c r="W161" s="1184"/>
      <c r="X161" s="1184"/>
      <c r="Y161" s="1184"/>
      <c r="Z161" s="1184"/>
    </row>
    <row r="162" spans="1:26" ht="15.5">
      <c r="A162" s="1184"/>
      <c r="B162" s="1184"/>
      <c r="C162" s="1184"/>
      <c r="D162" s="1184"/>
      <c r="E162" s="1184"/>
      <c r="F162" s="1184"/>
      <c r="G162" s="1184"/>
      <c r="H162" s="1184"/>
      <c r="I162" s="1184"/>
      <c r="J162" s="1184"/>
      <c r="K162" s="1184"/>
      <c r="L162" s="1184"/>
      <c r="M162" s="1184"/>
      <c r="N162" s="1184"/>
      <c r="O162" s="1184"/>
      <c r="P162" s="1184"/>
      <c r="Q162" s="1184"/>
      <c r="R162" s="1184"/>
      <c r="S162" s="1184"/>
      <c r="T162" s="1184"/>
      <c r="U162" s="1184"/>
      <c r="V162" s="1184"/>
      <c r="W162" s="1184"/>
      <c r="X162" s="1184"/>
      <c r="Y162" s="1184"/>
      <c r="Z162" s="1184"/>
    </row>
    <row r="163" spans="1:26" ht="15.5">
      <c r="A163" s="1184"/>
      <c r="B163" s="1184"/>
      <c r="C163" s="1184"/>
      <c r="D163" s="1184"/>
      <c r="E163" s="1184"/>
      <c r="F163" s="1184"/>
      <c r="G163" s="1184"/>
      <c r="H163" s="1184"/>
      <c r="I163" s="1184"/>
      <c r="J163" s="1184"/>
      <c r="K163" s="1184"/>
      <c r="L163" s="1184"/>
      <c r="M163" s="1184"/>
      <c r="N163" s="1184"/>
      <c r="O163" s="1184"/>
      <c r="P163" s="1184"/>
      <c r="Q163" s="1184"/>
      <c r="R163" s="1184"/>
      <c r="S163" s="1184"/>
      <c r="T163" s="1184"/>
      <c r="U163" s="1184"/>
      <c r="V163" s="1184"/>
      <c r="W163" s="1184"/>
      <c r="X163" s="1184"/>
      <c r="Y163" s="1184"/>
      <c r="Z163" s="1184"/>
    </row>
    <row r="164" spans="1:26" ht="15.5">
      <c r="A164" s="1184"/>
      <c r="B164" s="1184"/>
      <c r="C164" s="1184"/>
      <c r="D164" s="1184"/>
      <c r="E164" s="1184"/>
      <c r="F164" s="1184"/>
      <c r="G164" s="1184"/>
      <c r="H164" s="1184"/>
      <c r="I164" s="1184"/>
      <c r="J164" s="1184"/>
      <c r="K164" s="1184"/>
      <c r="L164" s="1184"/>
      <c r="M164" s="1184"/>
      <c r="N164" s="1184"/>
      <c r="O164" s="1184"/>
      <c r="P164" s="1184"/>
      <c r="Q164" s="1184"/>
      <c r="R164" s="1184"/>
      <c r="S164" s="1184"/>
      <c r="T164" s="1184"/>
      <c r="U164" s="1184"/>
      <c r="V164" s="1184"/>
      <c r="W164" s="1184"/>
      <c r="X164" s="1184"/>
      <c r="Y164" s="1184"/>
      <c r="Z164" s="1184"/>
    </row>
    <row r="165" spans="1:26" ht="15.5">
      <c r="A165" s="1184"/>
      <c r="B165" s="1184"/>
      <c r="C165" s="1184"/>
      <c r="D165" s="1184"/>
      <c r="E165" s="1184"/>
      <c r="F165" s="1184"/>
      <c r="G165" s="1184"/>
      <c r="H165" s="1184"/>
      <c r="I165" s="1184"/>
      <c r="J165" s="1184"/>
      <c r="K165" s="1184"/>
      <c r="L165" s="1184"/>
      <c r="M165" s="1184"/>
      <c r="N165" s="1184"/>
      <c r="O165" s="1184"/>
      <c r="P165" s="1184"/>
      <c r="Q165" s="1184"/>
      <c r="R165" s="1184"/>
      <c r="S165" s="1184"/>
      <c r="T165" s="1184"/>
      <c r="U165" s="1184"/>
      <c r="V165" s="1184"/>
      <c r="W165" s="1184"/>
      <c r="X165" s="1184"/>
      <c r="Y165" s="1184"/>
      <c r="Z165" s="1184"/>
    </row>
    <row r="166" spans="1:26" ht="15.5">
      <c r="A166" s="1184"/>
      <c r="B166" s="1184"/>
      <c r="C166" s="1184"/>
      <c r="D166" s="1184"/>
      <c r="E166" s="1184"/>
      <c r="F166" s="1184"/>
      <c r="G166" s="1184"/>
      <c r="H166" s="1184"/>
      <c r="I166" s="1184"/>
      <c r="J166" s="1184"/>
      <c r="K166" s="1184"/>
      <c r="L166" s="1184"/>
      <c r="M166" s="1184"/>
      <c r="N166" s="1184"/>
      <c r="O166" s="1184"/>
      <c r="P166" s="1184"/>
      <c r="Q166" s="1184"/>
      <c r="R166" s="1184"/>
      <c r="S166" s="1184"/>
      <c r="T166" s="1184"/>
      <c r="U166" s="1184"/>
      <c r="V166" s="1184"/>
      <c r="W166" s="1184"/>
      <c r="X166" s="1184"/>
      <c r="Y166" s="1184"/>
      <c r="Z166" s="1184"/>
    </row>
    <row r="167" spans="1:26" ht="15.5">
      <c r="A167" s="1184"/>
      <c r="B167" s="1184"/>
      <c r="C167" s="1184"/>
      <c r="D167" s="1184"/>
      <c r="E167" s="1184"/>
      <c r="F167" s="1184"/>
      <c r="G167" s="1184"/>
      <c r="H167" s="1184"/>
      <c r="I167" s="1184"/>
      <c r="J167" s="1184"/>
      <c r="K167" s="1184"/>
      <c r="L167" s="1184"/>
      <c r="M167" s="1184"/>
      <c r="N167" s="1184"/>
      <c r="O167" s="1184"/>
      <c r="P167" s="1184"/>
      <c r="Q167" s="1184"/>
      <c r="R167" s="1184"/>
      <c r="S167" s="1184"/>
      <c r="T167" s="1184"/>
      <c r="U167" s="1184"/>
      <c r="V167" s="1184"/>
      <c r="W167" s="1184"/>
      <c r="X167" s="1184"/>
      <c r="Y167" s="1184"/>
      <c r="Z167" s="1184"/>
    </row>
    <row r="168" spans="1:26" ht="15.5">
      <c r="A168" s="1184"/>
      <c r="B168" s="1184"/>
      <c r="C168" s="1184"/>
      <c r="D168" s="1184"/>
      <c r="E168" s="1184"/>
      <c r="F168" s="1184"/>
      <c r="G168" s="1184"/>
      <c r="H168" s="1184"/>
      <c r="I168" s="1184"/>
      <c r="J168" s="1184"/>
      <c r="K168" s="1184"/>
      <c r="L168" s="1184"/>
      <c r="M168" s="1184"/>
      <c r="N168" s="1184"/>
      <c r="O168" s="1184"/>
      <c r="P168" s="1184"/>
      <c r="Q168" s="1184"/>
      <c r="R168" s="1184"/>
      <c r="S168" s="1184"/>
      <c r="T168" s="1184"/>
      <c r="U168" s="1184"/>
      <c r="V168" s="1184"/>
      <c r="W168" s="1184"/>
      <c r="X168" s="1184"/>
      <c r="Y168" s="1184"/>
      <c r="Z168" s="1184"/>
    </row>
    <row r="169" spans="1:26" ht="15.5">
      <c r="A169" s="1184"/>
      <c r="B169" s="1184"/>
      <c r="C169" s="1184"/>
      <c r="D169" s="1184"/>
      <c r="E169" s="1184"/>
      <c r="F169" s="1184"/>
      <c r="G169" s="1184"/>
      <c r="H169" s="1184"/>
      <c r="I169" s="1184"/>
      <c r="J169" s="1184"/>
      <c r="K169" s="1184"/>
      <c r="L169" s="1184"/>
      <c r="M169" s="1184"/>
      <c r="N169" s="1184"/>
      <c r="O169" s="1184"/>
      <c r="P169" s="1184"/>
      <c r="Q169" s="1184"/>
      <c r="R169" s="1184"/>
      <c r="S169" s="1184"/>
      <c r="T169" s="1184"/>
      <c r="U169" s="1184"/>
      <c r="V169" s="1184"/>
      <c r="W169" s="1184"/>
      <c r="X169" s="1184"/>
      <c r="Y169" s="1184"/>
      <c r="Z169" s="1184"/>
    </row>
    <row r="170" spans="1:26" ht="15.5">
      <c r="A170" s="1184"/>
      <c r="B170" s="1184"/>
      <c r="C170" s="1184"/>
      <c r="D170" s="1184"/>
      <c r="E170" s="1184"/>
      <c r="F170" s="1184"/>
      <c r="G170" s="1184"/>
      <c r="H170" s="1184"/>
      <c r="I170" s="1184"/>
      <c r="J170" s="1184"/>
      <c r="K170" s="1184"/>
      <c r="L170" s="1184"/>
      <c r="M170" s="1184"/>
      <c r="N170" s="1184"/>
      <c r="O170" s="1184"/>
      <c r="P170" s="1184"/>
      <c r="Q170" s="1184"/>
      <c r="R170" s="1184"/>
      <c r="S170" s="1184"/>
      <c r="T170" s="1184"/>
      <c r="U170" s="1184"/>
      <c r="V170" s="1184"/>
      <c r="W170" s="1184"/>
      <c r="X170" s="1184"/>
      <c r="Y170" s="1184"/>
      <c r="Z170" s="1184"/>
    </row>
    <row r="171" spans="1:26" ht="15.5">
      <c r="A171" s="1184"/>
      <c r="B171" s="1184"/>
      <c r="C171" s="1184"/>
      <c r="D171" s="1184"/>
      <c r="E171" s="1184"/>
      <c r="F171" s="1184"/>
      <c r="G171" s="1184"/>
      <c r="H171" s="1184"/>
      <c r="I171" s="1184"/>
      <c r="J171" s="1184"/>
      <c r="K171" s="1184"/>
      <c r="L171" s="1184"/>
      <c r="M171" s="1184"/>
      <c r="N171" s="1184"/>
      <c r="O171" s="1184"/>
      <c r="P171" s="1184"/>
      <c r="Q171" s="1184"/>
      <c r="R171" s="1184"/>
      <c r="S171" s="1184"/>
      <c r="T171" s="1184"/>
      <c r="U171" s="1184"/>
      <c r="V171" s="1184"/>
      <c r="W171" s="1184"/>
      <c r="X171" s="1184"/>
      <c r="Y171" s="1184"/>
      <c r="Z171" s="1184"/>
    </row>
    <row r="172" spans="1:26" ht="15.5">
      <c r="A172" s="1184"/>
      <c r="B172" s="1184"/>
      <c r="C172" s="1184"/>
      <c r="D172" s="1184"/>
      <c r="E172" s="1184"/>
      <c r="F172" s="1185" t="s">
        <v>2264</v>
      </c>
      <c r="G172" s="1184"/>
      <c r="H172" s="1184"/>
      <c r="I172" s="1184"/>
      <c r="J172" s="1184"/>
      <c r="K172" s="1184"/>
      <c r="L172" s="1184"/>
      <c r="M172" s="1184"/>
      <c r="N172" s="1184"/>
      <c r="O172" s="1184"/>
      <c r="P172" s="1184"/>
      <c r="Q172" s="1184"/>
      <c r="R172" s="1184"/>
      <c r="S172" s="1184"/>
      <c r="T172" s="1184"/>
      <c r="U172" s="1184"/>
      <c r="V172" s="1184"/>
      <c r="W172" s="1184"/>
      <c r="X172" s="1184"/>
      <c r="Y172" s="1184"/>
      <c r="Z172" s="1184"/>
    </row>
    <row r="173" spans="1:26" ht="15.5">
      <c r="A173" s="1184"/>
      <c r="B173" s="1184"/>
      <c r="C173" s="1184"/>
      <c r="D173" s="1184"/>
      <c r="E173" s="1184"/>
      <c r="F173" s="1184"/>
      <c r="G173" s="1184"/>
      <c r="H173" s="1184"/>
      <c r="I173" s="1184"/>
      <c r="J173" s="1184"/>
      <c r="K173" s="1184"/>
      <c r="L173" s="1184"/>
      <c r="M173" s="1184"/>
      <c r="N173" s="1184"/>
      <c r="O173" s="1184"/>
      <c r="P173" s="1184"/>
      <c r="Q173" s="1184"/>
      <c r="R173" s="1184"/>
      <c r="S173" s="1184"/>
      <c r="T173" s="1184"/>
      <c r="U173" s="1184"/>
      <c r="V173" s="1184"/>
      <c r="W173" s="1184"/>
      <c r="X173" s="1184"/>
      <c r="Y173" s="1184"/>
      <c r="Z173" s="1184"/>
    </row>
    <row r="174" spans="1:26" ht="15.5">
      <c r="A174" s="1184"/>
      <c r="B174" s="1184"/>
      <c r="C174" s="1184"/>
      <c r="D174" s="1184"/>
      <c r="E174" s="1184"/>
      <c r="F174" s="1184"/>
      <c r="G174" s="1184"/>
      <c r="H174" s="1184"/>
      <c r="I174" s="1184"/>
      <c r="J174" s="1184"/>
      <c r="K174" s="1184"/>
      <c r="L174" s="1184"/>
      <c r="M174" s="1184"/>
      <c r="N174" s="1184"/>
      <c r="O174" s="1184"/>
      <c r="P174" s="1184"/>
      <c r="Q174" s="1184"/>
      <c r="R174" s="1184"/>
      <c r="S174" s="1184"/>
      <c r="T174" s="1184"/>
      <c r="U174" s="1184"/>
      <c r="V174" s="1184"/>
      <c r="W174" s="1184"/>
      <c r="X174" s="1184"/>
      <c r="Y174" s="1184"/>
      <c r="Z174" s="1184"/>
    </row>
    <row r="175" spans="1:26" ht="15.5">
      <c r="A175" s="1184"/>
      <c r="B175" s="1184"/>
      <c r="C175" s="1184"/>
      <c r="D175" s="1184"/>
      <c r="E175" s="1184"/>
      <c r="F175" s="1184"/>
      <c r="G175" s="1184"/>
      <c r="H175" s="1184"/>
      <c r="I175" s="1184"/>
      <c r="J175" s="1184"/>
      <c r="K175" s="1184"/>
      <c r="L175" s="1184"/>
      <c r="M175" s="1184"/>
      <c r="N175" s="1184"/>
      <c r="O175" s="1184"/>
      <c r="P175" s="1184"/>
      <c r="Q175" s="1184"/>
      <c r="R175" s="1184"/>
      <c r="S175" s="1184"/>
      <c r="T175" s="1184"/>
      <c r="U175" s="1184"/>
      <c r="V175" s="1184"/>
      <c r="W175" s="1184"/>
      <c r="X175" s="1184"/>
      <c r="Y175" s="1184"/>
      <c r="Z175" s="1184"/>
    </row>
    <row r="176" spans="1:26" ht="15.5">
      <c r="A176" s="1184"/>
      <c r="B176" s="1184"/>
      <c r="C176" s="1184"/>
      <c r="D176" s="1184"/>
      <c r="E176" s="1184"/>
      <c r="F176" s="1184"/>
      <c r="G176" s="1184"/>
      <c r="H176" s="1184"/>
      <c r="I176" s="1184"/>
      <c r="J176" s="1184"/>
      <c r="K176" s="1184"/>
      <c r="L176" s="1184"/>
      <c r="M176" s="1184"/>
      <c r="N176" s="1184"/>
      <c r="O176" s="1184"/>
      <c r="P176" s="1184"/>
      <c r="Q176" s="1184"/>
      <c r="R176" s="1184"/>
      <c r="S176" s="1184"/>
      <c r="T176" s="1184"/>
      <c r="U176" s="1184"/>
      <c r="V176" s="1184"/>
      <c r="W176" s="1184"/>
      <c r="X176" s="1184"/>
      <c r="Y176" s="1184"/>
      <c r="Z176" s="1184"/>
    </row>
    <row r="177" spans="1:26" ht="15.5">
      <c r="A177" s="1184"/>
      <c r="B177" s="1184"/>
      <c r="C177" s="1184"/>
      <c r="D177" s="1184"/>
      <c r="E177" s="1184"/>
      <c r="F177" s="1184"/>
      <c r="G177" s="1184"/>
      <c r="H177" s="1184"/>
      <c r="I177" s="1184"/>
      <c r="J177" s="1184"/>
      <c r="K177" s="1184"/>
      <c r="L177" s="1184"/>
      <c r="M177" s="1184"/>
      <c r="N177" s="1184"/>
      <c r="O177" s="1184"/>
      <c r="P177" s="1184"/>
      <c r="Q177" s="1184"/>
      <c r="R177" s="1184"/>
      <c r="S177" s="1184"/>
      <c r="T177" s="1184"/>
      <c r="U177" s="1184"/>
      <c r="V177" s="1184"/>
      <c r="W177" s="1184"/>
      <c r="X177" s="1184"/>
      <c r="Y177" s="1184"/>
      <c r="Z177" s="1184"/>
    </row>
    <row r="178" spans="1:26" ht="15.5">
      <c r="A178" s="1184"/>
      <c r="B178" s="1184"/>
      <c r="C178" s="1184"/>
      <c r="D178" s="1184"/>
      <c r="E178" s="1184"/>
      <c r="F178" s="1184"/>
      <c r="G178" s="1184"/>
      <c r="H178" s="1184"/>
      <c r="I178" s="1184"/>
      <c r="J178" s="1184"/>
      <c r="K178" s="1184"/>
      <c r="L178" s="1184"/>
      <c r="M178" s="1184"/>
      <c r="N178" s="1184"/>
      <c r="O178" s="1184"/>
      <c r="P178" s="1184"/>
      <c r="Q178" s="1184"/>
      <c r="R178" s="1184"/>
      <c r="S178" s="1184"/>
      <c r="T178" s="1184"/>
      <c r="U178" s="1184"/>
      <c r="V178" s="1184"/>
      <c r="W178" s="1184"/>
      <c r="X178" s="1184"/>
      <c r="Y178" s="1184"/>
      <c r="Z178" s="1184"/>
    </row>
    <row r="179" spans="1:26" ht="15.5">
      <c r="A179" s="1184"/>
      <c r="B179" s="1184"/>
      <c r="C179" s="1184"/>
      <c r="D179" s="1184"/>
      <c r="E179" s="1184"/>
      <c r="F179" s="1184"/>
      <c r="G179" s="1184"/>
      <c r="H179" s="1184"/>
      <c r="I179" s="1184"/>
      <c r="J179" s="1184"/>
      <c r="K179" s="1184"/>
      <c r="L179" s="1184"/>
      <c r="M179" s="1184"/>
      <c r="N179" s="1184"/>
      <c r="O179" s="1184"/>
      <c r="P179" s="1184"/>
      <c r="Q179" s="1184"/>
      <c r="R179" s="1184"/>
      <c r="S179" s="1184"/>
      <c r="T179" s="1184"/>
      <c r="U179" s="1184"/>
      <c r="V179" s="1184"/>
      <c r="W179" s="1184"/>
      <c r="X179" s="1184"/>
      <c r="Y179" s="1184"/>
      <c r="Z179" s="1184"/>
    </row>
    <row r="180" spans="1:26" ht="15.5">
      <c r="A180" s="1184"/>
      <c r="B180" s="1184"/>
      <c r="C180" s="1184"/>
      <c r="D180" s="1184"/>
      <c r="E180" s="1184"/>
      <c r="F180" s="1184"/>
      <c r="G180" s="1184"/>
      <c r="H180" s="1184"/>
      <c r="I180" s="1184"/>
      <c r="J180" s="1184"/>
      <c r="K180" s="1184"/>
      <c r="L180" s="1184"/>
      <c r="M180" s="1184"/>
      <c r="N180" s="1184"/>
      <c r="O180" s="1184"/>
      <c r="P180" s="1184"/>
      <c r="Q180" s="1184"/>
      <c r="R180" s="1184"/>
      <c r="S180" s="1184"/>
      <c r="T180" s="1184"/>
      <c r="U180" s="1184"/>
      <c r="V180" s="1184"/>
      <c r="W180" s="1184"/>
      <c r="X180" s="1184"/>
      <c r="Y180" s="1184"/>
      <c r="Z180" s="1184"/>
    </row>
    <row r="181" spans="1:26" ht="15.5">
      <c r="A181" s="1184"/>
      <c r="B181" s="1184"/>
      <c r="C181" s="1184"/>
      <c r="D181" s="1184"/>
      <c r="E181" s="1184"/>
      <c r="F181" s="1184"/>
      <c r="G181" s="1184"/>
      <c r="H181" s="1184"/>
      <c r="I181" s="1184"/>
      <c r="J181" s="1184"/>
      <c r="K181" s="1184"/>
      <c r="L181" s="1184"/>
      <c r="M181" s="1184"/>
      <c r="N181" s="1184"/>
      <c r="O181" s="1184"/>
      <c r="P181" s="1184"/>
      <c r="Q181" s="1184"/>
      <c r="R181" s="1184"/>
      <c r="S181" s="1184"/>
      <c r="T181" s="1184"/>
      <c r="U181" s="1184"/>
      <c r="V181" s="1184"/>
      <c r="W181" s="1184"/>
      <c r="X181" s="1184"/>
      <c r="Y181" s="1184"/>
      <c r="Z181" s="1184"/>
    </row>
    <row r="182" spans="1:26" ht="15.5">
      <c r="A182" s="1184"/>
      <c r="B182" s="1184"/>
      <c r="C182" s="1184"/>
      <c r="D182" s="1184"/>
      <c r="E182" s="1184"/>
      <c r="F182" s="1184"/>
      <c r="G182" s="1184"/>
      <c r="H182" s="1184"/>
      <c r="I182" s="1184"/>
      <c r="J182" s="1184"/>
      <c r="K182" s="1184"/>
      <c r="L182" s="1184"/>
      <c r="M182" s="1184"/>
      <c r="N182" s="1184"/>
      <c r="O182" s="1184"/>
      <c r="P182" s="1184"/>
      <c r="Q182" s="1184"/>
      <c r="R182" s="1184"/>
      <c r="S182" s="1184"/>
      <c r="T182" s="1184"/>
      <c r="U182" s="1184"/>
      <c r="V182" s="1184"/>
      <c r="W182" s="1184"/>
      <c r="X182" s="1184"/>
      <c r="Y182" s="1184"/>
      <c r="Z182" s="1184"/>
    </row>
    <row r="183" spans="1:26" ht="15.5">
      <c r="A183" s="1184"/>
      <c r="B183" s="1184"/>
      <c r="C183" s="1184"/>
      <c r="D183" s="1184"/>
      <c r="E183" s="1184"/>
      <c r="F183" s="1184"/>
      <c r="G183" s="1184"/>
      <c r="H183" s="1184"/>
      <c r="I183" s="1184"/>
      <c r="J183" s="1184"/>
      <c r="K183" s="1184"/>
      <c r="L183" s="1184"/>
      <c r="M183" s="1184"/>
      <c r="N183" s="1184"/>
      <c r="O183" s="1184"/>
      <c r="P183" s="1184"/>
      <c r="Q183" s="1184"/>
      <c r="R183" s="1184"/>
      <c r="S183" s="1184"/>
      <c r="T183" s="1184"/>
      <c r="U183" s="1184"/>
      <c r="V183" s="1184"/>
      <c r="W183" s="1184"/>
      <c r="X183" s="1184"/>
      <c r="Y183" s="1184"/>
      <c r="Z183" s="1184"/>
    </row>
    <row r="184" spans="1:26" ht="15.5">
      <c r="A184" s="1184"/>
      <c r="B184" s="1184"/>
      <c r="C184" s="1184"/>
      <c r="D184" s="1184"/>
      <c r="E184" s="1184"/>
      <c r="F184" s="1184"/>
      <c r="G184" s="1184"/>
      <c r="H184" s="1184"/>
      <c r="I184" s="1184"/>
      <c r="J184" s="1184"/>
      <c r="K184" s="1184"/>
      <c r="L184" s="1184"/>
      <c r="M184" s="1184"/>
      <c r="N184" s="1184"/>
      <c r="O184" s="1184"/>
      <c r="P184" s="1184"/>
      <c r="Q184" s="1184"/>
      <c r="R184" s="1184"/>
      <c r="S184" s="1184"/>
      <c r="T184" s="1184"/>
      <c r="U184" s="1184"/>
      <c r="V184" s="1184"/>
      <c r="W184" s="1184"/>
      <c r="X184" s="1184"/>
      <c r="Y184" s="1184"/>
      <c r="Z184" s="1184"/>
    </row>
    <row r="185" spans="1:26" ht="15.5">
      <c r="A185" s="1184"/>
      <c r="B185" s="1184"/>
      <c r="C185" s="1184"/>
      <c r="D185" s="1184"/>
      <c r="E185" s="1184"/>
      <c r="F185" s="1184"/>
      <c r="G185" s="1184"/>
      <c r="H185" s="1184"/>
      <c r="I185" s="1184"/>
      <c r="J185" s="1184"/>
      <c r="K185" s="1184"/>
      <c r="L185" s="1184"/>
      <c r="M185" s="1184"/>
      <c r="N185" s="1184"/>
      <c r="O185" s="1184"/>
      <c r="P185" s="1184"/>
      <c r="Q185" s="1184"/>
      <c r="R185" s="1184"/>
      <c r="S185" s="1184"/>
      <c r="T185" s="1184"/>
      <c r="U185" s="1184"/>
      <c r="V185" s="1184"/>
      <c r="W185" s="1184"/>
      <c r="X185" s="1184"/>
      <c r="Y185" s="1184"/>
      <c r="Z185" s="1184"/>
    </row>
    <row r="186" spans="1:26" ht="15.5">
      <c r="A186" s="1184"/>
      <c r="B186" s="1184"/>
      <c r="C186" s="1184"/>
      <c r="D186" s="1184"/>
      <c r="E186" s="1184"/>
      <c r="F186" s="1184"/>
      <c r="G186" s="1184"/>
      <c r="H186" s="1184"/>
      <c r="I186" s="1184"/>
      <c r="J186" s="1184"/>
      <c r="K186" s="1184"/>
      <c r="L186" s="1184"/>
      <c r="M186" s="1184"/>
      <c r="N186" s="1184"/>
      <c r="O186" s="1184"/>
      <c r="P186" s="1184"/>
      <c r="Q186" s="1184"/>
      <c r="R186" s="1184"/>
      <c r="S186" s="1184"/>
      <c r="T186" s="1184"/>
      <c r="U186" s="1184"/>
      <c r="V186" s="1184"/>
      <c r="W186" s="1184"/>
      <c r="X186" s="1184"/>
      <c r="Y186" s="1184"/>
      <c r="Z186" s="1184"/>
    </row>
    <row r="187" spans="1:26" ht="15.5">
      <c r="A187" s="1184">
        <v>13</v>
      </c>
      <c r="B187" s="1184"/>
      <c r="C187" s="1184"/>
      <c r="D187" s="1184"/>
      <c r="E187" s="1184"/>
      <c r="F187" s="1184"/>
      <c r="G187" s="1184"/>
      <c r="H187" s="1184"/>
      <c r="I187" s="1184"/>
      <c r="J187" s="1184"/>
      <c r="K187" s="1184"/>
      <c r="L187" s="1184"/>
      <c r="M187" s="1184"/>
      <c r="N187" s="1184"/>
      <c r="O187" s="1184"/>
      <c r="P187" s="1184"/>
      <c r="Q187" s="1184"/>
      <c r="R187" s="1184"/>
      <c r="S187" s="1184"/>
      <c r="T187" s="1184"/>
      <c r="U187" s="1184"/>
      <c r="V187" s="1184"/>
      <c r="W187" s="1184"/>
      <c r="X187" s="1184"/>
      <c r="Y187" s="1184"/>
      <c r="Z187" s="1184"/>
    </row>
    <row r="188" spans="1:26" ht="15.5">
      <c r="A188" s="1184"/>
      <c r="B188" s="1184"/>
      <c r="C188" s="1184"/>
      <c r="D188" s="1184"/>
      <c r="E188" s="1184"/>
      <c r="F188" s="1184"/>
      <c r="G188" s="1184"/>
      <c r="H188" s="1184"/>
      <c r="I188" s="1184"/>
      <c r="J188" s="1184"/>
      <c r="K188" s="1184"/>
      <c r="L188" s="1184"/>
      <c r="M188" s="1184"/>
      <c r="N188" s="1184"/>
      <c r="O188" s="1184"/>
      <c r="P188" s="1184"/>
      <c r="Q188" s="1184"/>
      <c r="R188" s="1184"/>
      <c r="S188" s="1184"/>
      <c r="T188" s="1184"/>
      <c r="U188" s="1184"/>
      <c r="V188" s="1184"/>
      <c r="W188" s="1184"/>
      <c r="X188" s="1184"/>
      <c r="Y188" s="1184"/>
      <c r="Z188" s="1184"/>
    </row>
    <row r="189" spans="1:26" ht="15.5">
      <c r="A189" s="1184"/>
      <c r="B189" s="1184"/>
      <c r="C189" s="1184"/>
      <c r="D189" s="1184"/>
      <c r="E189" s="1184"/>
      <c r="F189" s="1184"/>
      <c r="G189" s="1184"/>
      <c r="H189" s="1184"/>
      <c r="I189" s="1184"/>
      <c r="J189" s="1184"/>
      <c r="K189" s="1184"/>
      <c r="L189" s="1184"/>
      <c r="M189" s="1184"/>
      <c r="N189" s="1184"/>
      <c r="O189" s="1184"/>
      <c r="P189" s="1184"/>
      <c r="Q189" s="1184"/>
      <c r="R189" s="1184"/>
      <c r="S189" s="1184"/>
      <c r="T189" s="1184"/>
      <c r="U189" s="1184"/>
      <c r="V189" s="1184"/>
      <c r="W189" s="1184"/>
      <c r="X189" s="1184"/>
      <c r="Y189" s="1184"/>
      <c r="Z189" s="1184"/>
    </row>
    <row r="190" spans="1:26" ht="15.5">
      <c r="A190" s="1184"/>
      <c r="B190" s="1184"/>
      <c r="C190" s="1184"/>
      <c r="D190" s="1184"/>
      <c r="E190" s="1184"/>
      <c r="F190" s="1184"/>
      <c r="G190" s="1184"/>
      <c r="H190" s="1184"/>
      <c r="I190" s="1184"/>
      <c r="J190" s="1184"/>
      <c r="K190" s="1184"/>
      <c r="L190" s="1184"/>
      <c r="M190" s="1184"/>
      <c r="N190" s="1184"/>
      <c r="O190" s="1184"/>
      <c r="P190" s="1184"/>
      <c r="Q190" s="1184"/>
      <c r="R190" s="1184"/>
      <c r="S190" s="1184"/>
      <c r="T190" s="1184"/>
      <c r="U190" s="1184"/>
      <c r="V190" s="1184"/>
      <c r="W190" s="1184"/>
      <c r="X190" s="1184"/>
      <c r="Y190" s="1184"/>
      <c r="Z190" s="1184"/>
    </row>
    <row r="191" spans="1:26" ht="15.5">
      <c r="A191" s="1184"/>
      <c r="B191" s="1184"/>
      <c r="C191" s="1184"/>
      <c r="D191" s="1184"/>
      <c r="E191" s="1184"/>
      <c r="F191" s="1184"/>
      <c r="G191" s="1184"/>
      <c r="H191" s="1184"/>
      <c r="I191" s="1184"/>
      <c r="J191" s="1184"/>
      <c r="K191" s="1184"/>
      <c r="L191" s="1184"/>
      <c r="M191" s="1184"/>
      <c r="N191" s="1184"/>
      <c r="O191" s="1184"/>
      <c r="P191" s="1184"/>
      <c r="Q191" s="1184"/>
      <c r="R191" s="1184"/>
      <c r="S191" s="1184"/>
      <c r="T191" s="1184"/>
      <c r="U191" s="1184"/>
      <c r="V191" s="1184"/>
      <c r="W191" s="1184"/>
      <c r="X191" s="1184"/>
      <c r="Y191" s="1184"/>
      <c r="Z191" s="1184"/>
    </row>
    <row r="192" spans="1:26" ht="15.5">
      <c r="A192" s="1184"/>
      <c r="B192" s="1184"/>
      <c r="C192" s="1184"/>
      <c r="D192" s="1184"/>
      <c r="E192" s="1184"/>
      <c r="F192" s="1184"/>
      <c r="G192" s="1184"/>
      <c r="H192" s="1184"/>
      <c r="I192" s="1184"/>
      <c r="J192" s="1184"/>
      <c r="K192" s="1184"/>
      <c r="L192" s="1184"/>
      <c r="M192" s="1184"/>
      <c r="N192" s="1184"/>
      <c r="O192" s="1184"/>
      <c r="P192" s="1184"/>
      <c r="Q192" s="1184"/>
      <c r="R192" s="1184"/>
      <c r="S192" s="1184"/>
      <c r="T192" s="1184"/>
      <c r="U192" s="1184"/>
      <c r="V192" s="1184"/>
      <c r="W192" s="1184"/>
      <c r="X192" s="1184"/>
      <c r="Y192" s="1184"/>
      <c r="Z192" s="1184"/>
    </row>
    <row r="193" spans="1:26" ht="15.5">
      <c r="A193" s="1184"/>
      <c r="B193" s="1184"/>
      <c r="C193" s="1184"/>
      <c r="D193" s="1184"/>
      <c r="E193" s="1184"/>
      <c r="F193" s="1184"/>
      <c r="G193" s="1184"/>
      <c r="H193" s="1184"/>
      <c r="I193" s="1184"/>
      <c r="J193" s="1184"/>
      <c r="K193" s="1184"/>
      <c r="L193" s="1184"/>
      <c r="M193" s="1184"/>
      <c r="N193" s="1184"/>
      <c r="O193" s="1184"/>
      <c r="P193" s="1184"/>
      <c r="Q193" s="1184"/>
      <c r="R193" s="1184"/>
      <c r="S193" s="1184"/>
      <c r="T193" s="1184"/>
      <c r="U193" s="1184"/>
      <c r="V193" s="1184"/>
      <c r="W193" s="1184"/>
      <c r="X193" s="1184"/>
      <c r="Y193" s="1184"/>
      <c r="Z193" s="1184"/>
    </row>
    <row r="194" spans="1:26" ht="15.5">
      <c r="A194" s="1184"/>
      <c r="B194" s="1184"/>
      <c r="C194" s="1184"/>
      <c r="D194" s="1184"/>
      <c r="E194" s="1184"/>
      <c r="F194" s="1184"/>
      <c r="G194" s="1184"/>
      <c r="H194" s="1184"/>
      <c r="I194" s="1184"/>
      <c r="J194" s="1184"/>
      <c r="K194" s="1184"/>
      <c r="L194" s="1184"/>
      <c r="M194" s="1184"/>
      <c r="N194" s="1184"/>
      <c r="O194" s="1184"/>
      <c r="P194" s="1184"/>
      <c r="Q194" s="1184"/>
      <c r="R194" s="1184"/>
      <c r="S194" s="1184"/>
      <c r="T194" s="1184"/>
      <c r="U194" s="1184"/>
      <c r="V194" s="1184"/>
      <c r="W194" s="1184"/>
      <c r="X194" s="1184"/>
      <c r="Y194" s="1184"/>
      <c r="Z194" s="1184"/>
    </row>
    <row r="195" spans="1:26" ht="15.5">
      <c r="A195" s="1184"/>
      <c r="B195" s="1184"/>
      <c r="C195" s="1184"/>
      <c r="D195" s="1184"/>
      <c r="E195" s="1184"/>
      <c r="F195" s="1184"/>
      <c r="G195" s="1184"/>
      <c r="H195" s="1184"/>
      <c r="I195" s="1184"/>
      <c r="J195" s="1184"/>
      <c r="K195" s="1184"/>
      <c r="L195" s="1184"/>
      <c r="M195" s="1184"/>
      <c r="N195" s="1184"/>
      <c r="O195" s="1184"/>
      <c r="P195" s="1184"/>
      <c r="Q195" s="1184"/>
      <c r="R195" s="1184"/>
      <c r="S195" s="1184"/>
      <c r="T195" s="1184"/>
      <c r="U195" s="1184"/>
      <c r="V195" s="1184"/>
      <c r="W195" s="1184"/>
      <c r="X195" s="1184"/>
      <c r="Y195" s="1184"/>
      <c r="Z195" s="1184"/>
    </row>
    <row r="196" spans="1:26" ht="15.5">
      <c r="A196" s="1184"/>
      <c r="B196" s="1184"/>
      <c r="C196" s="1184"/>
      <c r="D196" s="1184"/>
      <c r="E196" s="1184"/>
      <c r="F196" s="1184"/>
      <c r="G196" s="1184"/>
      <c r="H196" s="1184"/>
      <c r="I196" s="1184"/>
      <c r="J196" s="1184"/>
      <c r="K196" s="1184"/>
      <c r="L196" s="1184"/>
      <c r="M196" s="1184"/>
      <c r="N196" s="1184"/>
      <c r="O196" s="1184"/>
      <c r="P196" s="1184"/>
      <c r="Q196" s="1184"/>
      <c r="R196" s="1184"/>
      <c r="S196" s="1184"/>
      <c r="T196" s="1184"/>
      <c r="U196" s="1184"/>
      <c r="V196" s="1184"/>
      <c r="W196" s="1184"/>
      <c r="X196" s="1184"/>
      <c r="Y196" s="1184"/>
      <c r="Z196" s="1184"/>
    </row>
    <row r="197" spans="1:26" ht="15.5">
      <c r="A197" s="1184"/>
      <c r="B197" s="1184"/>
      <c r="C197" s="1184"/>
      <c r="D197" s="1184"/>
      <c r="E197" s="1184"/>
      <c r="F197" s="1184"/>
      <c r="G197" s="1184"/>
      <c r="H197" s="1184"/>
      <c r="I197" s="1184"/>
      <c r="J197" s="1184"/>
      <c r="K197" s="1184"/>
      <c r="L197" s="1184"/>
      <c r="M197" s="1184"/>
      <c r="N197" s="1184"/>
      <c r="O197" s="1184"/>
      <c r="P197" s="1184"/>
      <c r="Q197" s="1184"/>
      <c r="R197" s="1184"/>
      <c r="S197" s="1184"/>
      <c r="T197" s="1184"/>
      <c r="U197" s="1184"/>
      <c r="V197" s="1184"/>
      <c r="W197" s="1184"/>
      <c r="X197" s="1184"/>
      <c r="Y197" s="1184"/>
      <c r="Z197" s="1184"/>
    </row>
    <row r="198" spans="1:26" ht="15.5">
      <c r="A198" s="1184"/>
      <c r="B198" s="1184"/>
      <c r="C198" s="1184"/>
      <c r="D198" s="1184"/>
      <c r="E198" s="1184"/>
      <c r="F198" s="1184"/>
      <c r="G198" s="1184"/>
      <c r="H198" s="1184"/>
      <c r="I198" s="1184"/>
      <c r="J198" s="1184"/>
      <c r="K198" s="1184"/>
      <c r="L198" s="1184"/>
      <c r="M198" s="1184"/>
      <c r="N198" s="1184"/>
      <c r="O198" s="1184"/>
      <c r="P198" s="1184"/>
      <c r="Q198" s="1184"/>
      <c r="R198" s="1184"/>
      <c r="S198" s="1184"/>
      <c r="T198" s="1184"/>
      <c r="U198" s="1184"/>
      <c r="V198" s="1184"/>
      <c r="W198" s="1184"/>
      <c r="X198" s="1184"/>
      <c r="Y198" s="1184"/>
      <c r="Z198" s="1184"/>
    </row>
    <row r="199" spans="1:26" ht="15.5">
      <c r="A199" s="1184"/>
      <c r="B199" s="1184"/>
      <c r="C199" s="1184"/>
      <c r="D199" s="1184"/>
      <c r="E199" s="1184"/>
      <c r="F199" s="1184"/>
      <c r="G199" s="1184"/>
      <c r="H199" s="1184"/>
      <c r="I199" s="1184"/>
      <c r="J199" s="1184"/>
      <c r="K199" s="1184"/>
      <c r="L199" s="1184"/>
      <c r="M199" s="1184"/>
      <c r="N199" s="1184"/>
      <c r="O199" s="1184"/>
      <c r="P199" s="1184"/>
      <c r="Q199" s="1184"/>
      <c r="R199" s="1184"/>
      <c r="S199" s="1184"/>
      <c r="T199" s="1184"/>
      <c r="U199" s="1184"/>
      <c r="V199" s="1184"/>
      <c r="W199" s="1184"/>
      <c r="X199" s="1184"/>
      <c r="Y199" s="1184"/>
      <c r="Z199" s="1184"/>
    </row>
    <row r="200" spans="1:26" ht="15.5">
      <c r="A200" s="1184"/>
      <c r="B200" s="1184"/>
      <c r="C200" s="1184"/>
      <c r="D200" s="1184"/>
      <c r="E200" s="1184"/>
      <c r="F200" s="1184"/>
      <c r="G200" s="1184"/>
      <c r="H200" s="1184"/>
      <c r="I200" s="1184"/>
      <c r="J200" s="1184"/>
      <c r="K200" s="1184"/>
      <c r="L200" s="1184"/>
      <c r="M200" s="1184"/>
      <c r="N200" s="1184"/>
      <c r="O200" s="1184"/>
      <c r="P200" s="1184"/>
      <c r="Q200" s="1184"/>
      <c r="R200" s="1184"/>
      <c r="S200" s="1184"/>
      <c r="T200" s="1184"/>
      <c r="U200" s="1184"/>
      <c r="V200" s="1184"/>
      <c r="W200" s="1184"/>
      <c r="X200" s="1184"/>
      <c r="Y200" s="1184"/>
      <c r="Z200" s="1184"/>
    </row>
    <row r="201" spans="1:26" ht="15.5">
      <c r="A201" s="1184"/>
      <c r="B201" s="1184"/>
      <c r="C201" s="1184"/>
      <c r="D201" s="1184"/>
      <c r="E201" s="1184"/>
      <c r="F201" s="1184"/>
      <c r="G201" s="1184"/>
      <c r="H201" s="1184"/>
      <c r="I201" s="1184"/>
      <c r="J201" s="1184"/>
      <c r="K201" s="1184"/>
      <c r="L201" s="1184"/>
      <c r="M201" s="1184"/>
      <c r="N201" s="1184"/>
      <c r="O201" s="1184"/>
      <c r="P201" s="1184"/>
      <c r="Q201" s="1184"/>
      <c r="R201" s="1184"/>
      <c r="S201" s="1184"/>
      <c r="T201" s="1184"/>
      <c r="U201" s="1184"/>
      <c r="V201" s="1184"/>
      <c r="W201" s="1184"/>
      <c r="X201" s="1184"/>
      <c r="Y201" s="1184"/>
      <c r="Z201" s="1184"/>
    </row>
    <row r="202" spans="1:26" ht="15.5">
      <c r="A202" s="1184"/>
      <c r="B202" s="1184"/>
      <c r="C202" s="1184"/>
      <c r="D202" s="1184"/>
      <c r="E202" s="1184"/>
      <c r="F202" s="1184"/>
      <c r="G202" s="1184"/>
      <c r="H202" s="1184"/>
      <c r="I202" s="1184"/>
      <c r="J202" s="1184"/>
      <c r="K202" s="1184"/>
      <c r="L202" s="1184"/>
      <c r="M202" s="1184"/>
      <c r="N202" s="1184"/>
      <c r="O202" s="1184"/>
      <c r="P202" s="1184"/>
      <c r="Q202" s="1184"/>
      <c r="R202" s="1184"/>
      <c r="S202" s="1184"/>
      <c r="T202" s="1184"/>
      <c r="U202" s="1184"/>
      <c r="V202" s="1184"/>
      <c r="W202" s="1184"/>
      <c r="X202" s="1184"/>
      <c r="Y202" s="1184"/>
      <c r="Z202" s="1184"/>
    </row>
    <row r="203" spans="1:26" ht="15.5">
      <c r="A203" s="1184"/>
      <c r="B203" s="1184"/>
      <c r="C203" s="1184"/>
      <c r="D203" s="1184"/>
      <c r="E203" s="1184"/>
      <c r="F203" s="1184"/>
      <c r="G203" s="1184"/>
      <c r="H203" s="1184"/>
      <c r="I203" s="1184"/>
      <c r="J203" s="1184"/>
      <c r="K203" s="1184"/>
      <c r="L203" s="1184"/>
      <c r="M203" s="1184"/>
      <c r="N203" s="1184"/>
      <c r="O203" s="1184"/>
      <c r="P203" s="1184"/>
      <c r="Q203" s="1184"/>
      <c r="R203" s="1184"/>
      <c r="S203" s="1184"/>
      <c r="T203" s="1184"/>
      <c r="U203" s="1184"/>
      <c r="V203" s="1184"/>
      <c r="W203" s="1184"/>
      <c r="X203" s="1184"/>
      <c r="Y203" s="1184"/>
      <c r="Z203" s="1184"/>
    </row>
    <row r="204" spans="1:26" ht="15.5">
      <c r="A204" s="1184"/>
      <c r="B204" s="1184"/>
      <c r="C204" s="1184"/>
      <c r="D204" s="1184"/>
      <c r="E204" s="1184"/>
      <c r="F204" s="1184"/>
      <c r="G204" s="1184"/>
      <c r="H204" s="1184"/>
      <c r="I204" s="1184"/>
      <c r="J204" s="1184"/>
      <c r="K204" s="1184"/>
      <c r="L204" s="1184"/>
      <c r="M204" s="1184"/>
      <c r="N204" s="1184"/>
      <c r="O204" s="1184"/>
      <c r="P204" s="1184"/>
      <c r="Q204" s="1184"/>
      <c r="R204" s="1184"/>
      <c r="S204" s="1184"/>
      <c r="T204" s="1184"/>
      <c r="U204" s="1184"/>
      <c r="V204" s="1184"/>
      <c r="W204" s="1184"/>
      <c r="X204" s="1184"/>
      <c r="Y204" s="1184"/>
      <c r="Z204" s="1184"/>
    </row>
    <row r="205" spans="1:26" ht="15.5">
      <c r="A205" s="1184"/>
      <c r="B205" s="1184"/>
      <c r="C205" s="1184"/>
      <c r="D205" s="1184"/>
      <c r="E205" s="1184"/>
      <c r="F205" s="1184"/>
      <c r="G205" s="1184"/>
      <c r="H205" s="1184"/>
      <c r="I205" s="1184"/>
      <c r="J205" s="1184"/>
      <c r="K205" s="1184"/>
      <c r="L205" s="1184"/>
      <c r="M205" s="1184"/>
      <c r="N205" s="1184"/>
      <c r="O205" s="1184"/>
      <c r="P205" s="1184"/>
      <c r="Q205" s="1184"/>
      <c r="R205" s="1184"/>
      <c r="S205" s="1184"/>
      <c r="T205" s="1184"/>
      <c r="U205" s="1184"/>
      <c r="V205" s="1184"/>
      <c r="W205" s="1184"/>
      <c r="X205" s="1184"/>
      <c r="Y205" s="1184"/>
      <c r="Z205" s="1184"/>
    </row>
    <row r="206" spans="1:26" ht="15.5">
      <c r="A206" s="1184"/>
      <c r="B206" s="1184"/>
      <c r="C206" s="1184"/>
      <c r="D206" s="1184"/>
      <c r="E206" s="1184"/>
      <c r="F206" s="1184"/>
      <c r="G206" s="1184"/>
      <c r="H206" s="1184"/>
      <c r="I206" s="1184"/>
      <c r="J206" s="1184"/>
      <c r="K206" s="1184"/>
      <c r="L206" s="1184"/>
      <c r="M206" s="1184"/>
      <c r="N206" s="1184"/>
      <c r="O206" s="1184"/>
      <c r="P206" s="1184"/>
      <c r="Q206" s="1184"/>
      <c r="R206" s="1184"/>
      <c r="S206" s="1184"/>
      <c r="T206" s="1184"/>
      <c r="U206" s="1184"/>
      <c r="V206" s="1184"/>
      <c r="W206" s="1184"/>
      <c r="X206" s="1184"/>
      <c r="Y206" s="1184"/>
      <c r="Z206" s="1184"/>
    </row>
    <row r="207" spans="1:26" ht="15.5">
      <c r="A207" s="1184"/>
      <c r="B207" s="1184"/>
      <c r="C207" s="1184"/>
      <c r="D207" s="1184"/>
      <c r="E207" s="1184"/>
      <c r="F207" s="1184"/>
      <c r="G207" s="1184"/>
      <c r="H207" s="1184"/>
      <c r="I207" s="1184"/>
      <c r="J207" s="1184"/>
      <c r="K207" s="1184"/>
      <c r="L207" s="1184"/>
      <c r="M207" s="1184"/>
      <c r="N207" s="1184"/>
      <c r="O207" s="1184"/>
      <c r="P207" s="1184"/>
      <c r="Q207" s="1184"/>
      <c r="R207" s="1184"/>
      <c r="S207" s="1184"/>
      <c r="T207" s="1184"/>
      <c r="U207" s="1184"/>
      <c r="V207" s="1184"/>
      <c r="W207" s="1184"/>
      <c r="X207" s="1184"/>
      <c r="Y207" s="1184"/>
      <c r="Z207" s="1184"/>
    </row>
    <row r="208" spans="1:26" ht="15.5">
      <c r="A208" s="1184">
        <v>14</v>
      </c>
      <c r="B208" s="1184"/>
      <c r="C208" s="1184"/>
      <c r="D208" s="1184"/>
      <c r="E208" s="1184"/>
      <c r="F208" s="1184"/>
      <c r="G208" s="1184"/>
      <c r="H208" s="1184"/>
      <c r="I208" s="1184"/>
      <c r="J208" s="1184"/>
      <c r="K208" s="1184"/>
      <c r="L208" s="1184"/>
      <c r="M208" s="1184"/>
      <c r="N208" s="1184"/>
      <c r="O208" s="1184"/>
      <c r="P208" s="1184"/>
      <c r="Q208" s="1184"/>
      <c r="R208" s="1184"/>
      <c r="S208" s="1184"/>
      <c r="T208" s="1184"/>
      <c r="U208" s="1184"/>
      <c r="V208" s="1184"/>
      <c r="W208" s="1184"/>
      <c r="X208" s="1184"/>
      <c r="Y208" s="1184"/>
      <c r="Z208" s="1184"/>
    </row>
    <row r="209" spans="1:26" ht="15.5">
      <c r="A209" s="1184"/>
      <c r="B209" s="1184"/>
      <c r="C209" s="1184"/>
      <c r="D209" s="1184"/>
      <c r="E209" s="1184"/>
      <c r="F209" s="1184"/>
      <c r="G209" s="1184"/>
      <c r="H209" s="1184"/>
      <c r="I209" s="1184"/>
      <c r="J209" s="1184"/>
      <c r="K209" s="1184"/>
      <c r="L209" s="1184"/>
      <c r="M209" s="1184"/>
      <c r="N209" s="1184"/>
      <c r="O209" s="1184"/>
      <c r="P209" s="1184"/>
      <c r="Q209" s="1184"/>
      <c r="R209" s="1184"/>
      <c r="S209" s="1184"/>
      <c r="T209" s="1184"/>
      <c r="U209" s="1184"/>
      <c r="V209" s="1184"/>
      <c r="W209" s="1184"/>
      <c r="X209" s="1184"/>
      <c r="Y209" s="1184"/>
      <c r="Z209" s="1184"/>
    </row>
    <row r="210" spans="1:26" ht="15.5">
      <c r="A210" s="1184"/>
      <c r="B210" s="1184"/>
      <c r="C210" s="1184"/>
      <c r="D210" s="1184"/>
      <c r="E210" s="1184"/>
      <c r="F210" s="1184"/>
      <c r="G210" s="1184"/>
      <c r="H210" s="1184"/>
      <c r="I210" s="1184"/>
      <c r="J210" s="1184"/>
      <c r="K210" s="1184"/>
      <c r="L210" s="1184"/>
      <c r="M210" s="1184"/>
      <c r="N210" s="1184"/>
      <c r="O210" s="1184"/>
      <c r="P210" s="1184"/>
      <c r="Q210" s="1184"/>
      <c r="R210" s="1184"/>
      <c r="S210" s="1184"/>
      <c r="T210" s="1184"/>
      <c r="U210" s="1184"/>
      <c r="V210" s="1184"/>
      <c r="W210" s="1184"/>
      <c r="X210" s="1184"/>
      <c r="Y210" s="1184"/>
      <c r="Z210" s="1184"/>
    </row>
    <row r="211" spans="1:26" ht="15.5">
      <c r="A211" s="1184"/>
      <c r="B211" s="1184"/>
      <c r="C211" s="1184"/>
      <c r="D211" s="1184"/>
      <c r="E211" s="1184"/>
      <c r="F211" s="1184"/>
      <c r="G211" s="1184"/>
      <c r="H211" s="1184"/>
      <c r="I211" s="1184"/>
      <c r="J211" s="1184"/>
      <c r="K211" s="1184"/>
      <c r="L211" s="1184"/>
      <c r="M211" s="1184"/>
      <c r="N211" s="1184"/>
      <c r="O211" s="1184"/>
      <c r="P211" s="1184"/>
      <c r="Q211" s="1184"/>
      <c r="R211" s="1184"/>
      <c r="S211" s="1184"/>
      <c r="T211" s="1184"/>
      <c r="U211" s="1184"/>
      <c r="V211" s="1184"/>
      <c r="W211" s="1184"/>
      <c r="X211" s="1184"/>
      <c r="Y211" s="1184"/>
      <c r="Z211" s="1184"/>
    </row>
    <row r="212" spans="1:26" ht="15.5">
      <c r="A212" s="1184"/>
      <c r="B212" s="1184"/>
      <c r="C212" s="1184"/>
      <c r="D212" s="1184"/>
      <c r="E212" s="1184"/>
      <c r="F212" s="1184"/>
      <c r="G212" s="1184"/>
      <c r="H212" s="1184"/>
      <c r="I212" s="1184"/>
      <c r="J212" s="1184"/>
      <c r="K212" s="1184"/>
      <c r="L212" s="1184"/>
      <c r="M212" s="1184"/>
      <c r="N212" s="1184"/>
      <c r="O212" s="1184"/>
      <c r="P212" s="1184"/>
      <c r="Q212" s="1184"/>
      <c r="R212" s="1184"/>
      <c r="S212" s="1184"/>
      <c r="T212" s="1184"/>
      <c r="U212" s="1184"/>
      <c r="V212" s="1184"/>
      <c r="W212" s="1184"/>
      <c r="X212" s="1184"/>
      <c r="Y212" s="1184"/>
      <c r="Z212" s="1184"/>
    </row>
    <row r="213" spans="1:26" ht="15.5">
      <c r="A213" s="1184"/>
      <c r="B213" s="1184"/>
      <c r="C213" s="1184"/>
      <c r="D213" s="1184"/>
      <c r="E213" s="1184"/>
      <c r="F213" s="1184"/>
      <c r="G213" s="1184"/>
      <c r="H213" s="1184"/>
      <c r="I213" s="1184"/>
      <c r="J213" s="1184"/>
      <c r="K213" s="1184"/>
      <c r="L213" s="1184"/>
      <c r="M213" s="1184"/>
      <c r="N213" s="1184"/>
      <c r="O213" s="1184"/>
      <c r="P213" s="1184"/>
      <c r="Q213" s="1184"/>
      <c r="R213" s="1184"/>
      <c r="S213" s="1184"/>
      <c r="T213" s="1184"/>
      <c r="U213" s="1184"/>
      <c r="V213" s="1184"/>
      <c r="W213" s="1184"/>
      <c r="X213" s="1184"/>
      <c r="Y213" s="1184"/>
      <c r="Z213" s="1184"/>
    </row>
    <row r="214" spans="1:26" ht="15.5">
      <c r="A214" s="1184"/>
      <c r="B214" s="1184"/>
      <c r="C214" s="1184"/>
      <c r="D214" s="1184"/>
      <c r="E214" s="1184"/>
      <c r="F214" s="1184"/>
      <c r="G214" s="1184"/>
      <c r="H214" s="1184"/>
      <c r="I214" s="1184"/>
      <c r="J214" s="1184"/>
      <c r="K214" s="1184"/>
      <c r="L214" s="1184"/>
      <c r="M214" s="1184"/>
      <c r="N214" s="1184"/>
      <c r="O214" s="1184"/>
      <c r="P214" s="1184"/>
      <c r="Q214" s="1184"/>
      <c r="R214" s="1184"/>
      <c r="S214" s="1184"/>
      <c r="T214" s="1184"/>
      <c r="U214" s="1184"/>
      <c r="V214" s="1184"/>
      <c r="W214" s="1184"/>
      <c r="X214" s="1184"/>
      <c r="Y214" s="1184"/>
      <c r="Z214" s="1184"/>
    </row>
    <row r="215" spans="1:26" ht="15.5">
      <c r="A215" s="1184"/>
      <c r="B215" s="1184"/>
      <c r="C215" s="1184"/>
      <c r="D215" s="1184"/>
      <c r="E215" s="1184"/>
      <c r="F215" s="1184"/>
      <c r="G215" s="1184"/>
      <c r="H215" s="1184"/>
      <c r="I215" s="1184"/>
      <c r="J215" s="1184"/>
      <c r="K215" s="1184"/>
      <c r="L215" s="1184"/>
      <c r="M215" s="1184"/>
      <c r="N215" s="1184"/>
      <c r="O215" s="1184"/>
      <c r="P215" s="1184"/>
      <c r="Q215" s="1184"/>
      <c r="R215" s="1184"/>
      <c r="S215" s="1184"/>
      <c r="T215" s="1184"/>
      <c r="U215" s="1184"/>
      <c r="V215" s="1184"/>
      <c r="W215" s="1184"/>
      <c r="X215" s="1184"/>
      <c r="Y215" s="1184"/>
      <c r="Z215" s="1184"/>
    </row>
    <row r="216" spans="1:26" ht="15.5">
      <c r="A216" s="1184"/>
      <c r="B216" s="1184"/>
      <c r="C216" s="1184"/>
      <c r="D216" s="1184"/>
      <c r="E216" s="1184"/>
      <c r="F216" s="1184"/>
      <c r="G216" s="1185" t="s">
        <v>2265</v>
      </c>
      <c r="H216" s="1184"/>
      <c r="I216" s="1184"/>
      <c r="J216" s="1184"/>
      <c r="K216" s="1184"/>
      <c r="L216" s="1184"/>
      <c r="M216" s="1184"/>
      <c r="N216" s="1184"/>
      <c r="O216" s="1184"/>
      <c r="P216" s="1184"/>
      <c r="Q216" s="1184"/>
      <c r="R216" s="1184"/>
      <c r="S216" s="1184"/>
      <c r="T216" s="1184"/>
      <c r="U216" s="1184"/>
      <c r="V216" s="1184"/>
      <c r="W216" s="1184"/>
      <c r="X216" s="1184"/>
      <c r="Y216" s="1184"/>
      <c r="Z216" s="1184"/>
    </row>
    <row r="217" spans="1:26" ht="15.5">
      <c r="A217" s="1184"/>
      <c r="B217" s="1184"/>
      <c r="C217" s="1184"/>
      <c r="D217" s="1184"/>
      <c r="E217" s="1184"/>
      <c r="F217" s="1184"/>
      <c r="G217" s="1184"/>
      <c r="H217" s="1184"/>
      <c r="I217" s="1184"/>
      <c r="J217" s="1184"/>
      <c r="K217" s="1184"/>
      <c r="L217" s="1184"/>
      <c r="M217" s="1184"/>
      <c r="N217" s="1184"/>
      <c r="O217" s="1184"/>
      <c r="P217" s="1184"/>
      <c r="Q217" s="1184"/>
      <c r="R217" s="1184"/>
      <c r="S217" s="1184"/>
      <c r="T217" s="1184"/>
      <c r="U217" s="1184"/>
      <c r="V217" s="1184"/>
      <c r="W217" s="1184"/>
      <c r="X217" s="1184"/>
      <c r="Y217" s="1184"/>
      <c r="Z217" s="1184"/>
    </row>
    <row r="218" spans="1:26" ht="15.5">
      <c r="A218" s="1184"/>
      <c r="B218" s="1184"/>
      <c r="C218" s="1184"/>
      <c r="D218" s="1184"/>
      <c r="E218" s="1184"/>
      <c r="F218" s="1184"/>
      <c r="G218" s="1184"/>
      <c r="H218" s="1184"/>
      <c r="I218" s="1184"/>
      <c r="J218" s="1184"/>
      <c r="K218" s="1184"/>
      <c r="L218" s="1184"/>
      <c r="M218" s="1184"/>
      <c r="N218" s="1184"/>
      <c r="O218" s="1184"/>
      <c r="P218" s="1184"/>
      <c r="Q218" s="1184"/>
      <c r="R218" s="1184"/>
      <c r="S218" s="1184"/>
      <c r="T218" s="1184"/>
      <c r="U218" s="1184"/>
      <c r="V218" s="1184"/>
      <c r="W218" s="1184"/>
      <c r="X218" s="1184"/>
      <c r="Y218" s="1184"/>
      <c r="Z218" s="1184"/>
    </row>
    <row r="219" spans="1:26" ht="15.5">
      <c r="A219" s="1184"/>
      <c r="B219" s="1184"/>
      <c r="C219" s="1184"/>
      <c r="D219" s="1184"/>
      <c r="E219" s="1184"/>
      <c r="F219" s="1184"/>
      <c r="G219" s="1184"/>
      <c r="H219" s="1184"/>
      <c r="I219" s="1184"/>
      <c r="J219" s="1184"/>
      <c r="K219" s="1184"/>
      <c r="L219" s="1184"/>
      <c r="M219" s="1184"/>
      <c r="N219" s="1184"/>
      <c r="O219" s="1184"/>
      <c r="P219" s="1184"/>
      <c r="Q219" s="1184"/>
      <c r="R219" s="1184"/>
      <c r="S219" s="1184"/>
      <c r="T219" s="1184"/>
      <c r="U219" s="1184"/>
      <c r="V219" s="1184"/>
      <c r="W219" s="1184"/>
      <c r="X219" s="1184"/>
      <c r="Y219" s="1184"/>
      <c r="Z219" s="1184"/>
    </row>
    <row r="220" spans="1:26" ht="15.5">
      <c r="A220" s="1184"/>
      <c r="B220" s="1184"/>
      <c r="C220" s="1184"/>
      <c r="D220" s="1184"/>
      <c r="E220" s="1184"/>
      <c r="F220" s="1184"/>
      <c r="G220" s="1184"/>
      <c r="H220" s="1184"/>
      <c r="I220" s="1184"/>
      <c r="J220" s="1184"/>
      <c r="K220" s="1184"/>
      <c r="L220" s="1184"/>
      <c r="M220" s="1184"/>
      <c r="N220" s="1184"/>
      <c r="O220" s="1184"/>
      <c r="P220" s="1184"/>
      <c r="Q220" s="1184"/>
      <c r="R220" s="1184"/>
      <c r="S220" s="1184"/>
      <c r="T220" s="1184"/>
      <c r="U220" s="1184"/>
      <c r="V220" s="1184"/>
      <c r="W220" s="1184"/>
      <c r="X220" s="1184"/>
      <c r="Y220" s="1184"/>
      <c r="Z220" s="1184"/>
    </row>
    <row r="221" spans="1:26" ht="15.5">
      <c r="A221" s="1184"/>
      <c r="B221" s="1184"/>
      <c r="C221" s="1184"/>
      <c r="D221" s="1184"/>
      <c r="E221" s="1184"/>
      <c r="F221" s="1184"/>
      <c r="G221" s="1184"/>
      <c r="H221" s="1184"/>
      <c r="I221" s="1184"/>
      <c r="J221" s="1184"/>
      <c r="K221" s="1184"/>
      <c r="L221" s="1184"/>
      <c r="M221" s="1184"/>
      <c r="N221" s="1184"/>
      <c r="O221" s="1184"/>
      <c r="P221" s="1184"/>
      <c r="Q221" s="1184"/>
      <c r="R221" s="1184"/>
      <c r="S221" s="1184"/>
      <c r="T221" s="1184"/>
      <c r="U221" s="1184"/>
      <c r="V221" s="1184"/>
      <c r="W221" s="1184"/>
      <c r="X221" s="1184"/>
      <c r="Y221" s="1184"/>
      <c r="Z221" s="1184"/>
    </row>
    <row r="222" spans="1:26" ht="15.5">
      <c r="A222" s="1184"/>
      <c r="B222" s="1184"/>
      <c r="C222" s="1184"/>
      <c r="D222" s="1184"/>
      <c r="E222" s="1184"/>
      <c r="F222" s="1184"/>
      <c r="G222" s="1184"/>
      <c r="H222" s="1184"/>
      <c r="I222" s="1184"/>
      <c r="J222" s="1184"/>
      <c r="K222" s="1184"/>
      <c r="L222" s="1184"/>
      <c r="M222" s="1184"/>
      <c r="N222" s="1184"/>
      <c r="O222" s="1184"/>
      <c r="P222" s="1184"/>
      <c r="Q222" s="1184"/>
      <c r="R222" s="1184"/>
      <c r="S222" s="1184"/>
      <c r="T222" s="1184"/>
      <c r="U222" s="1184"/>
      <c r="V222" s="1184"/>
      <c r="W222" s="1184"/>
      <c r="X222" s="1184"/>
      <c r="Y222" s="1184"/>
      <c r="Z222" s="1184"/>
    </row>
    <row r="223" spans="1:26" ht="15.5">
      <c r="A223" s="1184"/>
      <c r="B223" s="1184"/>
      <c r="C223" s="1184"/>
      <c r="D223" s="1184"/>
      <c r="E223" s="1184"/>
      <c r="F223" s="1184"/>
      <c r="G223" s="1184"/>
      <c r="H223" s="1184"/>
      <c r="I223" s="1184"/>
      <c r="J223" s="1184"/>
      <c r="K223" s="1184"/>
      <c r="L223" s="1184"/>
      <c r="M223" s="1184"/>
      <c r="N223" s="1184"/>
      <c r="O223" s="1184"/>
      <c r="P223" s="1184"/>
      <c r="Q223" s="1184"/>
      <c r="R223" s="1184"/>
      <c r="S223" s="1184"/>
      <c r="T223" s="1184"/>
      <c r="U223" s="1184"/>
      <c r="V223" s="1184"/>
      <c r="W223" s="1184"/>
      <c r="X223" s="1184"/>
      <c r="Y223" s="1184"/>
      <c r="Z223" s="1184"/>
    </row>
    <row r="224" spans="1:26" ht="15.5">
      <c r="A224" s="1184"/>
      <c r="B224" s="1184"/>
      <c r="C224" s="1184"/>
      <c r="D224" s="1184"/>
      <c r="E224" s="1184"/>
      <c r="F224" s="1184"/>
      <c r="G224" s="1184"/>
      <c r="H224" s="1184"/>
      <c r="I224" s="1184"/>
      <c r="J224" s="1184"/>
      <c r="K224" s="1184"/>
      <c r="L224" s="1184"/>
      <c r="M224" s="1184"/>
      <c r="N224" s="1184"/>
      <c r="O224" s="1184"/>
      <c r="P224" s="1184"/>
      <c r="Q224" s="1184"/>
      <c r="R224" s="1184"/>
      <c r="S224" s="1184"/>
      <c r="T224" s="1184"/>
      <c r="U224" s="1184"/>
      <c r="V224" s="1184"/>
      <c r="W224" s="1184"/>
      <c r="X224" s="1184"/>
      <c r="Y224" s="1184"/>
      <c r="Z224" s="1184"/>
    </row>
    <row r="225" spans="1:26" ht="15.5">
      <c r="A225" s="1184"/>
      <c r="B225" s="1184"/>
      <c r="C225" s="1184"/>
      <c r="D225" s="1184"/>
      <c r="E225" s="1184"/>
      <c r="F225" s="1184"/>
      <c r="G225" s="1184"/>
      <c r="H225" s="1184"/>
      <c r="I225" s="1184"/>
      <c r="J225" s="1184"/>
      <c r="K225" s="1184"/>
      <c r="L225" s="1184"/>
      <c r="M225" s="1184"/>
      <c r="N225" s="1184"/>
      <c r="O225" s="1184"/>
      <c r="P225" s="1184"/>
      <c r="Q225" s="1184"/>
      <c r="R225" s="1184"/>
      <c r="S225" s="1184"/>
      <c r="T225" s="1184"/>
      <c r="U225" s="1184"/>
      <c r="V225" s="1184"/>
      <c r="W225" s="1184"/>
      <c r="X225" s="1184"/>
      <c r="Y225" s="1184"/>
      <c r="Z225" s="1184"/>
    </row>
    <row r="226" spans="1:26" ht="15.5">
      <c r="A226" s="1184"/>
      <c r="B226" s="1184"/>
      <c r="C226" s="1184"/>
      <c r="D226" s="1184"/>
      <c r="E226" s="1184"/>
      <c r="F226" s="1184"/>
      <c r="G226" s="1184"/>
      <c r="H226" s="1184"/>
      <c r="I226" s="1184"/>
      <c r="J226" s="1184"/>
      <c r="K226" s="1184"/>
      <c r="L226" s="1184"/>
      <c r="M226" s="1184"/>
      <c r="N226" s="1184"/>
      <c r="O226" s="1184"/>
      <c r="P226" s="1184"/>
      <c r="Q226" s="1184"/>
      <c r="R226" s="1184"/>
      <c r="S226" s="1184"/>
      <c r="T226" s="1184"/>
      <c r="U226" s="1184"/>
      <c r="V226" s="1184"/>
      <c r="W226" s="1184"/>
      <c r="X226" s="1184"/>
      <c r="Y226" s="1184"/>
      <c r="Z226" s="1184"/>
    </row>
    <row r="227" spans="1:26" ht="15.5">
      <c r="A227" s="1184"/>
      <c r="B227" s="1184"/>
      <c r="C227" s="1184"/>
      <c r="D227" s="1184"/>
      <c r="E227" s="1184"/>
      <c r="F227" s="1184"/>
      <c r="G227" s="1184"/>
      <c r="H227" s="1184"/>
      <c r="I227" s="1184"/>
      <c r="J227" s="1184"/>
      <c r="K227" s="1184"/>
      <c r="L227" s="1184"/>
      <c r="M227" s="1184"/>
      <c r="N227" s="1184"/>
      <c r="O227" s="1184"/>
      <c r="P227" s="1184"/>
      <c r="Q227" s="1184"/>
      <c r="R227" s="1184"/>
      <c r="S227" s="1184"/>
      <c r="T227" s="1184"/>
      <c r="U227" s="1184"/>
      <c r="V227" s="1184"/>
      <c r="W227" s="1184"/>
      <c r="X227" s="1184"/>
      <c r="Y227" s="1184"/>
      <c r="Z227" s="1184"/>
    </row>
    <row r="228" spans="1:26" ht="15.5">
      <c r="A228" s="1184"/>
      <c r="B228" s="1184"/>
      <c r="C228" s="1184"/>
      <c r="D228" s="1184"/>
      <c r="E228" s="1184"/>
      <c r="F228" s="1184"/>
      <c r="G228" s="1184"/>
      <c r="H228" s="1184"/>
      <c r="I228" s="1184"/>
      <c r="J228" s="1184"/>
      <c r="K228" s="1184"/>
      <c r="L228" s="1184"/>
      <c r="M228" s="1184"/>
      <c r="N228" s="1184"/>
      <c r="O228" s="1184"/>
      <c r="P228" s="1184"/>
      <c r="Q228" s="1184"/>
      <c r="R228" s="1184"/>
      <c r="S228" s="1184"/>
      <c r="T228" s="1184"/>
      <c r="U228" s="1184"/>
      <c r="V228" s="1184"/>
      <c r="W228" s="1184"/>
      <c r="X228" s="1184"/>
      <c r="Y228" s="1184"/>
      <c r="Z228" s="1184"/>
    </row>
    <row r="229" spans="1:26" ht="15.5">
      <c r="A229" s="1184"/>
      <c r="B229" s="1184"/>
      <c r="C229" s="1184"/>
      <c r="D229" s="1184"/>
      <c r="E229" s="1184"/>
      <c r="F229" s="1184"/>
      <c r="G229" s="1184"/>
      <c r="H229" s="1184"/>
      <c r="I229" s="1184"/>
      <c r="J229" s="1184"/>
      <c r="K229" s="1184"/>
      <c r="L229" s="1184"/>
      <c r="M229" s="1184"/>
      <c r="N229" s="1184"/>
      <c r="O229" s="1184"/>
      <c r="P229" s="1184"/>
      <c r="Q229" s="1184"/>
      <c r="R229" s="1184"/>
      <c r="S229" s="1184"/>
      <c r="T229" s="1184"/>
      <c r="U229" s="1184"/>
      <c r="V229" s="1184"/>
      <c r="W229" s="1184"/>
      <c r="X229" s="1184"/>
      <c r="Y229" s="1184"/>
      <c r="Z229" s="1184"/>
    </row>
    <row r="230" spans="1:26" ht="15.5">
      <c r="A230" s="1184"/>
      <c r="B230" s="1184"/>
      <c r="C230" s="1184"/>
      <c r="D230" s="1184"/>
      <c r="E230" s="1184"/>
      <c r="F230" s="1184"/>
      <c r="G230" s="1184"/>
      <c r="H230" s="1184"/>
      <c r="I230" s="1184"/>
      <c r="J230" s="1184"/>
      <c r="K230" s="1184"/>
      <c r="L230" s="1184"/>
      <c r="M230" s="1184"/>
      <c r="N230" s="1184"/>
      <c r="O230" s="1184"/>
      <c r="P230" s="1184"/>
      <c r="Q230" s="1184"/>
      <c r="R230" s="1184"/>
      <c r="S230" s="1184"/>
      <c r="T230" s="1184"/>
      <c r="U230" s="1184"/>
      <c r="V230" s="1184"/>
      <c r="W230" s="1184"/>
      <c r="X230" s="1184"/>
      <c r="Y230" s="1184"/>
      <c r="Z230" s="1184"/>
    </row>
    <row r="231" spans="1:26" ht="15.5">
      <c r="A231" s="1184"/>
      <c r="B231" s="1184"/>
      <c r="C231" s="1184"/>
      <c r="D231" s="1184"/>
      <c r="E231" s="1184"/>
      <c r="F231" s="1184"/>
      <c r="G231" s="1184"/>
      <c r="H231" s="1184"/>
      <c r="I231" s="1184"/>
      <c r="J231" s="1184"/>
      <c r="K231" s="1184"/>
      <c r="L231" s="1184"/>
      <c r="M231" s="1184"/>
      <c r="N231" s="1184"/>
      <c r="O231" s="1184"/>
      <c r="P231" s="1184"/>
      <c r="Q231" s="1184"/>
      <c r="R231" s="1184"/>
      <c r="S231" s="1184"/>
      <c r="T231" s="1184"/>
      <c r="U231" s="1184"/>
      <c r="V231" s="1184"/>
      <c r="W231" s="1184"/>
      <c r="X231" s="1184"/>
      <c r="Y231" s="1184"/>
      <c r="Z231" s="1184"/>
    </row>
    <row r="232" spans="1:26" ht="15.5">
      <c r="A232" s="1184">
        <v>15</v>
      </c>
      <c r="B232" s="1206"/>
      <c r="C232" s="1184"/>
      <c r="D232" s="1184"/>
      <c r="E232" s="1184"/>
      <c r="F232" s="1184"/>
      <c r="G232" s="1184"/>
      <c r="H232" s="1184"/>
      <c r="I232" s="1184"/>
      <c r="J232" s="1184"/>
      <c r="K232" s="1184"/>
      <c r="L232" s="1184"/>
      <c r="M232" s="1184"/>
      <c r="N232" s="1184"/>
      <c r="O232" s="1184"/>
      <c r="P232" s="1184"/>
      <c r="Q232" s="1184"/>
      <c r="R232" s="1184"/>
      <c r="S232" s="1184"/>
      <c r="T232" s="1184"/>
      <c r="U232" s="1184"/>
      <c r="V232" s="1184"/>
      <c r="W232" s="1184"/>
      <c r="X232" s="1184"/>
      <c r="Y232" s="1184"/>
      <c r="Z232" s="1184"/>
    </row>
    <row r="233" spans="1:26" ht="15.5">
      <c r="A233" s="1184"/>
      <c r="B233" s="1184"/>
      <c r="C233" s="1184"/>
      <c r="D233" s="1184"/>
      <c r="G233" s="1184"/>
      <c r="H233" s="1184"/>
      <c r="I233" s="1184"/>
      <c r="J233" s="1184"/>
      <c r="K233" s="1184"/>
      <c r="L233" s="1184"/>
      <c r="M233" s="1184"/>
      <c r="N233" s="1184"/>
      <c r="O233" s="1184"/>
      <c r="P233" s="1184"/>
      <c r="Q233" s="1184"/>
      <c r="R233" s="1184"/>
      <c r="S233" s="1184"/>
      <c r="T233" s="1184"/>
      <c r="U233" s="1184"/>
      <c r="V233" s="1184"/>
      <c r="W233" s="1184"/>
      <c r="X233" s="1184"/>
      <c r="Y233" s="1184"/>
      <c r="Z233" s="1184"/>
    </row>
    <row r="234" spans="1:26" ht="15.5">
      <c r="A234" s="1184"/>
      <c r="B234" s="1184"/>
      <c r="C234" s="1184"/>
      <c r="D234" s="1213" t="str">
        <f>'Calendar Assumptions'!C5</f>
        <v>Music GA (Large)</v>
      </c>
      <c r="E234" s="1214">
        <f>'Calendar Assumptions'!D5</f>
        <v>5000</v>
      </c>
      <c r="G234" s="1184"/>
      <c r="H234" s="1184"/>
      <c r="I234" s="1184"/>
      <c r="J234" s="1184"/>
      <c r="K234" s="1184"/>
      <c r="L234" s="1184"/>
      <c r="M234" s="1184"/>
      <c r="N234" s="1184"/>
      <c r="O234" s="1184"/>
      <c r="P234" s="1184"/>
      <c r="Q234" s="1184"/>
      <c r="R234" s="1184"/>
      <c r="S234" s="1184"/>
      <c r="T234" s="1184"/>
      <c r="U234" s="1184"/>
      <c r="V234" s="1184"/>
      <c r="W234" s="1184"/>
      <c r="X234" s="1184"/>
      <c r="Y234" s="1184"/>
      <c r="Z234" s="1184"/>
    </row>
    <row r="235" spans="1:26" ht="15.5">
      <c r="A235" s="1184"/>
      <c r="B235" s="1184"/>
      <c r="C235" s="1184"/>
      <c r="D235" s="1213" t="str">
        <f>'Calendar Assumptions'!C6</f>
        <v>Music GA (Medium)</v>
      </c>
      <c r="E235" s="1214">
        <f>'Calendar Assumptions'!D6</f>
        <v>3000</v>
      </c>
      <c r="G235" s="1184"/>
      <c r="H235" s="1184"/>
      <c r="I235" s="1184"/>
      <c r="J235" s="1184"/>
      <c r="K235" s="1184"/>
      <c r="L235" s="1184"/>
      <c r="M235" s="1184"/>
      <c r="N235" s="1184"/>
      <c r="O235" s="1184"/>
      <c r="P235" s="1184"/>
      <c r="Q235" s="1184"/>
      <c r="R235" s="1184"/>
      <c r="S235" s="1184"/>
      <c r="T235" s="1184"/>
      <c r="U235" s="1184"/>
      <c r="V235" s="1184"/>
      <c r="W235" s="1184"/>
      <c r="X235" s="1184"/>
      <c r="Y235" s="1184"/>
      <c r="Z235" s="1184"/>
    </row>
    <row r="236" spans="1:26" ht="15.5">
      <c r="A236" s="1184"/>
      <c r="B236" s="1184"/>
      <c r="C236" s="1184"/>
      <c r="D236" s="1213" t="str">
        <f>'Calendar Assumptions'!C7</f>
        <v>Music GA (Small)</v>
      </c>
      <c r="E236" s="1214">
        <f>'Calendar Assumptions'!D7</f>
        <v>1500</v>
      </c>
      <c r="G236" s="1184"/>
      <c r="H236" s="1184"/>
      <c r="I236" s="1184"/>
      <c r="J236" s="1184"/>
      <c r="K236" s="1184"/>
      <c r="L236" s="1184"/>
      <c r="M236" s="1184"/>
      <c r="N236" s="1184"/>
      <c r="O236" s="1184"/>
      <c r="P236" s="1184"/>
      <c r="Q236" s="1184"/>
      <c r="R236" s="1184"/>
      <c r="S236" s="1184"/>
      <c r="T236" s="1184"/>
      <c r="U236" s="1184"/>
      <c r="V236" s="1184"/>
      <c r="W236" s="1184"/>
      <c r="X236" s="1184"/>
      <c r="Y236" s="1184"/>
      <c r="Z236" s="1184"/>
    </row>
    <row r="237" spans="1:26" ht="15.5">
      <c r="A237" s="1184"/>
      <c r="B237" s="1184"/>
      <c r="C237" s="1184"/>
      <c r="D237" s="1213" t="str">
        <f>'Calendar Assumptions'!C8</f>
        <v xml:space="preserve">EDM </v>
      </c>
      <c r="E237" s="1214">
        <f>'Calendar Assumptions'!D8</f>
        <v>3500</v>
      </c>
      <c r="G237" s="1184"/>
      <c r="H237" s="1184"/>
      <c r="I237" s="1184"/>
      <c r="J237" s="1184"/>
      <c r="K237" s="1184"/>
      <c r="L237" s="1184"/>
      <c r="M237" s="1184"/>
      <c r="N237" s="1184"/>
      <c r="O237" s="1184"/>
      <c r="P237" s="1184"/>
      <c r="Q237" s="1184"/>
      <c r="R237" s="1184"/>
      <c r="S237" s="1184"/>
      <c r="T237" s="1184"/>
      <c r="U237" s="1184"/>
      <c r="V237" s="1184"/>
      <c r="W237" s="1184"/>
      <c r="X237" s="1184"/>
      <c r="Y237" s="1184"/>
      <c r="Z237" s="1184"/>
    </row>
    <row r="238" spans="1:26" ht="15.5">
      <c r="A238" s="1184"/>
      <c r="B238" s="1184"/>
      <c r="C238" s="1184"/>
      <c r="D238" s="1213" t="str">
        <f>'Calendar Assumptions'!C9</f>
        <v>Music (Seated)</v>
      </c>
      <c r="E238" s="1214">
        <f>'Calendar Assumptions'!D9</f>
        <v>3500</v>
      </c>
      <c r="G238" s="1184"/>
      <c r="H238" s="1184"/>
      <c r="I238" s="1184"/>
      <c r="J238" s="1184"/>
      <c r="K238" s="1184"/>
      <c r="L238" s="1184"/>
      <c r="M238" s="1184"/>
      <c r="N238" s="1184"/>
      <c r="O238" s="1184"/>
      <c r="P238" s="1184"/>
      <c r="Q238" s="1184"/>
      <c r="R238" s="1184"/>
      <c r="S238" s="1184"/>
      <c r="T238" s="1184"/>
      <c r="U238" s="1184"/>
      <c r="V238" s="1184"/>
      <c r="W238" s="1184"/>
      <c r="X238" s="1184"/>
      <c r="Y238" s="1184"/>
      <c r="Z238" s="1184"/>
    </row>
    <row r="239" spans="1:26" ht="15.5">
      <c r="A239" s="1184"/>
      <c r="B239" s="1184"/>
      <c r="C239" s="1184"/>
      <c r="D239" s="1213" t="str">
        <f>'Calendar Assumptions'!C10</f>
        <v>Comedy (Seated)</v>
      </c>
      <c r="E239" s="1214">
        <f>'Calendar Assumptions'!D10</f>
        <v>3500</v>
      </c>
      <c r="G239" s="1184"/>
      <c r="H239" s="1184"/>
      <c r="I239" s="1184"/>
      <c r="J239" s="1184"/>
      <c r="K239" s="1184"/>
      <c r="L239" s="1184"/>
      <c r="M239" s="1184"/>
      <c r="N239" s="1184"/>
      <c r="O239" s="1184"/>
      <c r="P239" s="1184"/>
      <c r="Q239" s="1184"/>
      <c r="R239" s="1184"/>
      <c r="S239" s="1184"/>
      <c r="T239" s="1184"/>
      <c r="U239" s="1184"/>
      <c r="V239" s="1184"/>
      <c r="W239" s="1184"/>
      <c r="X239" s="1184"/>
      <c r="Y239" s="1184"/>
      <c r="Z239" s="1184"/>
    </row>
    <row r="240" spans="1:26" ht="15.5">
      <c r="A240" s="1184"/>
      <c r="B240" s="1184"/>
      <c r="C240" s="1184"/>
      <c r="D240" s="1213" t="str">
        <f>'Calendar Assumptions'!C11</f>
        <v>Sports</v>
      </c>
      <c r="E240" s="1214">
        <f>'Calendar Assumptions'!D11</f>
        <v>3500</v>
      </c>
      <c r="G240" s="1184"/>
      <c r="H240" s="1184"/>
      <c r="I240" s="1184"/>
      <c r="J240" s="1184"/>
      <c r="K240" s="1184"/>
      <c r="L240" s="1184"/>
      <c r="M240" s="1184"/>
      <c r="N240" s="1184"/>
      <c r="O240" s="1184"/>
      <c r="P240" s="1184"/>
      <c r="Q240" s="1184"/>
      <c r="R240" s="1184"/>
      <c r="S240" s="1184"/>
      <c r="T240" s="1184"/>
      <c r="U240" s="1184"/>
      <c r="V240" s="1184"/>
      <c r="W240" s="1184"/>
      <c r="X240" s="1184"/>
      <c r="Y240" s="1184"/>
      <c r="Z240" s="1184"/>
    </row>
    <row r="241" spans="1:26" ht="15.5">
      <c r="A241" s="1184"/>
      <c r="B241" s="1184"/>
      <c r="C241" s="1184"/>
      <c r="D241" s="1184"/>
      <c r="G241" s="1184"/>
      <c r="H241" s="1184"/>
      <c r="I241" s="1184"/>
      <c r="J241" s="1184"/>
      <c r="K241" s="1184"/>
      <c r="L241" s="1184"/>
      <c r="M241" s="1184"/>
      <c r="N241" s="1184"/>
      <c r="O241" s="1184"/>
      <c r="P241" s="1184"/>
      <c r="Q241" s="1184"/>
      <c r="R241" s="1184"/>
      <c r="S241" s="1184"/>
      <c r="T241" s="1184"/>
      <c r="U241" s="1184"/>
      <c r="V241" s="1184"/>
      <c r="W241" s="1184"/>
      <c r="X241" s="1184"/>
      <c r="Y241" s="1184"/>
      <c r="Z241" s="1184"/>
    </row>
    <row r="242" spans="1:26" ht="15.5">
      <c r="A242" s="1184"/>
      <c r="B242" s="1184"/>
      <c r="C242" s="1184"/>
      <c r="D242" s="1184"/>
      <c r="G242" s="1184"/>
      <c r="H242" s="1184"/>
      <c r="I242" s="1184"/>
      <c r="J242" s="1184"/>
      <c r="K242" s="1184"/>
      <c r="L242" s="1184"/>
      <c r="M242" s="1184"/>
      <c r="N242" s="1184"/>
      <c r="O242" s="1184"/>
      <c r="P242" s="1184"/>
      <c r="Q242" s="1184"/>
      <c r="R242" s="1184"/>
      <c r="S242" s="1184"/>
      <c r="T242" s="1184"/>
      <c r="U242" s="1184"/>
      <c r="V242" s="1184"/>
      <c r="W242" s="1184"/>
      <c r="X242" s="1184"/>
      <c r="Y242" s="1184"/>
      <c r="Z242" s="1184"/>
    </row>
    <row r="243" spans="1:26" ht="15.5">
      <c r="A243" s="1184"/>
      <c r="B243" s="1184"/>
      <c r="C243" s="1184"/>
      <c r="D243" s="1184"/>
      <c r="G243" s="1184"/>
      <c r="H243" s="1184"/>
      <c r="I243" s="1184"/>
      <c r="J243" s="1184"/>
      <c r="K243" s="1184"/>
      <c r="L243" s="1184"/>
      <c r="M243" s="1184"/>
      <c r="N243" s="1184"/>
      <c r="O243" s="1184"/>
      <c r="P243" s="1184"/>
      <c r="Q243" s="1184"/>
      <c r="R243" s="1184"/>
      <c r="S243" s="1184"/>
      <c r="T243" s="1184"/>
      <c r="U243" s="1184"/>
      <c r="V243" s="1184"/>
      <c r="W243" s="1184"/>
      <c r="X243" s="1184"/>
      <c r="Y243" s="1184"/>
      <c r="Z243" s="1184"/>
    </row>
    <row r="244" spans="1:26" ht="15.5">
      <c r="A244" s="1184"/>
      <c r="B244" s="1184"/>
      <c r="C244" s="1184"/>
      <c r="D244" s="1184"/>
      <c r="E244" s="1184"/>
      <c r="F244" s="1184"/>
      <c r="G244" s="1184"/>
      <c r="H244" s="1184"/>
      <c r="I244" s="1184"/>
      <c r="J244" s="1184"/>
      <c r="K244" s="1184"/>
      <c r="L244" s="1184"/>
      <c r="M244" s="1184"/>
      <c r="N244" s="1184"/>
      <c r="O244" s="1184"/>
      <c r="P244" s="1184"/>
      <c r="Q244" s="1184"/>
      <c r="R244" s="1184"/>
      <c r="S244" s="1184"/>
      <c r="T244" s="1184"/>
      <c r="U244" s="1184"/>
      <c r="V244" s="1184"/>
      <c r="W244" s="1184"/>
      <c r="X244" s="1184"/>
      <c r="Y244" s="1184"/>
      <c r="Z244" s="1184"/>
    </row>
    <row r="245" spans="1:26" ht="14.25" customHeight="1">
      <c r="A245" s="1184"/>
      <c r="B245" s="1186" t="s">
        <v>2266</v>
      </c>
      <c r="C245" s="1186" t="s">
        <v>2178</v>
      </c>
      <c r="D245" s="1184"/>
      <c r="E245" s="1184"/>
      <c r="F245" s="1184"/>
      <c r="G245" s="1184"/>
      <c r="H245" s="1184"/>
      <c r="I245" s="1184"/>
      <c r="J245" s="1184"/>
      <c r="K245" s="1184"/>
      <c r="L245" s="1184"/>
      <c r="M245" s="1184"/>
      <c r="N245" s="1184"/>
      <c r="O245" s="1184"/>
      <c r="P245" s="1184"/>
      <c r="Q245" s="1184"/>
      <c r="R245" s="1184"/>
      <c r="S245" s="1184"/>
      <c r="T245" s="1184"/>
      <c r="U245" s="1184"/>
      <c r="V245" s="1184"/>
      <c r="W245" s="1184"/>
      <c r="X245" s="1184"/>
      <c r="Y245" s="1184"/>
      <c r="Z245" s="1184"/>
    </row>
    <row r="246" spans="1:26" ht="16.5" customHeight="1">
      <c r="A246" s="1184"/>
      <c r="B246" s="1215" t="str">
        <f>'Inputs for Dashboard'!B159</f>
        <v xml:space="preserve">Consultants </v>
      </c>
      <c r="C246" s="1216">
        <f>'Inputs for Dashboard'!C159</f>
        <v>2045000</v>
      </c>
      <c r="D246" s="1184"/>
      <c r="E246" s="1184"/>
      <c r="F246" s="1184"/>
      <c r="G246" s="1184"/>
      <c r="H246" s="1184"/>
      <c r="I246" s="1184"/>
      <c r="J246" s="1184"/>
      <c r="K246" s="1184"/>
      <c r="L246" s="1184"/>
      <c r="M246" s="1184"/>
      <c r="N246" s="1184"/>
      <c r="O246" s="1184"/>
      <c r="P246" s="1184"/>
      <c r="Q246" s="1184"/>
      <c r="R246" s="1184"/>
      <c r="S246" s="1184"/>
      <c r="T246" s="1184"/>
      <c r="U246" s="1184"/>
      <c r="V246" s="1184"/>
      <c r="W246" s="1184"/>
      <c r="X246" s="1184"/>
      <c r="Y246" s="1184"/>
      <c r="Z246" s="1184"/>
    </row>
    <row r="247" spans="1:26" ht="15.75" customHeight="1">
      <c r="A247" s="1184"/>
      <c r="B247" s="1215" t="str">
        <f>'Inputs for Dashboard'!B160</f>
        <v>Structure</v>
      </c>
      <c r="C247" s="1216">
        <f>'Inputs for Dashboard'!C160</f>
        <v>6580000</v>
      </c>
      <c r="D247" s="1184"/>
      <c r="E247" s="1184"/>
      <c r="F247" s="1184"/>
      <c r="G247" s="1184"/>
      <c r="H247" s="1184"/>
      <c r="I247" s="1184"/>
      <c r="J247" s="1184"/>
      <c r="K247" s="1184"/>
      <c r="L247" s="1184"/>
      <c r="M247" s="1184"/>
      <c r="N247" s="1184"/>
      <c r="O247" s="1184"/>
      <c r="P247" s="1184"/>
      <c r="Q247" s="1184"/>
      <c r="R247" s="1184"/>
      <c r="S247" s="1184"/>
      <c r="T247" s="1184"/>
      <c r="U247" s="1184"/>
      <c r="V247" s="1184"/>
      <c r="W247" s="1184"/>
      <c r="X247" s="1184"/>
      <c r="Y247" s="1184"/>
      <c r="Z247" s="1184"/>
    </row>
    <row r="248" spans="1:26" ht="15" customHeight="1">
      <c r="A248" s="1184"/>
      <c r="B248" s="1215" t="str">
        <f>'Inputs for Dashboard'!B161</f>
        <v>Civil</v>
      </c>
      <c r="C248" s="1216">
        <f>'Inputs for Dashboard'!C161</f>
        <v>1500000</v>
      </c>
      <c r="D248" s="1184"/>
      <c r="E248" s="1184"/>
      <c r="F248" s="1184"/>
      <c r="G248" s="1184"/>
      <c r="H248" s="1184"/>
      <c r="I248" s="1184"/>
      <c r="J248" s="1184"/>
      <c r="K248" s="1184"/>
      <c r="L248" s="1184"/>
      <c r="M248" s="1184"/>
      <c r="N248" s="1184"/>
      <c r="O248" s="1184"/>
      <c r="P248" s="1184"/>
      <c r="Q248" s="1184"/>
      <c r="R248" s="1184"/>
      <c r="S248" s="1184"/>
      <c r="T248" s="1184"/>
      <c r="U248" s="1184"/>
      <c r="V248" s="1184"/>
      <c r="W248" s="1184"/>
      <c r="X248" s="1184"/>
      <c r="Y248" s="1184"/>
      <c r="Z248" s="1184"/>
    </row>
    <row r="249" spans="1:26" ht="15" customHeight="1">
      <c r="A249" s="1184"/>
      <c r="B249" s="1215" t="str">
        <f>'Inputs for Dashboard'!B162</f>
        <v>ICT</v>
      </c>
      <c r="C249" s="1216">
        <f>'Inputs for Dashboard'!C162</f>
        <v>490000</v>
      </c>
      <c r="D249" s="1184"/>
      <c r="E249" s="1184"/>
      <c r="F249" s="1184"/>
      <c r="G249" s="1184"/>
      <c r="H249" s="1184"/>
      <c r="I249" s="1184"/>
      <c r="J249" s="1184"/>
      <c r="K249" s="1184"/>
      <c r="L249" s="1184"/>
      <c r="M249" s="1184"/>
      <c r="N249" s="1184"/>
      <c r="O249" s="1184"/>
      <c r="P249" s="1184"/>
      <c r="Q249" s="1184"/>
      <c r="R249" s="1184"/>
      <c r="S249" s="1184"/>
      <c r="T249" s="1184"/>
      <c r="U249" s="1184"/>
      <c r="V249" s="1184"/>
      <c r="W249" s="1184"/>
      <c r="X249" s="1184"/>
      <c r="Y249" s="1184"/>
      <c r="Z249" s="1184"/>
    </row>
    <row r="250" spans="1:26" ht="15.75" customHeight="1">
      <c r="A250" s="1184"/>
      <c r="B250" s="1215" t="str">
        <f>'Inputs for Dashboard'!B163</f>
        <v>FF&amp;E</v>
      </c>
      <c r="C250" s="1216">
        <f>'Inputs for Dashboard'!C163</f>
        <v>1900000</v>
      </c>
      <c r="D250" s="1184"/>
      <c r="E250" s="1184"/>
      <c r="F250" s="1184"/>
      <c r="G250" s="1184"/>
      <c r="H250" s="1184"/>
      <c r="I250" s="1184"/>
      <c r="J250" s="1184"/>
      <c r="K250" s="1184"/>
      <c r="L250" s="1184"/>
      <c r="M250" s="1184"/>
      <c r="N250" s="1184"/>
      <c r="O250" s="1184"/>
      <c r="P250" s="1184"/>
      <c r="Q250" s="1184"/>
      <c r="R250" s="1184"/>
      <c r="S250" s="1184"/>
      <c r="T250" s="1184"/>
      <c r="U250" s="1184"/>
      <c r="V250" s="1184"/>
      <c r="W250" s="1184"/>
      <c r="X250" s="1184"/>
      <c r="Y250" s="1184"/>
      <c r="Z250" s="1184"/>
    </row>
    <row r="251" spans="1:26" ht="15" customHeight="1">
      <c r="A251" s="1184"/>
      <c r="B251" s="1215" t="str">
        <f>'Inputs for Dashboard'!B164</f>
        <v>Services</v>
      </c>
      <c r="C251" s="1216">
        <f>'Inputs for Dashboard'!C164</f>
        <v>5000000</v>
      </c>
      <c r="D251" s="1184"/>
      <c r="E251" s="1184"/>
      <c r="F251" s="1184"/>
      <c r="G251" s="1184"/>
      <c r="H251" s="1184"/>
      <c r="I251" s="1184"/>
      <c r="J251" s="1184"/>
      <c r="K251" s="1184"/>
      <c r="L251" s="1184"/>
      <c r="M251" s="1184"/>
      <c r="N251" s="1184"/>
      <c r="O251" s="1184"/>
      <c r="P251" s="1184"/>
      <c r="Q251" s="1184"/>
      <c r="R251" s="1184"/>
      <c r="S251" s="1184"/>
      <c r="T251" s="1184"/>
      <c r="U251" s="1184"/>
      <c r="V251" s="1184"/>
      <c r="W251" s="1184"/>
      <c r="X251" s="1184"/>
      <c r="Y251" s="1184"/>
      <c r="Z251" s="1184"/>
    </row>
    <row r="252" spans="1:26" ht="16.5" customHeight="1">
      <c r="A252" s="1184"/>
      <c r="B252" s="1215" t="str">
        <f>'Inputs for Dashboard'!B165</f>
        <v xml:space="preserve">Security </v>
      </c>
      <c r="C252" s="1216">
        <f>'Inputs for Dashboard'!C165</f>
        <v>520000</v>
      </c>
      <c r="D252" s="1184"/>
      <c r="E252" s="1184"/>
      <c r="F252" s="1184"/>
      <c r="G252" s="1184"/>
      <c r="H252" s="1184"/>
      <c r="I252" s="1184"/>
      <c r="J252" s="1184"/>
      <c r="K252" s="1184"/>
      <c r="L252" s="1184"/>
      <c r="M252" s="1184"/>
      <c r="N252" s="1184"/>
      <c r="O252" s="1184"/>
      <c r="P252" s="1184"/>
      <c r="Q252" s="1184"/>
      <c r="R252" s="1184"/>
      <c r="S252" s="1184"/>
      <c r="T252" s="1184"/>
      <c r="U252" s="1184"/>
      <c r="V252" s="1184"/>
      <c r="W252" s="1184"/>
      <c r="X252" s="1184"/>
      <c r="Y252" s="1184"/>
      <c r="Z252" s="1184"/>
    </row>
    <row r="253" spans="1:26" ht="15" customHeight="1">
      <c r="A253" s="1184"/>
      <c r="B253" s="1215" t="str">
        <f>'Inputs for Dashboard'!B166</f>
        <v>Custom Taxes</v>
      </c>
      <c r="C253" s="1216">
        <f>'Inputs for Dashboard'!C166</f>
        <v>785500</v>
      </c>
      <c r="D253" s="1184"/>
      <c r="E253" s="1184"/>
      <c r="F253" s="1184"/>
      <c r="G253" s="1184"/>
      <c r="H253" s="1184"/>
      <c r="I253" s="1184"/>
      <c r="J253" s="1184"/>
      <c r="K253" s="1184"/>
      <c r="L253" s="1184"/>
      <c r="M253" s="1184"/>
      <c r="N253" s="1184"/>
      <c r="O253" s="1184"/>
      <c r="P253" s="1184"/>
      <c r="Q253" s="1184"/>
      <c r="R253" s="1184"/>
      <c r="S253" s="1184"/>
      <c r="T253" s="1184"/>
      <c r="U253" s="1184"/>
      <c r="V253" s="1184"/>
      <c r="W253" s="1184"/>
      <c r="X253" s="1184"/>
      <c r="Y253" s="1184"/>
      <c r="Z253" s="1184"/>
    </row>
    <row r="254" spans="1:26" ht="17.25" customHeight="1">
      <c r="A254" s="1184"/>
      <c r="B254" s="1217" t="str">
        <f>'Inputs for Dashboard'!B167</f>
        <v>Miscellaneous</v>
      </c>
      <c r="C254" s="1216">
        <f>'Inputs for Dashboard'!C167</f>
        <v>941025</v>
      </c>
      <c r="D254" s="1184"/>
      <c r="E254" s="1184"/>
      <c r="F254" s="1184"/>
      <c r="G254" s="1184"/>
      <c r="H254" s="1184"/>
      <c r="I254" s="1184"/>
      <c r="J254" s="1184"/>
      <c r="K254" s="1184"/>
      <c r="L254" s="1184"/>
      <c r="M254" s="1184"/>
      <c r="N254" s="1184"/>
      <c r="O254" s="1184"/>
      <c r="P254" s="1184"/>
      <c r="Q254" s="1184"/>
      <c r="R254" s="1184"/>
      <c r="S254" s="1184"/>
      <c r="T254" s="1184"/>
      <c r="U254" s="1184"/>
      <c r="V254" s="1184"/>
      <c r="W254" s="1184"/>
      <c r="X254" s="1184"/>
      <c r="Y254" s="1184"/>
      <c r="Z254" s="1184"/>
    </row>
    <row r="255" spans="1:26" ht="15.5">
      <c r="A255" s="1184"/>
      <c r="B255" s="1184"/>
      <c r="C255" s="1184" t="s">
        <v>2267</v>
      </c>
      <c r="D255" s="1184"/>
      <c r="E255" s="1184"/>
      <c r="F255" s="1184"/>
      <c r="G255" s="1184"/>
      <c r="H255" s="1184"/>
      <c r="I255" s="1184"/>
      <c r="J255" s="1184"/>
      <c r="K255" s="1184"/>
      <c r="L255" s="1184"/>
      <c r="M255" s="1184"/>
      <c r="N255" s="1184"/>
      <c r="O255" s="1184"/>
      <c r="P255" s="1184"/>
      <c r="Q255" s="1184"/>
      <c r="R255" s="1184"/>
      <c r="S255" s="1184"/>
      <c r="T255" s="1184"/>
      <c r="U255" s="1184"/>
      <c r="V255" s="1184"/>
      <c r="W255" s="1184"/>
      <c r="X255" s="1184"/>
      <c r="Y255" s="1184"/>
      <c r="Z255" s="1184"/>
    </row>
    <row r="256" spans="1:26" ht="15.5">
      <c r="B256" s="1184"/>
      <c r="C256" s="1184"/>
      <c r="D256" s="1184"/>
      <c r="E256" s="1184"/>
      <c r="F256" s="1184"/>
      <c r="G256" s="1184"/>
      <c r="H256" s="1184"/>
      <c r="I256" s="1184"/>
      <c r="J256" s="1184"/>
      <c r="K256" s="1184"/>
      <c r="L256" s="1184"/>
      <c r="M256" s="1184"/>
      <c r="N256" s="1184"/>
      <c r="O256" s="1184"/>
      <c r="P256" s="1184"/>
      <c r="Q256" s="1184"/>
      <c r="R256" s="1184"/>
      <c r="S256" s="1184"/>
      <c r="T256" s="1184"/>
      <c r="U256" s="1184"/>
      <c r="V256" s="1184"/>
      <c r="W256" s="1184"/>
      <c r="X256" s="1184"/>
      <c r="Y256" s="1184"/>
      <c r="Z256" s="1184"/>
    </row>
    <row r="257" spans="1:26" ht="15.5">
      <c r="A257" s="1184">
        <v>16</v>
      </c>
      <c r="B257" s="1184"/>
      <c r="C257" s="1184"/>
      <c r="D257" s="1184"/>
      <c r="E257" s="1184"/>
      <c r="F257" s="1184"/>
      <c r="G257" s="1184"/>
      <c r="H257" s="1184"/>
      <c r="I257" s="1184"/>
      <c r="J257" s="1184"/>
      <c r="K257" s="1184"/>
      <c r="L257" s="1184"/>
      <c r="M257" s="1184"/>
      <c r="N257" s="1184"/>
      <c r="O257" s="1184"/>
      <c r="P257" s="1184"/>
      <c r="Q257" s="1184"/>
      <c r="R257" s="1184"/>
      <c r="S257" s="1184"/>
      <c r="T257" s="1184"/>
      <c r="U257" s="1184"/>
      <c r="V257" s="1184"/>
      <c r="W257" s="1184"/>
      <c r="X257" s="1184"/>
      <c r="Y257" s="1184"/>
      <c r="Z257" s="1184"/>
    </row>
    <row r="258" spans="1:26" ht="15.5">
      <c r="A258" s="1184"/>
      <c r="B258" s="1184"/>
      <c r="C258" s="1184"/>
      <c r="D258" s="1184"/>
      <c r="E258" s="1184"/>
      <c r="F258" s="1184"/>
      <c r="G258" s="1184"/>
      <c r="H258" s="1184"/>
      <c r="I258" s="1184"/>
      <c r="J258" s="1184"/>
      <c r="K258" s="1184"/>
      <c r="L258" s="1184"/>
      <c r="M258" s="1184"/>
      <c r="N258" s="1184"/>
      <c r="O258" s="1184"/>
      <c r="P258" s="1184"/>
      <c r="Q258" s="1184"/>
      <c r="R258" s="1184"/>
      <c r="S258" s="1184"/>
      <c r="T258" s="1184"/>
      <c r="U258" s="1184"/>
      <c r="V258" s="1184"/>
      <c r="W258" s="1184"/>
      <c r="X258" s="1184"/>
      <c r="Y258" s="1184"/>
      <c r="Z258" s="1184"/>
    </row>
    <row r="259" spans="1:26" ht="15.5">
      <c r="A259" s="1184"/>
      <c r="B259" s="1206"/>
      <c r="C259" s="1184"/>
      <c r="D259" s="1184"/>
      <c r="E259" s="1184"/>
      <c r="F259" s="1184"/>
      <c r="G259" s="1184"/>
      <c r="H259" s="1184"/>
      <c r="I259" s="1184"/>
      <c r="J259" s="1184"/>
      <c r="K259" s="1184"/>
      <c r="L259" s="1184"/>
      <c r="M259" s="1184"/>
      <c r="N259" s="1184"/>
      <c r="O259" s="1184"/>
      <c r="P259" s="1184"/>
      <c r="Q259" s="1184"/>
      <c r="R259" s="1184"/>
      <c r="S259" s="1184"/>
      <c r="T259" s="1184"/>
      <c r="U259" s="1184"/>
      <c r="V259" s="1184"/>
      <c r="W259" s="1184"/>
      <c r="X259" s="1184"/>
      <c r="Y259" s="1184"/>
      <c r="Z259" s="1184"/>
    </row>
    <row r="260" spans="1:26" ht="15.5">
      <c r="A260" s="1184"/>
      <c r="B260" s="1206"/>
      <c r="C260" s="1184"/>
      <c r="D260" s="1184"/>
      <c r="E260" s="1184"/>
      <c r="F260" s="1184"/>
      <c r="G260" s="1184"/>
      <c r="H260" s="1184"/>
      <c r="I260" s="1184"/>
      <c r="J260" s="1184"/>
      <c r="K260" s="1184"/>
      <c r="L260" s="1184"/>
      <c r="M260" s="1184"/>
      <c r="N260" s="1184"/>
      <c r="O260" s="1184"/>
      <c r="P260" s="1184"/>
      <c r="Q260" s="1184"/>
      <c r="R260" s="1184"/>
      <c r="S260" s="1184"/>
      <c r="T260" s="1184"/>
      <c r="U260" s="1184"/>
      <c r="V260" s="1184"/>
      <c r="W260" s="1184"/>
      <c r="X260" s="1184"/>
      <c r="Y260" s="1184"/>
      <c r="Z260" s="1184"/>
    </row>
    <row r="261" spans="1:26" ht="15.5">
      <c r="A261" s="1184"/>
      <c r="B261" s="1206"/>
      <c r="C261" s="1184"/>
      <c r="D261" s="1184"/>
      <c r="E261" s="1184"/>
      <c r="F261" s="1184"/>
      <c r="G261" s="1184"/>
      <c r="H261" s="1184"/>
      <c r="I261" s="1184"/>
      <c r="J261" s="1184"/>
      <c r="K261" s="1184"/>
      <c r="L261" s="1184"/>
      <c r="M261" s="1184"/>
      <c r="N261" s="1184"/>
      <c r="O261" s="1184"/>
      <c r="P261" s="1184"/>
      <c r="Q261" s="1184"/>
      <c r="R261" s="1184"/>
      <c r="S261" s="1184"/>
      <c r="T261" s="1184"/>
      <c r="U261" s="1184"/>
      <c r="V261" s="1184"/>
      <c r="W261" s="1184"/>
      <c r="X261" s="1184"/>
      <c r="Y261" s="1184"/>
      <c r="Z261" s="1184"/>
    </row>
    <row r="262" spans="1:26" ht="15.5">
      <c r="A262" s="1184"/>
      <c r="B262" s="1206"/>
      <c r="C262" s="1184"/>
      <c r="D262" s="1184"/>
      <c r="E262" s="1184"/>
      <c r="F262" s="1184"/>
      <c r="G262" s="1184"/>
      <c r="H262" s="1184"/>
      <c r="I262" s="1184"/>
      <c r="J262" s="1184"/>
      <c r="K262" s="1184"/>
      <c r="L262" s="1184"/>
      <c r="M262" s="1184"/>
      <c r="N262" s="1184"/>
      <c r="O262" s="1184"/>
      <c r="P262" s="1184"/>
      <c r="Q262" s="1184"/>
      <c r="R262" s="1184"/>
      <c r="S262" s="1184"/>
      <c r="T262" s="1184"/>
      <c r="U262" s="1184"/>
      <c r="V262" s="1184"/>
      <c r="W262" s="1184"/>
      <c r="X262" s="1184"/>
      <c r="Y262" s="1184"/>
      <c r="Z262" s="1184"/>
    </row>
    <row r="263" spans="1:26" ht="15.5">
      <c r="A263" s="1184"/>
      <c r="B263" s="1206"/>
      <c r="C263" s="1184"/>
      <c r="D263" s="1184"/>
      <c r="E263" s="1184"/>
      <c r="F263" s="1184"/>
      <c r="G263" s="1184"/>
      <c r="H263" s="1184"/>
      <c r="I263" s="1184"/>
      <c r="J263" s="1184"/>
      <c r="K263" s="1184"/>
      <c r="L263" s="1184"/>
      <c r="M263" s="1184"/>
      <c r="N263" s="1184"/>
      <c r="O263" s="1184"/>
      <c r="P263" s="1184"/>
      <c r="Q263" s="1184"/>
      <c r="R263" s="1184"/>
      <c r="S263" s="1184"/>
      <c r="T263" s="1184"/>
      <c r="U263" s="1184"/>
      <c r="V263" s="1184"/>
      <c r="W263" s="1184"/>
      <c r="X263" s="1184"/>
      <c r="Y263" s="1184"/>
      <c r="Z263" s="1184"/>
    </row>
    <row r="264" spans="1:26" ht="15.5">
      <c r="A264" s="1184"/>
      <c r="B264" s="1206"/>
      <c r="C264" s="1184"/>
      <c r="D264" s="1184"/>
      <c r="E264" s="1184"/>
      <c r="F264" s="1184"/>
      <c r="G264" s="1184"/>
      <c r="H264" s="1184"/>
      <c r="I264" s="1184"/>
      <c r="J264" s="1184"/>
      <c r="K264" s="1184"/>
      <c r="L264" s="1184"/>
      <c r="M264" s="1184"/>
      <c r="N264" s="1184"/>
      <c r="O264" s="1184"/>
      <c r="P264" s="1184"/>
      <c r="Q264" s="1184"/>
      <c r="R264" s="1184"/>
      <c r="S264" s="1184"/>
      <c r="T264" s="1184"/>
      <c r="U264" s="1184"/>
      <c r="V264" s="1184"/>
      <c r="W264" s="1184"/>
      <c r="X264" s="1184"/>
      <c r="Y264" s="1184"/>
      <c r="Z264" s="1184"/>
    </row>
    <row r="265" spans="1:26" ht="15.5">
      <c r="A265" s="1184"/>
      <c r="B265" s="1184"/>
      <c r="C265" s="1184"/>
      <c r="D265" s="1184"/>
      <c r="E265" s="1184"/>
      <c r="F265" s="1184"/>
      <c r="G265" s="1184"/>
      <c r="H265" s="1184"/>
      <c r="I265" s="1184"/>
      <c r="J265" s="1184"/>
      <c r="K265" s="1184"/>
      <c r="L265" s="1184"/>
      <c r="M265" s="1184"/>
      <c r="N265" s="1184"/>
      <c r="O265" s="1184"/>
      <c r="P265" s="1184"/>
      <c r="Q265" s="1184"/>
      <c r="R265" s="1184"/>
      <c r="S265" s="1184"/>
      <c r="T265" s="1184"/>
      <c r="U265" s="1184"/>
      <c r="V265" s="1184"/>
      <c r="W265" s="1184"/>
      <c r="X265" s="1184"/>
      <c r="Y265" s="1184"/>
      <c r="Z265" s="1184"/>
    </row>
    <row r="266" spans="1:26" ht="15.5">
      <c r="A266" s="1184"/>
      <c r="B266" s="1184"/>
      <c r="C266" s="1184"/>
      <c r="D266" s="1184"/>
      <c r="E266" s="1184"/>
      <c r="F266" s="1184"/>
      <c r="G266" s="1184"/>
      <c r="H266" s="1184"/>
      <c r="I266" s="1184"/>
      <c r="J266" s="1184"/>
      <c r="K266" s="1184"/>
      <c r="L266" s="1184"/>
      <c r="M266" s="1184"/>
      <c r="N266" s="1184"/>
      <c r="O266" s="1184"/>
      <c r="P266" s="1184"/>
      <c r="Q266" s="1184"/>
      <c r="R266" s="1184"/>
      <c r="S266" s="1184"/>
      <c r="T266" s="1184"/>
      <c r="U266" s="1184"/>
      <c r="V266" s="1184"/>
      <c r="W266" s="1184"/>
      <c r="X266" s="1184"/>
      <c r="Y266" s="1184"/>
      <c r="Z266" s="1184"/>
    </row>
    <row r="267" spans="1:26" ht="15.5">
      <c r="A267" s="1184"/>
      <c r="B267" s="1184"/>
      <c r="C267" s="1184"/>
      <c r="D267" s="1184"/>
      <c r="E267" s="1184"/>
      <c r="F267" s="1184"/>
      <c r="G267" s="1184"/>
      <c r="H267" s="1184"/>
      <c r="I267" s="1184"/>
      <c r="J267" s="1184"/>
      <c r="K267" s="1184"/>
      <c r="L267" s="1184"/>
      <c r="M267" s="1184"/>
      <c r="N267" s="1184"/>
      <c r="O267" s="1184"/>
      <c r="P267" s="1184"/>
      <c r="Q267" s="1184"/>
      <c r="R267" s="1184"/>
      <c r="S267" s="1184"/>
      <c r="T267" s="1184"/>
      <c r="U267" s="1184"/>
      <c r="V267" s="1184"/>
      <c r="W267" s="1184"/>
      <c r="X267" s="1184"/>
      <c r="Y267" s="1184"/>
      <c r="Z267" s="1184"/>
    </row>
    <row r="268" spans="1:26" ht="15.5">
      <c r="A268" s="1184"/>
      <c r="B268" s="1184"/>
      <c r="C268" s="1184"/>
      <c r="D268" s="1184"/>
      <c r="E268" s="1184"/>
      <c r="F268" s="1184"/>
      <c r="G268" s="1184"/>
      <c r="H268" s="1184"/>
      <c r="I268" s="1184"/>
      <c r="J268" s="1184"/>
      <c r="K268" s="1184"/>
      <c r="L268" s="1184"/>
      <c r="M268" s="1184"/>
      <c r="N268" s="1184"/>
      <c r="O268" s="1184"/>
      <c r="P268" s="1184"/>
      <c r="Q268" s="1184"/>
      <c r="R268" s="1184"/>
      <c r="S268" s="1184"/>
      <c r="T268" s="1184"/>
      <c r="U268" s="1184"/>
      <c r="V268" s="1184"/>
      <c r="W268" s="1184"/>
      <c r="X268" s="1184"/>
      <c r="Y268" s="1184"/>
      <c r="Z268" s="1184"/>
    </row>
    <row r="269" spans="1:26" ht="15.5">
      <c r="A269" s="1184"/>
      <c r="B269" s="1184"/>
      <c r="C269" s="1184"/>
      <c r="D269" s="1184"/>
      <c r="E269" s="1184"/>
      <c r="F269" s="1184"/>
      <c r="G269" s="1184"/>
      <c r="H269" s="1184"/>
      <c r="I269" s="1184"/>
      <c r="J269" s="1184"/>
      <c r="K269" s="1184"/>
      <c r="L269" s="1184"/>
      <c r="M269" s="1184"/>
      <c r="N269" s="1184"/>
      <c r="O269" s="1184"/>
      <c r="P269" s="1184"/>
      <c r="Q269" s="1184"/>
      <c r="R269" s="1184"/>
      <c r="S269" s="1184"/>
      <c r="T269" s="1184"/>
      <c r="U269" s="1184"/>
      <c r="V269" s="1184"/>
      <c r="W269" s="1184"/>
      <c r="X269" s="1184"/>
      <c r="Y269" s="1184"/>
      <c r="Z269" s="1184"/>
    </row>
    <row r="270" spans="1:26" ht="15.5">
      <c r="A270" s="1184"/>
      <c r="B270" s="1184"/>
      <c r="C270" s="1184"/>
      <c r="D270" s="1184"/>
      <c r="E270" s="1184"/>
      <c r="F270" s="1184"/>
      <c r="G270" s="1184"/>
      <c r="H270" s="1184"/>
      <c r="I270" s="1184"/>
      <c r="J270" s="1184"/>
      <c r="K270" s="1184"/>
      <c r="L270" s="1184"/>
      <c r="M270" s="1184"/>
      <c r="N270" s="1184"/>
      <c r="O270" s="1184"/>
      <c r="P270" s="1184"/>
      <c r="Q270" s="1184"/>
      <c r="R270" s="1184"/>
      <c r="S270" s="1184"/>
      <c r="T270" s="1184"/>
      <c r="U270" s="1184"/>
      <c r="V270" s="1184"/>
      <c r="W270" s="1184"/>
      <c r="X270" s="1184"/>
      <c r="Y270" s="1184"/>
      <c r="Z270" s="1184"/>
    </row>
    <row r="271" spans="1:26" ht="15.5">
      <c r="A271" s="1184">
        <v>17</v>
      </c>
      <c r="B271" s="1184"/>
      <c r="C271" s="1184"/>
      <c r="D271" s="1184"/>
      <c r="E271" s="1184"/>
      <c r="F271" s="1184"/>
      <c r="G271" s="1184"/>
      <c r="H271" s="1184"/>
      <c r="I271" s="1184"/>
      <c r="J271" s="1184"/>
      <c r="K271" s="1184"/>
      <c r="L271" s="1184"/>
      <c r="M271" s="1184"/>
      <c r="N271" s="1184"/>
      <c r="O271" s="1184"/>
      <c r="P271" s="1184"/>
      <c r="Q271" s="1184"/>
      <c r="R271" s="1184"/>
      <c r="S271" s="1184"/>
      <c r="T271" s="1184"/>
      <c r="U271" s="1184"/>
      <c r="V271" s="1184"/>
      <c r="W271" s="1184"/>
      <c r="X271" s="1184"/>
      <c r="Y271" s="1184"/>
      <c r="Z271" s="1184"/>
    </row>
    <row r="272" spans="1:26" ht="15.5">
      <c r="A272" s="1184"/>
      <c r="B272" s="1186" t="s">
        <v>113</v>
      </c>
      <c r="C272" s="1186" t="s">
        <v>114</v>
      </c>
      <c r="D272" s="1186" t="s">
        <v>115</v>
      </c>
      <c r="E272" s="1186" t="s">
        <v>116</v>
      </c>
      <c r="F272" s="1186" t="s">
        <v>117</v>
      </c>
      <c r="G272" s="1184"/>
      <c r="H272" s="1184"/>
      <c r="I272" s="1184"/>
      <c r="J272" s="1184"/>
      <c r="K272" s="1184"/>
      <c r="L272" s="1184"/>
      <c r="M272" s="1184"/>
      <c r="N272" s="1184"/>
      <c r="O272" s="1184"/>
      <c r="P272" s="1184"/>
      <c r="Q272" s="1184"/>
      <c r="R272" s="1184"/>
      <c r="S272" s="1184"/>
      <c r="T272" s="1184"/>
      <c r="U272" s="1184"/>
      <c r="V272" s="1184"/>
      <c r="W272" s="1184"/>
      <c r="X272" s="1184"/>
      <c r="Y272" s="1184"/>
      <c r="Z272" s="1184"/>
    </row>
    <row r="273" spans="1:26" ht="15.5">
      <c r="A273" s="1184"/>
      <c r="B273" s="1218" t="str">
        <f>'Dynamic Dashboard'!B121</f>
        <v>Base</v>
      </c>
      <c r="C273" s="1219">
        <f>'Dynamic Dashboard'!C121</f>
        <v>0</v>
      </c>
      <c r="D273" s="1219">
        <f>'Dynamic Dashboard'!D121</f>
        <v>0</v>
      </c>
      <c r="E273" s="1220" t="str">
        <f>'Dynamic Dashboard'!E121</f>
        <v>Baseline</v>
      </c>
      <c r="F273" s="1221" t="str">
        <f>'Dynamic Dashboard'!F121</f>
        <v>●●○○○</v>
      </c>
      <c r="G273" s="1184"/>
      <c r="H273" s="1184"/>
      <c r="I273" s="1184"/>
      <c r="J273" s="1184"/>
      <c r="K273" s="1184"/>
      <c r="L273" s="1184"/>
      <c r="M273" s="1184"/>
      <c r="N273" s="1184"/>
      <c r="O273" s="1184"/>
      <c r="P273" s="1184"/>
      <c r="Q273" s="1184"/>
      <c r="R273" s="1184"/>
      <c r="S273" s="1184"/>
      <c r="T273" s="1184"/>
      <c r="U273" s="1184"/>
      <c r="V273" s="1184"/>
      <c r="W273" s="1184"/>
      <c r="X273" s="1184"/>
      <c r="Y273" s="1184"/>
      <c r="Z273" s="1184"/>
    </row>
    <row r="274" spans="1:26" ht="15.5">
      <c r="A274" s="1184"/>
      <c r="B274" s="1218" t="str">
        <f>'Dynamic Dashboard'!B122</f>
        <v>Optimistic</v>
      </c>
      <c r="C274" s="1222">
        <f>'Dynamic Dashboard'!C122</f>
        <v>0.1</v>
      </c>
      <c r="D274" s="1222">
        <f>'Dynamic Dashboard'!D122</f>
        <v>-0.05</v>
      </c>
      <c r="E274" s="1223">
        <f>'Dynamic Dashboard'!E122</f>
        <v>2.95</v>
      </c>
      <c r="F274" s="1224" t="str">
        <f>'Dynamic Dashboard'!F122</f>
        <v>●○○○○</v>
      </c>
      <c r="G274" s="1184"/>
      <c r="H274" s="1184"/>
      <c r="I274" s="1184"/>
      <c r="J274" s="1184"/>
      <c r="K274" s="1184"/>
      <c r="L274" s="1184"/>
      <c r="M274" s="1184"/>
      <c r="N274" s="1184"/>
      <c r="O274" s="1184"/>
      <c r="P274" s="1184"/>
      <c r="Q274" s="1184"/>
      <c r="R274" s="1184"/>
      <c r="S274" s="1184"/>
      <c r="T274" s="1184"/>
      <c r="U274" s="1184"/>
      <c r="V274" s="1184"/>
      <c r="W274" s="1184"/>
      <c r="X274" s="1184"/>
      <c r="Y274" s="1184"/>
      <c r="Z274" s="1184"/>
    </row>
    <row r="275" spans="1:26" ht="15.5">
      <c r="A275" s="1184"/>
      <c r="B275" s="1218" t="str">
        <f>'Dynamic Dashboard'!B123</f>
        <v>Pessimistic</v>
      </c>
      <c r="C275" s="1222">
        <f>'Dynamic Dashboard'!C123</f>
        <v>-0.15</v>
      </c>
      <c r="D275" s="1222">
        <f>'Dynamic Dashboard'!D123</f>
        <v>0.1</v>
      </c>
      <c r="E275" s="1223">
        <f>'Dynamic Dashboard'!E123</f>
        <v>-5.08</v>
      </c>
      <c r="F275" s="1224" t="str">
        <f>'Dynamic Dashboard'!F123</f>
        <v>●●●●○</v>
      </c>
      <c r="G275" s="1184"/>
      <c r="H275" s="1184"/>
      <c r="I275" s="1184"/>
      <c r="J275" s="1184"/>
      <c r="K275" s="1184"/>
      <c r="L275" s="1184"/>
      <c r="M275" s="1184"/>
      <c r="N275" s="1184"/>
      <c r="O275" s="1184"/>
      <c r="P275" s="1184"/>
      <c r="Q275" s="1184"/>
      <c r="R275" s="1184"/>
      <c r="S275" s="1184"/>
      <c r="T275" s="1184"/>
      <c r="U275" s="1184"/>
      <c r="V275" s="1184"/>
      <c r="W275" s="1184"/>
      <c r="X275" s="1184"/>
      <c r="Y275" s="1184"/>
      <c r="Z275" s="1184"/>
    </row>
    <row r="276" spans="1:26" ht="15.5">
      <c r="A276" s="1184"/>
      <c r="B276" s="1218" t="str">
        <f>'Dynamic Dashboard'!B124</f>
        <v>Delayed +3m</v>
      </c>
      <c r="C276" s="1222">
        <f>'Dynamic Dashboard'!C124</f>
        <v>0</v>
      </c>
      <c r="D276" s="1222">
        <f>'Dynamic Dashboard'!D124</f>
        <v>0</v>
      </c>
      <c r="E276" s="1223">
        <f>'Dynamic Dashboard'!E124</f>
        <v>-1.02</v>
      </c>
      <c r="F276" s="1224" t="str">
        <f>'Dynamic Dashboard'!F124</f>
        <v>●●●○○</v>
      </c>
      <c r="G276" s="1184"/>
      <c r="H276" s="1184"/>
      <c r="I276" s="1184"/>
      <c r="J276" s="1184"/>
      <c r="K276" s="1184"/>
      <c r="L276" s="1184"/>
      <c r="M276" s="1184"/>
      <c r="N276" s="1184"/>
      <c r="O276" s="1184"/>
      <c r="P276" s="1184"/>
      <c r="Q276" s="1184"/>
      <c r="R276" s="1184"/>
      <c r="S276" s="1184"/>
      <c r="T276" s="1184"/>
      <c r="U276" s="1184"/>
      <c r="V276" s="1184"/>
      <c r="W276" s="1184"/>
      <c r="X276" s="1184"/>
      <c r="Y276" s="1184"/>
      <c r="Z276" s="1184"/>
    </row>
    <row r="277" spans="1:26" ht="15.5">
      <c r="A277" s="1184"/>
      <c r="B277" s="1218" t="str">
        <f>'Dynamic Dashboard'!B125</f>
        <v>Delayed +6m</v>
      </c>
      <c r="C277" s="1222">
        <f>'Dynamic Dashboard'!C125</f>
        <v>0</v>
      </c>
      <c r="D277" s="1222">
        <f>'Dynamic Dashboard'!D125</f>
        <v>0</v>
      </c>
      <c r="E277" s="1223">
        <f>'Dynamic Dashboard'!E125</f>
        <v>-2.04</v>
      </c>
      <c r="F277" s="1224" t="str">
        <f>'Dynamic Dashboard'!F125</f>
        <v>●●●●○</v>
      </c>
      <c r="G277" s="1184"/>
      <c r="H277" s="1184"/>
      <c r="I277" s="1184"/>
      <c r="J277" s="1184"/>
      <c r="K277" s="1184"/>
      <c r="L277" s="1184"/>
      <c r="M277" s="1184"/>
      <c r="N277" s="1184"/>
      <c r="O277" s="1184"/>
      <c r="P277" s="1184"/>
      <c r="Q277" s="1184"/>
      <c r="R277" s="1184"/>
      <c r="S277" s="1184"/>
      <c r="T277" s="1184"/>
      <c r="U277" s="1184"/>
      <c r="V277" s="1184"/>
      <c r="W277" s="1184"/>
      <c r="X277" s="1184"/>
      <c r="Y277" s="1184"/>
      <c r="Z277" s="1184"/>
    </row>
    <row r="278" spans="1:26" ht="15.5">
      <c r="A278" s="1184"/>
      <c r="B278" s="1218" t="str">
        <f>'Dynamic Dashboard'!B126</f>
        <v>Capex +10%</v>
      </c>
      <c r="C278" s="1222">
        <f>'Dynamic Dashboard'!C126</f>
        <v>0</v>
      </c>
      <c r="D278" s="1222">
        <f>'Dynamic Dashboard'!D126</f>
        <v>0.1</v>
      </c>
      <c r="E278" s="1223">
        <f>'Dynamic Dashboard'!E126</f>
        <v>-2.0299999999999998</v>
      </c>
      <c r="F278" s="1224" t="str">
        <f>'Dynamic Dashboard'!F126</f>
        <v>●●●○○</v>
      </c>
      <c r="G278" s="1184"/>
      <c r="H278" s="1184"/>
      <c r="I278" s="1184"/>
      <c r="J278" s="1184"/>
      <c r="K278" s="1184"/>
      <c r="L278" s="1184"/>
      <c r="M278" s="1184"/>
      <c r="N278" s="1184"/>
      <c r="O278" s="1184"/>
      <c r="P278" s="1184"/>
      <c r="Q278" s="1184"/>
      <c r="R278" s="1184"/>
      <c r="S278" s="1184"/>
      <c r="T278" s="1184"/>
      <c r="U278" s="1184"/>
      <c r="V278" s="1184"/>
      <c r="W278" s="1184"/>
      <c r="X278" s="1184"/>
      <c r="Y278" s="1184"/>
      <c r="Z278" s="1184"/>
    </row>
    <row r="279" spans="1:26" ht="15.5">
      <c r="A279" s="1184"/>
      <c r="B279" s="1218" t="str">
        <f>'Dynamic Dashboard'!B127</f>
        <v>Capex +20%</v>
      </c>
      <c r="C279" s="1222">
        <f>'Dynamic Dashboard'!C127</f>
        <v>0</v>
      </c>
      <c r="D279" s="1222">
        <f>'Dynamic Dashboard'!D127</f>
        <v>0.2</v>
      </c>
      <c r="E279" s="1223">
        <f>'Dynamic Dashboard'!E127</f>
        <v>-4.05</v>
      </c>
      <c r="F279" s="1224" t="str">
        <f>'Dynamic Dashboard'!F127</f>
        <v>●●●●○</v>
      </c>
      <c r="G279" s="1184"/>
      <c r="H279" s="1184"/>
      <c r="I279" s="1184"/>
      <c r="J279" s="1184"/>
      <c r="K279" s="1184"/>
      <c r="L279" s="1184"/>
      <c r="M279" s="1184"/>
      <c r="N279" s="1184"/>
      <c r="O279" s="1184"/>
      <c r="P279" s="1184"/>
      <c r="Q279" s="1184"/>
      <c r="R279" s="1184"/>
      <c r="S279" s="1184"/>
      <c r="T279" s="1184"/>
      <c r="U279" s="1184"/>
      <c r="V279" s="1184"/>
      <c r="W279" s="1184"/>
      <c r="X279" s="1184"/>
      <c r="Y279" s="1184"/>
      <c r="Z279" s="1184"/>
    </row>
    <row r="280" spans="1:26" ht="15.5">
      <c r="A280" s="1184"/>
      <c r="B280" s="1218" t="str">
        <f>'Dynamic Dashboard'!B128</f>
        <v>Sponsorship Under</v>
      </c>
      <c r="C280" s="1222">
        <f>'Dynamic Dashboard'!C128</f>
        <v>-0.1</v>
      </c>
      <c r="D280" s="1222">
        <f>'Dynamic Dashboard'!D128</f>
        <v>0</v>
      </c>
      <c r="E280" s="1223">
        <f>'Dynamic Dashboard'!E128</f>
        <v>-2.0299999999999998</v>
      </c>
      <c r="F280" s="1224" t="str">
        <f>'Dynamic Dashboard'!F128</f>
        <v>●●●○○</v>
      </c>
      <c r="G280" s="1184"/>
      <c r="H280" s="1184"/>
      <c r="I280" s="1184"/>
      <c r="J280" s="1184"/>
      <c r="K280" s="1184"/>
      <c r="L280" s="1184"/>
      <c r="M280" s="1184"/>
      <c r="N280" s="1184"/>
      <c r="O280" s="1184"/>
      <c r="P280" s="1184"/>
      <c r="Q280" s="1184"/>
      <c r="R280" s="1184"/>
      <c r="S280" s="1184"/>
      <c r="T280" s="1184"/>
      <c r="U280" s="1184"/>
      <c r="V280" s="1184"/>
      <c r="W280" s="1184"/>
      <c r="X280" s="1184"/>
      <c r="Y280" s="1184"/>
      <c r="Z280" s="1184"/>
    </row>
    <row r="281" spans="1:26" ht="15.5">
      <c r="A281" s="1184"/>
      <c r="B281" s="1184"/>
      <c r="C281" s="1184"/>
      <c r="D281" s="1184"/>
      <c r="E281" s="1184"/>
      <c r="F281" s="1184"/>
      <c r="G281" s="1184"/>
      <c r="H281" s="1184"/>
      <c r="I281" s="1184"/>
      <c r="J281" s="1184"/>
      <c r="K281" s="1184"/>
      <c r="L281" s="1184"/>
      <c r="M281" s="1184"/>
      <c r="N281" s="1184"/>
      <c r="O281" s="1184"/>
      <c r="P281" s="1184"/>
      <c r="Q281" s="1184"/>
      <c r="R281" s="1184"/>
      <c r="S281" s="1184"/>
      <c r="T281" s="1184"/>
      <c r="U281" s="1184"/>
      <c r="V281" s="1184"/>
      <c r="W281" s="1184"/>
      <c r="X281" s="1184"/>
      <c r="Y281" s="1184"/>
      <c r="Z281" s="1184"/>
    </row>
    <row r="282" spans="1:26" ht="15.5">
      <c r="A282" s="1184"/>
      <c r="B282" s="1184"/>
      <c r="C282" s="1184"/>
      <c r="D282" s="1184"/>
      <c r="E282" s="1184"/>
      <c r="F282" s="1184"/>
      <c r="G282" s="1184"/>
      <c r="H282" s="1184"/>
      <c r="I282" s="1184"/>
      <c r="J282" s="1184"/>
      <c r="K282" s="1184"/>
      <c r="L282" s="1184"/>
      <c r="M282" s="1184"/>
      <c r="N282" s="1184"/>
      <c r="O282" s="1184"/>
      <c r="P282" s="1184"/>
      <c r="Q282" s="1184"/>
      <c r="R282" s="1184"/>
      <c r="S282" s="1184"/>
      <c r="T282" s="1184"/>
      <c r="U282" s="1184"/>
      <c r="V282" s="1184"/>
      <c r="W282" s="1184"/>
      <c r="X282" s="1184"/>
      <c r="Y282" s="1184"/>
      <c r="Z282" s="1184"/>
    </row>
    <row r="283" spans="1:26" ht="15.5">
      <c r="A283" s="1184">
        <v>18</v>
      </c>
      <c r="B283" s="1184"/>
      <c r="C283" s="1184"/>
      <c r="D283" s="1184"/>
      <c r="E283" s="1184"/>
      <c r="F283" s="1184"/>
      <c r="G283" s="1184"/>
      <c r="H283" s="1184"/>
      <c r="I283" s="1184"/>
      <c r="J283" s="1184"/>
      <c r="K283" s="1184"/>
      <c r="L283" s="1184"/>
      <c r="M283" s="1184"/>
      <c r="N283" s="1184"/>
      <c r="O283" s="1184"/>
      <c r="P283" s="1184"/>
      <c r="Q283" s="1184"/>
      <c r="R283" s="1184"/>
      <c r="S283" s="1184"/>
      <c r="T283" s="1184"/>
      <c r="U283" s="1184"/>
      <c r="V283" s="1184"/>
      <c r="W283" s="1184"/>
      <c r="X283" s="1184"/>
      <c r="Y283" s="1184"/>
      <c r="Z283" s="1184"/>
    </row>
    <row r="284" spans="1:26" ht="15.5">
      <c r="A284" s="1184"/>
      <c r="B284" s="1184"/>
      <c r="C284" s="1184"/>
      <c r="D284" s="1184"/>
      <c r="E284" s="1184"/>
      <c r="F284" s="1184"/>
      <c r="G284" s="1184"/>
      <c r="H284" s="1184"/>
      <c r="I284" s="1184"/>
      <c r="J284" s="1184"/>
      <c r="K284" s="1184"/>
      <c r="L284" s="1184"/>
      <c r="M284" s="1184"/>
      <c r="N284" s="1184"/>
      <c r="O284" s="1184"/>
      <c r="P284" s="1184"/>
      <c r="Q284" s="1184"/>
      <c r="R284" s="1184"/>
      <c r="S284" s="1184"/>
      <c r="T284" s="1184"/>
      <c r="U284" s="1184"/>
      <c r="V284" s="1184"/>
      <c r="W284" s="1184"/>
      <c r="X284" s="1184"/>
      <c r="Y284" s="1184"/>
      <c r="Z284" s="1184"/>
    </row>
    <row r="285" spans="1:26" ht="15.5">
      <c r="A285" s="1184"/>
      <c r="B285" s="1184"/>
      <c r="C285" s="1184"/>
      <c r="D285" s="1184"/>
      <c r="E285" s="1184"/>
      <c r="F285" s="1184"/>
      <c r="G285" s="1184"/>
      <c r="H285" s="1184"/>
      <c r="I285" s="1184"/>
      <c r="J285" s="1184"/>
      <c r="K285" s="1184"/>
      <c r="L285" s="1184"/>
      <c r="M285" s="1184"/>
      <c r="N285" s="1184"/>
      <c r="O285" s="1184"/>
      <c r="P285" s="1184"/>
      <c r="Q285" s="1184"/>
      <c r="R285" s="1184"/>
      <c r="S285" s="1184"/>
      <c r="T285" s="1184"/>
      <c r="U285" s="1184"/>
      <c r="V285" s="1184"/>
      <c r="W285" s="1184"/>
      <c r="X285" s="1184"/>
      <c r="Y285" s="1184"/>
      <c r="Z285" s="1184"/>
    </row>
    <row r="286" spans="1:26" ht="15.5">
      <c r="A286" s="1184"/>
      <c r="B286" s="1184"/>
      <c r="C286" s="1184"/>
      <c r="D286" s="1184"/>
      <c r="E286" s="1184"/>
      <c r="F286" s="1184"/>
      <c r="G286" s="1184"/>
      <c r="H286" s="1184"/>
      <c r="I286" s="1184"/>
      <c r="J286" s="1184"/>
      <c r="K286" s="1184"/>
      <c r="L286" s="1184"/>
      <c r="M286" s="1184"/>
      <c r="N286" s="1184"/>
      <c r="O286" s="1184"/>
      <c r="P286" s="1184"/>
      <c r="Q286" s="1184"/>
      <c r="R286" s="1184"/>
      <c r="S286" s="1184"/>
      <c r="T286" s="1184"/>
      <c r="U286" s="1184"/>
      <c r="V286" s="1184"/>
      <c r="W286" s="1184"/>
      <c r="X286" s="1184"/>
      <c r="Y286" s="1184"/>
      <c r="Z286" s="1184"/>
    </row>
    <row r="287" spans="1:26" ht="15.5">
      <c r="A287" s="1184"/>
      <c r="B287" s="1184"/>
      <c r="C287" s="1184"/>
      <c r="D287" s="1184"/>
      <c r="E287" s="1184"/>
      <c r="F287" s="1184"/>
      <c r="G287" s="1184"/>
      <c r="H287" s="1184"/>
      <c r="I287" s="1184"/>
      <c r="J287" s="1184"/>
      <c r="K287" s="1184"/>
      <c r="L287" s="1184"/>
      <c r="M287" s="1184"/>
      <c r="N287" s="1184"/>
      <c r="O287" s="1184"/>
      <c r="P287" s="1184"/>
      <c r="Q287" s="1184"/>
      <c r="R287" s="1184"/>
      <c r="S287" s="1184"/>
      <c r="T287" s="1184"/>
      <c r="U287" s="1184"/>
      <c r="V287" s="1184"/>
      <c r="W287" s="1184"/>
      <c r="X287" s="1184"/>
      <c r="Y287" s="1184"/>
      <c r="Z287" s="1184"/>
    </row>
    <row r="288" spans="1:26" ht="15.5">
      <c r="A288" s="1184"/>
      <c r="B288" s="1184"/>
      <c r="C288" s="1184"/>
      <c r="D288" s="1184"/>
      <c r="E288" s="1184"/>
      <c r="F288" s="1184"/>
      <c r="G288" s="1184"/>
      <c r="H288" s="1184"/>
      <c r="I288" s="1184"/>
      <c r="J288" s="1184"/>
      <c r="K288" s="1184"/>
      <c r="L288" s="1184"/>
      <c r="M288" s="1184"/>
      <c r="N288" s="1184"/>
      <c r="O288" s="1184"/>
      <c r="P288" s="1184"/>
      <c r="Q288" s="1184"/>
      <c r="R288" s="1184"/>
      <c r="S288" s="1184"/>
      <c r="T288" s="1184"/>
      <c r="U288" s="1184"/>
      <c r="V288" s="1184"/>
      <c r="W288" s="1184"/>
      <c r="X288" s="1184"/>
      <c r="Y288" s="1184"/>
      <c r="Z288" s="1184"/>
    </row>
    <row r="289" spans="1:26" ht="15.5">
      <c r="A289" s="1184"/>
      <c r="B289" s="1184"/>
      <c r="C289" s="1184"/>
      <c r="D289" s="1184"/>
      <c r="E289" s="1184"/>
      <c r="F289" s="1184"/>
      <c r="G289" s="1184"/>
      <c r="H289" s="1184"/>
      <c r="I289" s="1184"/>
      <c r="J289" s="1184"/>
      <c r="K289" s="1184"/>
      <c r="L289" s="1184"/>
      <c r="M289" s="1184"/>
      <c r="N289" s="1184"/>
      <c r="O289" s="1184"/>
      <c r="P289" s="1184"/>
      <c r="Q289" s="1184"/>
      <c r="R289" s="1184"/>
      <c r="S289" s="1184"/>
      <c r="T289" s="1184"/>
      <c r="U289" s="1184"/>
      <c r="V289" s="1184"/>
      <c r="W289" s="1184"/>
      <c r="X289" s="1184"/>
      <c r="Y289" s="1184"/>
      <c r="Z289" s="1184"/>
    </row>
    <row r="290" spans="1:26" ht="15.5">
      <c r="A290" s="1184"/>
      <c r="B290" s="1184"/>
      <c r="C290" s="1184"/>
      <c r="D290" s="1184"/>
      <c r="E290" s="1184"/>
      <c r="F290" s="1184"/>
      <c r="G290" s="1184"/>
      <c r="H290" s="1184"/>
      <c r="I290" s="1184"/>
      <c r="J290" s="1184"/>
      <c r="K290" s="1184"/>
      <c r="L290" s="1184"/>
      <c r="M290" s="1184"/>
      <c r="N290" s="1184"/>
      <c r="O290" s="1184"/>
      <c r="P290" s="1184"/>
      <c r="Q290" s="1184"/>
      <c r="R290" s="1184"/>
      <c r="S290" s="1184"/>
      <c r="T290" s="1184"/>
      <c r="U290" s="1184"/>
      <c r="V290" s="1184"/>
      <c r="W290" s="1184"/>
      <c r="X290" s="1184"/>
      <c r="Y290" s="1184"/>
      <c r="Z290" s="1184"/>
    </row>
    <row r="291" spans="1:26" ht="15.5">
      <c r="A291" s="1184"/>
      <c r="B291" s="1184"/>
      <c r="C291" s="1184"/>
      <c r="D291" s="1184"/>
      <c r="E291" s="1184"/>
      <c r="F291" s="1184"/>
      <c r="G291" s="1184"/>
      <c r="H291" s="1184"/>
      <c r="I291" s="1184"/>
      <c r="J291" s="1184"/>
      <c r="K291" s="1184"/>
      <c r="L291" s="1184"/>
      <c r="M291" s="1184"/>
      <c r="N291" s="1184"/>
      <c r="O291" s="1184"/>
      <c r="P291" s="1184"/>
      <c r="Q291" s="1184"/>
      <c r="R291" s="1184"/>
      <c r="S291" s="1184"/>
      <c r="T291" s="1184"/>
      <c r="U291" s="1184"/>
      <c r="V291" s="1184"/>
      <c r="W291" s="1184"/>
      <c r="X291" s="1184"/>
      <c r="Y291" s="1184"/>
      <c r="Z291" s="1184"/>
    </row>
    <row r="292" spans="1:26" ht="15.5">
      <c r="A292" s="1184"/>
      <c r="B292" s="1184"/>
      <c r="C292" s="1184"/>
      <c r="D292" s="1184"/>
      <c r="E292" s="1184"/>
      <c r="F292" s="1184"/>
      <c r="G292" s="1184"/>
      <c r="H292" s="1184"/>
      <c r="I292" s="1184"/>
      <c r="J292" s="1184"/>
      <c r="K292" s="1184"/>
      <c r="L292" s="1184"/>
      <c r="M292" s="1184"/>
      <c r="N292" s="1184"/>
      <c r="O292" s="1184"/>
      <c r="P292" s="1184"/>
      <c r="Q292" s="1184"/>
      <c r="R292" s="1184"/>
      <c r="S292" s="1184"/>
      <c r="T292" s="1184"/>
      <c r="U292" s="1184"/>
      <c r="V292" s="1184"/>
      <c r="W292" s="1184"/>
      <c r="X292" s="1184"/>
      <c r="Y292" s="1184"/>
      <c r="Z292" s="1184"/>
    </row>
    <row r="293" spans="1:26" ht="15.5">
      <c r="A293" s="1184"/>
      <c r="B293" s="1184"/>
      <c r="C293" s="1184"/>
      <c r="D293" s="1184"/>
      <c r="E293" s="1184"/>
      <c r="F293" s="1184"/>
      <c r="G293" s="1184"/>
      <c r="H293" s="1184"/>
      <c r="I293" s="1184"/>
      <c r="J293" s="1184"/>
      <c r="K293" s="1184"/>
      <c r="L293" s="1184"/>
      <c r="M293" s="1184"/>
      <c r="N293" s="1184"/>
      <c r="O293" s="1184"/>
      <c r="P293" s="1184"/>
      <c r="Q293" s="1184"/>
      <c r="R293" s="1184"/>
      <c r="S293" s="1184"/>
      <c r="T293" s="1184"/>
      <c r="U293" s="1184"/>
      <c r="V293" s="1184"/>
      <c r="W293" s="1184"/>
      <c r="X293" s="1184"/>
      <c r="Y293" s="1184"/>
      <c r="Z293" s="1184"/>
    </row>
    <row r="294" spans="1:26" ht="15.5">
      <c r="A294" s="1184"/>
      <c r="B294" s="1184"/>
      <c r="C294" s="1184"/>
      <c r="D294" s="1184"/>
      <c r="E294" s="1184"/>
      <c r="F294" s="1184"/>
      <c r="G294" s="1184"/>
      <c r="H294" s="1184"/>
      <c r="I294" s="1184"/>
      <c r="J294" s="1184"/>
      <c r="K294" s="1184"/>
      <c r="L294" s="1184"/>
      <c r="M294" s="1184"/>
      <c r="N294" s="1184"/>
      <c r="O294" s="1184"/>
      <c r="P294" s="1184"/>
      <c r="Q294" s="1184"/>
      <c r="R294" s="1184"/>
      <c r="S294" s="1184"/>
      <c r="T294" s="1184"/>
      <c r="U294" s="1184"/>
      <c r="V294" s="1184"/>
      <c r="W294" s="1184"/>
      <c r="X294" s="1184"/>
      <c r="Y294" s="1184"/>
      <c r="Z294" s="1184"/>
    </row>
    <row r="295" spans="1:26" ht="15.5">
      <c r="A295" s="1184"/>
      <c r="B295" s="1184"/>
      <c r="C295" s="1184"/>
      <c r="D295" s="1184"/>
      <c r="E295" s="1184"/>
      <c r="F295" s="1184"/>
      <c r="G295" s="1184"/>
      <c r="H295" s="1184"/>
      <c r="I295" s="1184"/>
      <c r="J295" s="1184"/>
      <c r="K295" s="1184"/>
      <c r="L295" s="1184"/>
      <c r="M295" s="1184"/>
      <c r="N295" s="1184"/>
      <c r="O295" s="1184"/>
      <c r="P295" s="1184"/>
      <c r="Q295" s="1184"/>
      <c r="R295" s="1184"/>
      <c r="S295" s="1184"/>
      <c r="T295" s="1184"/>
      <c r="U295" s="1184"/>
      <c r="V295" s="1184"/>
      <c r="W295" s="1184"/>
      <c r="X295" s="1184"/>
      <c r="Y295" s="1184"/>
      <c r="Z295" s="1184"/>
    </row>
    <row r="296" spans="1:26" ht="15.5">
      <c r="A296" s="1184"/>
      <c r="B296" s="1184"/>
      <c r="C296" s="1184"/>
      <c r="D296" s="1184"/>
      <c r="E296" s="1184"/>
      <c r="F296" s="1184"/>
      <c r="G296" s="1184"/>
      <c r="H296" s="1184"/>
      <c r="I296" s="1184"/>
      <c r="J296" s="1184"/>
      <c r="K296" s="1184"/>
      <c r="L296" s="1184"/>
      <c r="M296" s="1184"/>
      <c r="N296" s="1184"/>
      <c r="O296" s="1184"/>
      <c r="P296" s="1184"/>
      <c r="Q296" s="1184"/>
      <c r="R296" s="1184"/>
      <c r="S296" s="1184"/>
      <c r="T296" s="1184"/>
      <c r="U296" s="1184"/>
      <c r="V296" s="1184"/>
      <c r="W296" s="1184"/>
      <c r="X296" s="1184"/>
      <c r="Y296" s="1184"/>
      <c r="Z296" s="1184"/>
    </row>
    <row r="297" spans="1:26" ht="15.5">
      <c r="A297" s="1184">
        <v>19</v>
      </c>
      <c r="B297" s="1184"/>
      <c r="C297" s="1184"/>
      <c r="D297" s="1184"/>
      <c r="E297" s="1184"/>
      <c r="F297" s="1184"/>
      <c r="G297" s="1184"/>
      <c r="H297" s="1184"/>
      <c r="I297" s="1184"/>
      <c r="J297" s="1184"/>
      <c r="K297" s="1184"/>
      <c r="L297" s="1184"/>
      <c r="M297" s="1184"/>
      <c r="N297" s="1184"/>
      <c r="O297" s="1184"/>
      <c r="P297" s="1184"/>
      <c r="Q297" s="1184"/>
      <c r="R297" s="1184"/>
      <c r="S297" s="1184"/>
      <c r="T297" s="1184"/>
      <c r="U297" s="1184"/>
      <c r="V297" s="1184"/>
      <c r="W297" s="1184"/>
      <c r="X297" s="1184"/>
      <c r="Y297" s="1184"/>
      <c r="Z297" s="1184"/>
    </row>
    <row r="298" spans="1:26" ht="15.5">
      <c r="A298" s="1184"/>
      <c r="B298" s="1225" t="s">
        <v>129</v>
      </c>
      <c r="C298" s="1186"/>
      <c r="D298" s="1184"/>
      <c r="E298" s="1184"/>
      <c r="F298" s="1184"/>
      <c r="G298" s="1184"/>
      <c r="H298" s="1184"/>
      <c r="I298" s="1184"/>
      <c r="J298" s="1184"/>
      <c r="K298" s="1184"/>
      <c r="L298" s="1184"/>
      <c r="M298" s="1184"/>
      <c r="N298" s="1184"/>
      <c r="O298" s="1184"/>
      <c r="P298" s="1184"/>
      <c r="Q298" s="1184"/>
      <c r="R298" s="1184"/>
      <c r="S298" s="1184"/>
      <c r="T298" s="1184"/>
      <c r="U298" s="1184"/>
      <c r="V298" s="1184"/>
      <c r="W298" s="1184"/>
      <c r="X298" s="1184"/>
      <c r="Y298" s="1184"/>
      <c r="Z298" s="1184"/>
    </row>
    <row r="299" spans="1:26" ht="15.5">
      <c r="A299" s="1184"/>
      <c r="B299" s="1190" t="s">
        <v>130</v>
      </c>
      <c r="C299" s="1226" t="str">
        <f>'Dynamic Dashboard'!C147</f>
        <v>FY38</v>
      </c>
      <c r="D299" s="1184"/>
      <c r="E299" s="1184"/>
      <c r="F299" s="1184"/>
      <c r="G299" s="1184"/>
      <c r="H299" s="1184"/>
      <c r="I299" s="1184"/>
      <c r="J299" s="1184"/>
      <c r="K299" s="1184"/>
      <c r="L299" s="1184"/>
      <c r="M299" s="1184"/>
      <c r="N299" s="1184"/>
      <c r="O299" s="1184"/>
      <c r="P299" s="1184"/>
      <c r="Q299" s="1184"/>
      <c r="R299" s="1184"/>
      <c r="S299" s="1184"/>
      <c r="T299" s="1184"/>
      <c r="U299" s="1184"/>
      <c r="V299" s="1184"/>
      <c r="W299" s="1184"/>
      <c r="X299" s="1184"/>
      <c r="Y299" s="1184"/>
      <c r="Z299" s="1184"/>
    </row>
    <row r="300" spans="1:26" ht="15.5">
      <c r="A300" s="1184"/>
      <c r="B300" s="1190" t="s">
        <v>131</v>
      </c>
      <c r="C300" s="1227">
        <f>'Dynamic Dashboard'!C148</f>
        <v>13901342.685076447</v>
      </c>
      <c r="D300" s="1184"/>
      <c r="E300" s="1184"/>
      <c r="F300" s="1184"/>
      <c r="G300" s="1184"/>
      <c r="H300" s="1184"/>
      <c r="I300" s="1184"/>
      <c r="J300" s="1184"/>
      <c r="K300" s="1184"/>
      <c r="L300" s="1184"/>
      <c r="M300" s="1184"/>
      <c r="N300" s="1184"/>
      <c r="O300" s="1184"/>
      <c r="P300" s="1184"/>
      <c r="Q300" s="1184"/>
      <c r="R300" s="1184"/>
      <c r="S300" s="1184"/>
      <c r="T300" s="1184"/>
      <c r="U300" s="1184"/>
      <c r="V300" s="1184"/>
      <c r="W300" s="1184"/>
      <c r="X300" s="1184"/>
      <c r="Y300" s="1184"/>
      <c r="Z300" s="1184"/>
    </row>
    <row r="301" spans="1:26" ht="15.5">
      <c r="A301" s="1184"/>
      <c r="B301" s="1190" t="s">
        <v>132</v>
      </c>
      <c r="C301" s="1228">
        <f>'Dynamic Dashboard'!C149</f>
        <v>7</v>
      </c>
      <c r="D301" s="1184"/>
      <c r="E301" s="1184"/>
      <c r="F301" s="1184"/>
      <c r="G301" s="1184"/>
      <c r="H301" s="1184"/>
      <c r="I301" s="1184"/>
      <c r="J301" s="1184"/>
      <c r="K301" s="1184"/>
      <c r="L301" s="1184"/>
      <c r="M301" s="1184"/>
      <c r="N301" s="1184"/>
      <c r="O301" s="1184"/>
      <c r="P301" s="1184"/>
      <c r="Q301" s="1184"/>
      <c r="R301" s="1184"/>
      <c r="S301" s="1184"/>
      <c r="T301" s="1184"/>
      <c r="U301" s="1184"/>
      <c r="V301" s="1184"/>
      <c r="W301" s="1184"/>
      <c r="X301" s="1184"/>
      <c r="Y301" s="1184"/>
      <c r="Z301" s="1184"/>
    </row>
    <row r="302" spans="1:26" ht="15.5">
      <c r="A302" s="1184"/>
      <c r="B302" s="1190" t="s">
        <v>133</v>
      </c>
      <c r="C302" s="1227">
        <f>'Dynamic Dashboard'!C150</f>
        <v>97309398.795535132</v>
      </c>
      <c r="D302" s="1184"/>
      <c r="E302" s="1184"/>
      <c r="F302" s="1184"/>
      <c r="G302" s="1184"/>
      <c r="H302" s="1184"/>
      <c r="I302" s="1184"/>
      <c r="J302" s="1184"/>
      <c r="K302" s="1184"/>
      <c r="L302" s="1184"/>
      <c r="M302" s="1184"/>
      <c r="N302" s="1184"/>
      <c r="O302" s="1184"/>
      <c r="P302" s="1184"/>
      <c r="Q302" s="1184"/>
      <c r="R302" s="1184"/>
      <c r="S302" s="1184"/>
      <c r="T302" s="1184"/>
      <c r="U302" s="1184"/>
      <c r="V302" s="1184"/>
      <c r="W302" s="1184"/>
      <c r="X302" s="1184"/>
      <c r="Y302" s="1184"/>
      <c r="Z302" s="1184"/>
    </row>
    <row r="303" spans="1:26" ht="15.5">
      <c r="A303" s="1184"/>
      <c r="B303" s="1229" t="s">
        <v>134</v>
      </c>
      <c r="C303" s="1230">
        <f>'Dynamic Dashboard'!C151</f>
        <v>0.51768718948009085</v>
      </c>
      <c r="D303" s="1184"/>
      <c r="E303" s="1184"/>
      <c r="F303" s="1184"/>
      <c r="G303" s="1184"/>
      <c r="H303" s="1184"/>
      <c r="I303" s="1184"/>
      <c r="J303" s="1184"/>
      <c r="K303" s="1184"/>
      <c r="L303" s="1184"/>
      <c r="M303" s="1184"/>
      <c r="N303" s="1184"/>
      <c r="O303" s="1184"/>
      <c r="P303" s="1184"/>
      <c r="Q303" s="1184"/>
      <c r="R303" s="1184"/>
      <c r="S303" s="1184"/>
      <c r="T303" s="1184"/>
      <c r="U303" s="1184"/>
      <c r="V303" s="1184"/>
      <c r="W303" s="1184"/>
      <c r="X303" s="1184"/>
      <c r="Y303" s="1184"/>
      <c r="Z303" s="1184"/>
    </row>
    <row r="304" spans="1:26" ht="15.5">
      <c r="A304" s="1184"/>
      <c r="B304" s="1184"/>
      <c r="C304" s="1184"/>
      <c r="D304" s="1184"/>
      <c r="E304" s="1184"/>
      <c r="F304" s="1184"/>
      <c r="G304" s="1184"/>
      <c r="H304" s="1184"/>
      <c r="I304" s="1184"/>
      <c r="J304" s="1184"/>
      <c r="K304" s="1184"/>
      <c r="L304" s="1184"/>
      <c r="M304" s="1184"/>
      <c r="N304" s="1184"/>
      <c r="O304" s="1184"/>
      <c r="P304" s="1184"/>
      <c r="Q304" s="1184"/>
      <c r="R304" s="1184"/>
      <c r="S304" s="1184"/>
      <c r="T304" s="1184"/>
      <c r="U304" s="1184"/>
      <c r="V304" s="1184"/>
      <c r="W304" s="1184"/>
      <c r="X304" s="1184"/>
      <c r="Y304" s="1184"/>
      <c r="Z304" s="1184"/>
    </row>
    <row r="305" spans="1:26" ht="15.5">
      <c r="A305" s="1184"/>
      <c r="B305" s="1184"/>
      <c r="C305" s="1184"/>
      <c r="D305" s="1184"/>
      <c r="E305" s="1184"/>
      <c r="F305" s="1184"/>
      <c r="G305" s="1184"/>
      <c r="H305" s="1184"/>
      <c r="I305" s="1184"/>
      <c r="J305" s="1184"/>
      <c r="K305" s="1184"/>
      <c r="L305" s="1184"/>
      <c r="M305" s="1184"/>
      <c r="N305" s="1184"/>
      <c r="O305" s="1184"/>
      <c r="P305" s="1184"/>
      <c r="Q305" s="1184"/>
      <c r="R305" s="1184"/>
      <c r="S305" s="1184"/>
      <c r="T305" s="1184"/>
      <c r="U305" s="1184"/>
      <c r="V305" s="1184"/>
      <c r="W305" s="1184"/>
      <c r="X305" s="1184"/>
      <c r="Y305" s="1184"/>
      <c r="Z305" s="1184"/>
    </row>
    <row r="306" spans="1:26" ht="15.5">
      <c r="A306" s="1184">
        <v>20</v>
      </c>
      <c r="B306" s="1184"/>
      <c r="C306" s="1184"/>
      <c r="D306" s="1184"/>
      <c r="E306" s="1184"/>
      <c r="F306" s="1184"/>
      <c r="G306" s="1184"/>
      <c r="H306" s="1184"/>
      <c r="I306" s="1184"/>
      <c r="J306" s="1184"/>
      <c r="K306" s="1184"/>
      <c r="L306" s="1184"/>
      <c r="M306" s="1184"/>
      <c r="N306" s="1184"/>
      <c r="O306" s="1184"/>
      <c r="P306" s="1184"/>
      <c r="Q306" s="1184"/>
      <c r="R306" s="1184"/>
      <c r="S306" s="1184"/>
      <c r="T306" s="1184"/>
      <c r="U306" s="1184"/>
      <c r="V306" s="1184"/>
      <c r="W306" s="1184"/>
      <c r="X306" s="1184"/>
      <c r="Y306" s="1184"/>
      <c r="Z306" s="1184"/>
    </row>
    <row r="307" spans="1:26" ht="15.5">
      <c r="A307" s="1184"/>
      <c r="B307" s="1184"/>
      <c r="C307" s="1184"/>
      <c r="D307" s="1184"/>
      <c r="E307" s="1184"/>
      <c r="F307" s="1184"/>
      <c r="G307" s="1184"/>
      <c r="H307" s="1184"/>
      <c r="I307" s="1184"/>
      <c r="J307" s="1184"/>
      <c r="K307" s="1184"/>
      <c r="L307" s="1184"/>
      <c r="M307" s="1184"/>
      <c r="N307" s="1184"/>
      <c r="O307" s="1184"/>
      <c r="P307" s="1184"/>
      <c r="Q307" s="1184"/>
      <c r="R307" s="1184"/>
      <c r="S307" s="1184"/>
      <c r="T307" s="1184"/>
      <c r="U307" s="1184"/>
      <c r="V307" s="1184"/>
      <c r="W307" s="1184"/>
      <c r="X307" s="1184"/>
      <c r="Y307" s="1184"/>
      <c r="Z307" s="1184"/>
    </row>
    <row r="308" spans="1:26" ht="15.5">
      <c r="A308" s="1184"/>
      <c r="B308" s="1184"/>
      <c r="C308" s="1184"/>
      <c r="D308" s="1184"/>
      <c r="E308" s="1184"/>
      <c r="F308" s="1184"/>
      <c r="G308" s="1184"/>
      <c r="H308" s="1184"/>
      <c r="I308" s="1184"/>
      <c r="J308" s="1184"/>
      <c r="K308" s="1184"/>
      <c r="L308" s="1184"/>
      <c r="M308" s="1184"/>
      <c r="N308" s="1184"/>
      <c r="O308" s="1184"/>
      <c r="P308" s="1184"/>
      <c r="Q308" s="1184"/>
      <c r="R308" s="1184"/>
      <c r="S308" s="1184"/>
      <c r="T308" s="1184"/>
      <c r="U308" s="1184"/>
      <c r="V308" s="1184"/>
      <c r="W308" s="1184"/>
      <c r="X308" s="1184"/>
      <c r="Y308" s="1184"/>
      <c r="Z308" s="1184"/>
    </row>
    <row r="309" spans="1:26" ht="15.5">
      <c r="A309" s="1184"/>
      <c r="B309" s="1184"/>
      <c r="C309" s="1184"/>
      <c r="D309" s="1184"/>
      <c r="E309" s="1184"/>
      <c r="F309" s="1184"/>
      <c r="G309" s="1184"/>
      <c r="H309" s="1184"/>
      <c r="I309" s="1184"/>
      <c r="J309" s="1184"/>
      <c r="K309" s="1184"/>
      <c r="L309" s="1184"/>
      <c r="M309" s="1184"/>
      <c r="N309" s="1184"/>
      <c r="O309" s="1184"/>
      <c r="P309" s="1184"/>
      <c r="Q309" s="1184"/>
      <c r="R309" s="1184"/>
      <c r="S309" s="1184"/>
      <c r="T309" s="1184"/>
      <c r="U309" s="1184"/>
      <c r="V309" s="1184"/>
      <c r="W309" s="1184"/>
      <c r="X309" s="1184"/>
      <c r="Y309" s="1184"/>
      <c r="Z309" s="1184"/>
    </row>
    <row r="310" spans="1:26" ht="15.5">
      <c r="A310" s="1184"/>
      <c r="B310" s="1184"/>
      <c r="C310" s="1184"/>
      <c r="D310" s="1184"/>
      <c r="E310" s="1184"/>
      <c r="F310" s="1184"/>
      <c r="G310" s="1184"/>
      <c r="H310" s="1184"/>
      <c r="I310" s="1184"/>
      <c r="J310" s="1184"/>
      <c r="K310" s="1184"/>
      <c r="L310" s="1184"/>
      <c r="M310" s="1184"/>
      <c r="N310" s="1184"/>
      <c r="O310" s="1184"/>
      <c r="P310" s="1184"/>
      <c r="Q310" s="1184"/>
      <c r="R310" s="1184"/>
      <c r="S310" s="1184"/>
      <c r="T310" s="1184"/>
      <c r="U310" s="1184"/>
      <c r="V310" s="1184"/>
      <c r="W310" s="1184"/>
      <c r="X310" s="1184"/>
      <c r="Y310" s="1184"/>
      <c r="Z310" s="1184"/>
    </row>
    <row r="311" spans="1:26" ht="15.5">
      <c r="A311" s="1184"/>
      <c r="B311" s="1184"/>
      <c r="C311" s="1184"/>
      <c r="D311" s="1184"/>
      <c r="E311" s="1184"/>
      <c r="F311" s="1184"/>
      <c r="G311" s="1184"/>
      <c r="H311" s="1184"/>
      <c r="I311" s="1184"/>
      <c r="J311" s="1184"/>
      <c r="K311" s="1184"/>
      <c r="L311" s="1184"/>
      <c r="M311" s="1184"/>
      <c r="N311" s="1184"/>
      <c r="O311" s="1184"/>
      <c r="P311" s="1184"/>
      <c r="Q311" s="1184"/>
      <c r="R311" s="1184"/>
      <c r="S311" s="1184"/>
      <c r="T311" s="1184"/>
      <c r="U311" s="1184"/>
      <c r="V311" s="1184"/>
      <c r="W311" s="1184"/>
      <c r="X311" s="1184"/>
      <c r="Y311" s="1184"/>
      <c r="Z311" s="1184"/>
    </row>
    <row r="312" spans="1:26" ht="15.5">
      <c r="A312" s="1184"/>
      <c r="B312" s="1184"/>
      <c r="C312" s="1184"/>
      <c r="D312" s="1184"/>
      <c r="E312" s="1184"/>
      <c r="F312" s="1184"/>
      <c r="G312" s="1184"/>
      <c r="H312" s="1184"/>
      <c r="I312" s="1184"/>
      <c r="J312" s="1184"/>
      <c r="K312" s="1184"/>
      <c r="L312" s="1184"/>
      <c r="M312" s="1184"/>
      <c r="N312" s="1184"/>
      <c r="O312" s="1184"/>
      <c r="P312" s="1184"/>
      <c r="Q312" s="1184"/>
      <c r="R312" s="1184"/>
      <c r="S312" s="1184"/>
      <c r="T312" s="1184"/>
      <c r="U312" s="1184"/>
      <c r="V312" s="1184"/>
      <c r="W312" s="1184"/>
      <c r="X312" s="1184"/>
      <c r="Y312" s="1184"/>
      <c r="Z312" s="1184"/>
    </row>
    <row r="313" spans="1:26" ht="15.5">
      <c r="A313" s="1184"/>
      <c r="B313" s="1184"/>
      <c r="C313" s="1184"/>
      <c r="D313" s="1184"/>
      <c r="E313" s="1184"/>
      <c r="F313" s="1184"/>
      <c r="G313" s="1184"/>
      <c r="H313" s="1184"/>
      <c r="I313" s="1184"/>
      <c r="J313" s="1184"/>
      <c r="K313" s="1184"/>
      <c r="L313" s="1184"/>
      <c r="M313" s="1184"/>
      <c r="N313" s="1184"/>
      <c r="O313" s="1184"/>
      <c r="P313" s="1184"/>
      <c r="Q313" s="1184"/>
      <c r="R313" s="1184"/>
      <c r="S313" s="1184"/>
      <c r="T313" s="1184"/>
      <c r="U313" s="1184"/>
      <c r="V313" s="1184"/>
      <c r="W313" s="1184"/>
      <c r="X313" s="1184"/>
      <c r="Y313" s="1184"/>
      <c r="Z313" s="1184"/>
    </row>
    <row r="314" spans="1:26" ht="15.5">
      <c r="A314" s="1184"/>
      <c r="B314" s="1184"/>
      <c r="C314" s="1184"/>
      <c r="D314" s="1184"/>
      <c r="E314" s="1184"/>
      <c r="F314" s="1184"/>
      <c r="G314" s="1184"/>
      <c r="H314" s="1184"/>
      <c r="I314" s="1184"/>
      <c r="J314" s="1184"/>
      <c r="K314" s="1184"/>
      <c r="L314" s="1184"/>
      <c r="M314" s="1184"/>
      <c r="N314" s="1184"/>
      <c r="O314" s="1184"/>
      <c r="P314" s="1184"/>
      <c r="Q314" s="1184"/>
      <c r="R314" s="1184"/>
      <c r="S314" s="1184"/>
      <c r="T314" s="1184"/>
      <c r="U314" s="1184"/>
      <c r="V314" s="1184"/>
      <c r="W314" s="1184"/>
      <c r="X314" s="1184"/>
      <c r="Y314" s="1184"/>
      <c r="Z314" s="1184"/>
    </row>
    <row r="315" spans="1:26" ht="15.5">
      <c r="A315" s="1184"/>
      <c r="B315" s="1184"/>
      <c r="C315" s="1184"/>
      <c r="D315" s="1184"/>
      <c r="E315" s="1184"/>
      <c r="F315" s="1184"/>
      <c r="G315" s="1184"/>
      <c r="H315" s="1184"/>
      <c r="I315" s="1184"/>
      <c r="J315" s="1184"/>
      <c r="K315" s="1184"/>
      <c r="L315" s="1184"/>
      <c r="M315" s="1184"/>
      <c r="N315" s="1184"/>
      <c r="O315" s="1184"/>
      <c r="P315" s="1184"/>
      <c r="Q315" s="1184"/>
      <c r="R315" s="1184"/>
      <c r="S315" s="1184"/>
      <c r="T315" s="1184"/>
      <c r="U315" s="1184"/>
      <c r="V315" s="1184"/>
      <c r="W315" s="1184"/>
      <c r="X315" s="1184"/>
      <c r="Y315" s="1184"/>
      <c r="Z315" s="1184"/>
    </row>
    <row r="316" spans="1:26" ht="15.5">
      <c r="A316" s="1184"/>
      <c r="B316" s="1184"/>
      <c r="C316" s="1184"/>
      <c r="D316" s="1184"/>
      <c r="E316" s="1184"/>
      <c r="F316" s="1184"/>
      <c r="G316" s="1184"/>
      <c r="H316" s="1184"/>
      <c r="I316" s="1184"/>
      <c r="J316" s="1184"/>
      <c r="K316" s="1184"/>
      <c r="L316" s="1184"/>
      <c r="M316" s="1184"/>
      <c r="N316" s="1184"/>
      <c r="O316" s="1184"/>
      <c r="P316" s="1184"/>
      <c r="Q316" s="1184"/>
      <c r="R316" s="1184"/>
      <c r="S316" s="1184"/>
      <c r="T316" s="1184"/>
      <c r="U316" s="1184"/>
      <c r="V316" s="1184"/>
      <c r="W316" s="1184"/>
      <c r="X316" s="1184"/>
      <c r="Y316" s="1184"/>
      <c r="Z316" s="1184"/>
    </row>
    <row r="317" spans="1:26" ht="15.5">
      <c r="A317" s="1184"/>
      <c r="B317" s="1184"/>
      <c r="C317" s="1184"/>
      <c r="D317" s="1184"/>
      <c r="E317" s="1184"/>
      <c r="F317" s="1184"/>
      <c r="G317" s="1184"/>
      <c r="H317" s="1184"/>
      <c r="I317" s="1184"/>
      <c r="J317" s="1184"/>
      <c r="K317" s="1184"/>
      <c r="L317" s="1184"/>
      <c r="M317" s="1184"/>
      <c r="N317" s="1184"/>
      <c r="O317" s="1184"/>
      <c r="P317" s="1184"/>
      <c r="Q317" s="1184"/>
      <c r="R317" s="1184"/>
      <c r="S317" s="1184"/>
      <c r="T317" s="1184"/>
      <c r="U317" s="1184"/>
      <c r="V317" s="1184"/>
      <c r="W317" s="1184"/>
      <c r="X317" s="1184"/>
      <c r="Y317" s="1184"/>
      <c r="Z317" s="1184"/>
    </row>
    <row r="318" spans="1:26" ht="15.5">
      <c r="A318" s="1184"/>
      <c r="B318" s="1184"/>
      <c r="C318" s="1184"/>
      <c r="D318" s="1184"/>
      <c r="E318" s="1184"/>
      <c r="F318" s="1184"/>
      <c r="G318" s="1184"/>
      <c r="H318" s="1184"/>
      <c r="I318" s="1184"/>
      <c r="J318" s="1184"/>
      <c r="K318" s="1184"/>
      <c r="L318" s="1184"/>
      <c r="M318" s="1184"/>
      <c r="N318" s="1184"/>
      <c r="O318" s="1184"/>
      <c r="P318" s="1184"/>
      <c r="Q318" s="1184"/>
      <c r="R318" s="1184"/>
      <c r="S318" s="1184"/>
      <c r="T318" s="1184"/>
      <c r="U318" s="1184"/>
      <c r="V318" s="1184"/>
      <c r="W318" s="1184"/>
      <c r="X318" s="1184"/>
      <c r="Y318" s="1184"/>
      <c r="Z318" s="1184"/>
    </row>
    <row r="319" spans="1:26" ht="15.5">
      <c r="A319" s="1184"/>
      <c r="B319" s="1184"/>
      <c r="C319" s="1184"/>
      <c r="D319" s="1184"/>
      <c r="E319" s="1184"/>
      <c r="F319" s="1184"/>
      <c r="G319" s="1184"/>
      <c r="H319" s="1184"/>
      <c r="I319" s="1184"/>
      <c r="J319" s="1184"/>
      <c r="K319" s="1184"/>
      <c r="L319" s="1184"/>
      <c r="M319" s="1184"/>
      <c r="N319" s="1184"/>
      <c r="O319" s="1184"/>
      <c r="P319" s="1184"/>
      <c r="Q319" s="1184"/>
      <c r="R319" s="1184"/>
      <c r="S319" s="1184"/>
      <c r="T319" s="1184"/>
      <c r="U319" s="1184"/>
      <c r="V319" s="1184"/>
      <c r="W319" s="1184"/>
      <c r="X319" s="1184"/>
      <c r="Y319" s="1184"/>
      <c r="Z319" s="1184"/>
    </row>
    <row r="320" spans="1:26" ht="15.5">
      <c r="A320" s="1184"/>
      <c r="B320" s="1184"/>
      <c r="C320" s="1184"/>
      <c r="D320" s="1184"/>
      <c r="E320" s="1184"/>
      <c r="F320" s="1184"/>
      <c r="G320" s="1184"/>
      <c r="H320" s="1184"/>
      <c r="I320" s="1184"/>
      <c r="J320" s="1184"/>
      <c r="K320" s="1184"/>
      <c r="L320" s="1184"/>
      <c r="M320" s="1184"/>
      <c r="N320" s="1184"/>
      <c r="O320" s="1184"/>
      <c r="P320" s="1184"/>
      <c r="Q320" s="1184"/>
      <c r="R320" s="1184"/>
      <c r="S320" s="1184"/>
      <c r="T320" s="1184"/>
      <c r="U320" s="1184"/>
      <c r="V320" s="1184"/>
      <c r="W320" s="1184"/>
      <c r="X320" s="1184"/>
      <c r="Y320" s="1184"/>
      <c r="Z320" s="1184"/>
    </row>
    <row r="321" spans="1:26" ht="15.5">
      <c r="A321" s="1184"/>
      <c r="B321" s="1184"/>
      <c r="C321" s="1184"/>
      <c r="D321" s="1184"/>
      <c r="E321" s="1184"/>
      <c r="F321" s="1184"/>
      <c r="G321" s="1184"/>
      <c r="H321" s="1184"/>
      <c r="I321" s="1184"/>
      <c r="J321" s="1184"/>
      <c r="K321" s="1184"/>
      <c r="L321" s="1184"/>
      <c r="M321" s="1184"/>
      <c r="N321" s="1184"/>
      <c r="O321" s="1184"/>
      <c r="P321" s="1184"/>
      <c r="Q321" s="1184"/>
      <c r="R321" s="1184"/>
      <c r="S321" s="1184"/>
      <c r="T321" s="1184"/>
      <c r="U321" s="1184"/>
      <c r="V321" s="1184"/>
      <c r="W321" s="1184"/>
      <c r="X321" s="1184"/>
      <c r="Y321" s="1184"/>
      <c r="Z321" s="1184"/>
    </row>
    <row r="322" spans="1:26" ht="15.5">
      <c r="A322" s="1184"/>
      <c r="B322" s="1184"/>
      <c r="C322" s="1184"/>
      <c r="D322" s="1184"/>
      <c r="E322" s="1184"/>
      <c r="F322" s="1184"/>
      <c r="G322" s="1184"/>
      <c r="H322" s="1184"/>
      <c r="I322" s="1184"/>
      <c r="J322" s="1184"/>
      <c r="K322" s="1184"/>
      <c r="L322" s="1184"/>
      <c r="M322" s="1184"/>
      <c r="N322" s="1184"/>
      <c r="O322" s="1184"/>
      <c r="P322" s="1184"/>
      <c r="Q322" s="1184"/>
      <c r="R322" s="1184"/>
      <c r="S322" s="1184"/>
      <c r="T322" s="1184"/>
      <c r="U322" s="1184"/>
      <c r="V322" s="1184"/>
      <c r="W322" s="1184"/>
      <c r="X322" s="1184"/>
      <c r="Y322" s="1184"/>
      <c r="Z322" s="1184"/>
    </row>
    <row r="323" spans="1:26" ht="15.5">
      <c r="A323" s="1184">
        <v>21</v>
      </c>
      <c r="B323" s="1184" t="s">
        <v>2268</v>
      </c>
      <c r="C323" s="1184"/>
      <c r="D323" s="1184"/>
      <c r="E323" s="1184"/>
      <c r="F323" s="1184"/>
      <c r="G323" s="1184"/>
      <c r="H323" s="1184"/>
      <c r="I323" s="1184"/>
      <c r="J323" s="1184"/>
      <c r="K323" s="1184"/>
      <c r="L323" s="1184"/>
      <c r="M323" s="1184"/>
      <c r="N323" s="1184"/>
      <c r="O323" s="1184"/>
      <c r="P323" s="1184"/>
      <c r="Q323" s="1184"/>
      <c r="R323" s="1184"/>
      <c r="S323" s="1184"/>
      <c r="T323" s="1184"/>
      <c r="U323" s="1184"/>
      <c r="V323" s="1184"/>
      <c r="W323" s="1184"/>
      <c r="X323" s="1184"/>
      <c r="Y323" s="1184"/>
      <c r="Z323" s="1184"/>
    </row>
    <row r="324" spans="1:26" ht="15.5">
      <c r="A324" s="1184"/>
      <c r="B324" s="1186" t="s">
        <v>2269</v>
      </c>
      <c r="C324" s="1186" t="s">
        <v>153</v>
      </c>
      <c r="D324" s="1212"/>
      <c r="E324" s="1212"/>
      <c r="F324" s="1212"/>
      <c r="G324" s="1184"/>
      <c r="H324" s="1184"/>
      <c r="I324" s="1184"/>
      <c r="J324" s="1184"/>
      <c r="K324" s="1184"/>
      <c r="L324" s="1184"/>
      <c r="M324" s="1184"/>
      <c r="N324" s="1184"/>
      <c r="O324" s="1184"/>
      <c r="P324" s="1184"/>
      <c r="Q324" s="1184"/>
      <c r="R324" s="1184"/>
      <c r="S324" s="1184"/>
      <c r="T324" s="1184"/>
      <c r="U324" s="1184"/>
      <c r="V324" s="1184"/>
      <c r="W324" s="1184"/>
      <c r="X324" s="1184"/>
      <c r="Y324" s="1184"/>
      <c r="Z324" s="1184"/>
    </row>
    <row r="325" spans="1:26" ht="15.5">
      <c r="A325" s="1184"/>
      <c r="B325" s="1231" t="s">
        <v>261</v>
      </c>
      <c r="C325" s="1203">
        <f>'Revenue Assumptions'!F97/'Calendar Assumptions'!F5</f>
        <v>53560</v>
      </c>
      <c r="D325" s="1212"/>
      <c r="E325" s="1212"/>
      <c r="F325" s="1212"/>
      <c r="G325" s="1184"/>
      <c r="H325" s="1184"/>
      <c r="I325" s="1184"/>
      <c r="J325" s="1184"/>
      <c r="K325" s="1184"/>
      <c r="L325" s="1184"/>
      <c r="M325" s="1184"/>
      <c r="N325" s="1184"/>
      <c r="O325" s="1184"/>
      <c r="P325" s="1184"/>
      <c r="Q325" s="1184"/>
      <c r="R325" s="1184"/>
      <c r="S325" s="1184"/>
      <c r="T325" s="1184"/>
      <c r="U325" s="1184"/>
      <c r="V325" s="1184"/>
      <c r="W325" s="1184"/>
      <c r="X325" s="1184"/>
      <c r="Y325" s="1184"/>
      <c r="Z325" s="1184"/>
    </row>
    <row r="326" spans="1:26" ht="15.5">
      <c r="A326" s="1184"/>
      <c r="B326" s="1231" t="s">
        <v>263</v>
      </c>
      <c r="C326" s="1203">
        <f>'Revenue Assumptions'!F98/'Calendar Assumptions'!F6</f>
        <v>32136</v>
      </c>
      <c r="D326" s="1212"/>
      <c r="E326" s="1212"/>
      <c r="F326" s="1212"/>
      <c r="G326" s="1184"/>
      <c r="H326" s="1184"/>
      <c r="I326" s="1184"/>
      <c r="J326" s="1184"/>
      <c r="K326" s="1184"/>
      <c r="L326" s="1184"/>
      <c r="M326" s="1184"/>
      <c r="N326" s="1184"/>
      <c r="O326" s="1184"/>
      <c r="P326" s="1184"/>
      <c r="Q326" s="1184"/>
      <c r="R326" s="1184"/>
      <c r="S326" s="1184"/>
      <c r="T326" s="1184"/>
      <c r="U326" s="1184"/>
      <c r="V326" s="1184"/>
      <c r="W326" s="1184"/>
      <c r="X326" s="1184"/>
      <c r="Y326" s="1184"/>
      <c r="Z326" s="1184"/>
    </row>
    <row r="327" spans="1:26" ht="15.5">
      <c r="A327" s="1184"/>
      <c r="B327" s="1231" t="s">
        <v>265</v>
      </c>
      <c r="C327" s="1203">
        <f>'Revenue Assumptions'!F99/'Calendar Assumptions'!F7</f>
        <v>15444</v>
      </c>
      <c r="D327" s="1212"/>
      <c r="E327" s="1212"/>
      <c r="F327" s="1212"/>
      <c r="G327" s="1184"/>
      <c r="H327" s="1184"/>
      <c r="I327" s="1184"/>
      <c r="J327" s="1184"/>
      <c r="K327" s="1184"/>
      <c r="L327" s="1184"/>
      <c r="M327" s="1184"/>
      <c r="N327" s="1184"/>
      <c r="O327" s="1184"/>
      <c r="P327" s="1184"/>
      <c r="Q327" s="1184"/>
      <c r="R327" s="1184"/>
      <c r="S327" s="1184"/>
      <c r="T327" s="1184"/>
      <c r="U327" s="1184"/>
      <c r="V327" s="1184"/>
      <c r="W327" s="1184"/>
      <c r="X327" s="1184"/>
      <c r="Y327" s="1184"/>
      <c r="Z327" s="1184"/>
    </row>
    <row r="328" spans="1:26" ht="15.5">
      <c r="A328" s="1184"/>
      <c r="B328" s="1231" t="s">
        <v>1541</v>
      </c>
      <c r="C328" s="1203">
        <f>'Revenue Assumptions'!F100/'Calendar Assumptions'!F8</f>
        <v>50778</v>
      </c>
      <c r="D328" s="1212"/>
      <c r="E328" s="1212"/>
      <c r="F328" s="1212"/>
      <c r="G328" s="1184"/>
      <c r="H328" s="1184"/>
      <c r="I328" s="1184"/>
      <c r="J328" s="1184"/>
      <c r="K328" s="1184"/>
      <c r="L328" s="1184"/>
      <c r="M328" s="1184"/>
      <c r="N328" s="1184"/>
      <c r="O328" s="1184"/>
      <c r="P328" s="1184"/>
      <c r="Q328" s="1184"/>
      <c r="R328" s="1184"/>
      <c r="S328" s="1184"/>
      <c r="T328" s="1184"/>
      <c r="U328" s="1184"/>
      <c r="V328" s="1184"/>
      <c r="W328" s="1184"/>
      <c r="X328" s="1184"/>
      <c r="Y328" s="1184"/>
      <c r="Z328" s="1184"/>
    </row>
    <row r="329" spans="1:26" ht="15.5">
      <c r="A329" s="1184"/>
      <c r="B329" s="1231" t="s">
        <v>1076</v>
      </c>
      <c r="C329" s="1203">
        <f>'Revenue Assumptions'!F101/'Calendar Assumptions'!F9</f>
        <v>42178.5</v>
      </c>
      <c r="D329" s="1212"/>
      <c r="E329" s="1212"/>
      <c r="F329" s="1212"/>
      <c r="G329" s="1184"/>
      <c r="H329" s="1184"/>
      <c r="I329" s="1184"/>
      <c r="J329" s="1184"/>
      <c r="K329" s="1184"/>
      <c r="L329" s="1184"/>
      <c r="M329" s="1184"/>
      <c r="N329" s="1184"/>
      <c r="O329" s="1184"/>
      <c r="P329" s="1184"/>
      <c r="Q329" s="1184"/>
      <c r="R329" s="1184"/>
      <c r="S329" s="1184"/>
      <c r="T329" s="1184"/>
      <c r="U329" s="1184"/>
      <c r="V329" s="1184"/>
      <c r="W329" s="1184"/>
      <c r="X329" s="1184"/>
      <c r="Y329" s="1184"/>
      <c r="Z329" s="1184"/>
    </row>
    <row r="330" spans="1:26" ht="15.5">
      <c r="A330" s="1184"/>
      <c r="B330" s="1231" t="s">
        <v>1078</v>
      </c>
      <c r="C330" s="1203">
        <f>'Revenue Assumptions'!F102/'Calendar Assumptions'!F10</f>
        <v>42178.5</v>
      </c>
      <c r="D330" s="1212"/>
      <c r="E330" s="1212"/>
      <c r="F330" s="1212"/>
      <c r="G330" s="1184"/>
      <c r="H330" s="1184"/>
      <c r="I330" s="1184"/>
      <c r="J330" s="1184"/>
      <c r="K330" s="1184"/>
      <c r="L330" s="1184"/>
      <c r="M330" s="1184"/>
      <c r="N330" s="1184"/>
      <c r="O330" s="1184"/>
      <c r="P330" s="1184"/>
      <c r="Q330" s="1184"/>
      <c r="R330" s="1184"/>
      <c r="S330" s="1184"/>
      <c r="T330" s="1184"/>
      <c r="U330" s="1184"/>
      <c r="V330" s="1184"/>
      <c r="W330" s="1184"/>
      <c r="X330" s="1184"/>
      <c r="Y330" s="1184"/>
      <c r="Z330" s="1184"/>
    </row>
    <row r="331" spans="1:26" ht="15.5">
      <c r="A331" s="1184"/>
      <c r="B331" s="1231" t="s">
        <v>1080</v>
      </c>
      <c r="C331" s="1203">
        <f>'Revenue Assumptions'!F103/'Calendar Assumptions'!F11</f>
        <v>40000</v>
      </c>
      <c r="D331" s="1212"/>
      <c r="E331" s="1212"/>
      <c r="F331" s="1212"/>
      <c r="G331" s="1184"/>
      <c r="H331" s="1184"/>
      <c r="I331" s="1184"/>
      <c r="J331" s="1184"/>
      <c r="K331" s="1184"/>
      <c r="L331" s="1184"/>
      <c r="M331" s="1184"/>
      <c r="N331" s="1184"/>
      <c r="O331" s="1184"/>
      <c r="P331" s="1184"/>
      <c r="Q331" s="1184"/>
      <c r="R331" s="1184"/>
      <c r="S331" s="1184"/>
      <c r="T331" s="1184"/>
      <c r="U331" s="1184"/>
      <c r="V331" s="1184"/>
      <c r="W331" s="1184"/>
      <c r="X331" s="1184"/>
      <c r="Y331" s="1184"/>
      <c r="Z331" s="1184"/>
    </row>
    <row r="332" spans="1:26" ht="15.5">
      <c r="A332" s="1184"/>
      <c r="B332" s="1231" t="s">
        <v>311</v>
      </c>
      <c r="C332" s="1203">
        <f>'Revenue Assumptions'!F104/'Calendar Assumptions'!F12</f>
        <v>40000</v>
      </c>
      <c r="D332" s="1212"/>
      <c r="E332" s="1212"/>
      <c r="F332" s="1212"/>
      <c r="G332" s="1184"/>
      <c r="H332" s="1184"/>
      <c r="I332" s="1184"/>
      <c r="J332" s="1184"/>
      <c r="K332" s="1184"/>
      <c r="L332" s="1184"/>
      <c r="M332" s="1184"/>
      <c r="N332" s="1184"/>
      <c r="O332" s="1184"/>
      <c r="P332" s="1184"/>
      <c r="Q332" s="1184"/>
      <c r="R332" s="1184"/>
      <c r="S332" s="1184"/>
      <c r="T332" s="1184"/>
      <c r="U332" s="1184"/>
      <c r="V332" s="1184"/>
      <c r="W332" s="1184"/>
      <c r="X332" s="1184"/>
      <c r="Y332" s="1184"/>
      <c r="Z332" s="1184"/>
    </row>
    <row r="333" spans="1:26" ht="15.5">
      <c r="A333" s="1184"/>
      <c r="B333" s="1231" t="s">
        <v>272</v>
      </c>
      <c r="C333" s="1203">
        <f>'Revenue Assumptions'!F105/'Calendar Assumptions'!F13</f>
        <v>10000</v>
      </c>
      <c r="D333" s="1212"/>
      <c r="E333" s="1212"/>
      <c r="F333" s="1212"/>
      <c r="G333" s="1184"/>
      <c r="H333" s="1184"/>
      <c r="I333" s="1184"/>
      <c r="J333" s="1184"/>
      <c r="K333" s="1184"/>
      <c r="L333" s="1184"/>
      <c r="M333" s="1184"/>
      <c r="N333" s="1184"/>
      <c r="O333" s="1184"/>
      <c r="P333" s="1184"/>
      <c r="Q333" s="1184"/>
      <c r="R333" s="1184"/>
      <c r="S333" s="1184"/>
      <c r="T333" s="1184"/>
      <c r="U333" s="1184"/>
      <c r="V333" s="1184"/>
      <c r="W333" s="1184"/>
      <c r="X333" s="1184"/>
      <c r="Y333" s="1184"/>
      <c r="Z333" s="1184"/>
    </row>
    <row r="334" spans="1:26" ht="15.5">
      <c r="A334" s="1184"/>
      <c r="B334" s="1231" t="s">
        <v>1542</v>
      </c>
      <c r="C334" s="1203">
        <f>'Revenue Assumptions'!F106/'Calendar Assumptions'!F14</f>
        <v>20000</v>
      </c>
      <c r="D334" s="1212"/>
      <c r="E334" s="1212"/>
      <c r="F334" s="1212"/>
      <c r="G334" s="1184"/>
      <c r="H334" s="1184"/>
      <c r="I334" s="1184"/>
      <c r="J334" s="1184"/>
      <c r="K334" s="1184"/>
      <c r="L334" s="1184"/>
      <c r="M334" s="1184"/>
      <c r="N334" s="1184"/>
      <c r="O334" s="1184"/>
      <c r="P334" s="1184"/>
      <c r="Q334" s="1184"/>
      <c r="R334" s="1184"/>
      <c r="S334" s="1184"/>
      <c r="T334" s="1184"/>
      <c r="U334" s="1184"/>
      <c r="V334" s="1184"/>
      <c r="W334" s="1184"/>
      <c r="X334" s="1184"/>
      <c r="Y334" s="1184"/>
      <c r="Z334" s="1184"/>
    </row>
    <row r="335" spans="1:26" ht="15.5">
      <c r="A335" s="1184"/>
      <c r="B335" s="1231" t="s">
        <v>1543</v>
      </c>
      <c r="C335" s="1203">
        <f>'Revenue Assumptions'!F107/'Calendar Assumptions'!F15</f>
        <v>10000</v>
      </c>
      <c r="D335" s="1212"/>
      <c r="E335" s="1212"/>
      <c r="F335" s="1212"/>
      <c r="G335" s="1184"/>
      <c r="H335" s="1184"/>
      <c r="I335" s="1184"/>
      <c r="J335" s="1184"/>
      <c r="K335" s="1184"/>
      <c r="L335" s="1184"/>
      <c r="M335" s="1184"/>
      <c r="N335" s="1184"/>
      <c r="O335" s="1184"/>
      <c r="P335" s="1184"/>
      <c r="Q335" s="1184"/>
      <c r="R335" s="1184"/>
      <c r="S335" s="1184"/>
      <c r="T335" s="1184"/>
      <c r="U335" s="1184"/>
      <c r="V335" s="1184"/>
      <c r="W335" s="1184"/>
      <c r="X335" s="1184"/>
      <c r="Y335" s="1184"/>
      <c r="Z335" s="1184"/>
    </row>
    <row r="336" spans="1:26" ht="15.5">
      <c r="A336" s="1184"/>
      <c r="B336" s="1184"/>
      <c r="C336" s="1184"/>
      <c r="D336" s="1184"/>
      <c r="E336" s="1184"/>
      <c r="F336" s="1184"/>
      <c r="G336" s="1184"/>
      <c r="H336" s="1184"/>
      <c r="I336" s="1184"/>
      <c r="J336" s="1184"/>
      <c r="K336" s="1184"/>
      <c r="L336" s="1184"/>
      <c r="M336" s="1184"/>
      <c r="N336" s="1184"/>
      <c r="O336" s="1184"/>
      <c r="P336" s="1184"/>
      <c r="Q336" s="1184"/>
      <c r="R336" s="1184"/>
      <c r="S336" s="1184"/>
      <c r="T336" s="1184"/>
      <c r="U336" s="1184"/>
      <c r="V336" s="1184"/>
      <c r="W336" s="1184"/>
      <c r="X336" s="1184"/>
      <c r="Y336" s="1184"/>
      <c r="Z336" s="1184"/>
    </row>
    <row r="337" spans="1:26" ht="15.5">
      <c r="A337" s="1184"/>
      <c r="B337" s="1186" t="s">
        <v>2269</v>
      </c>
      <c r="C337" s="1186" t="s">
        <v>154</v>
      </c>
      <c r="D337" s="1184"/>
      <c r="E337" s="1184"/>
      <c r="F337" s="1184"/>
      <c r="G337" s="1184"/>
      <c r="H337" s="1184"/>
      <c r="I337" s="1184"/>
      <c r="J337" s="1184"/>
      <c r="K337" s="1184"/>
      <c r="L337" s="1184"/>
      <c r="M337" s="1184"/>
      <c r="N337" s="1184"/>
      <c r="O337" s="1184"/>
      <c r="P337" s="1184"/>
      <c r="Q337" s="1184"/>
      <c r="R337" s="1184"/>
      <c r="S337" s="1184"/>
      <c r="T337" s="1184"/>
      <c r="U337" s="1184"/>
      <c r="V337" s="1184"/>
      <c r="W337" s="1184"/>
      <c r="X337" s="1184"/>
      <c r="Y337" s="1184"/>
      <c r="Z337" s="1184"/>
    </row>
    <row r="338" spans="1:26" ht="15.5">
      <c r="A338" s="1184"/>
      <c r="B338" s="1231" t="s">
        <v>261</v>
      </c>
      <c r="C338" s="1203">
        <f>'Revenue Assumptions'!G97/'Calendar Assumptions'!G5</f>
        <v>55166.8</v>
      </c>
      <c r="D338" s="1184"/>
      <c r="E338" s="1184"/>
      <c r="F338" s="1184"/>
      <c r="G338" s="1184"/>
      <c r="H338" s="1184"/>
      <c r="I338" s="1184"/>
      <c r="J338" s="1184"/>
      <c r="K338" s="1184"/>
      <c r="L338" s="1184"/>
      <c r="M338" s="1184"/>
      <c r="N338" s="1184"/>
      <c r="O338" s="1184"/>
      <c r="P338" s="1184"/>
      <c r="Q338" s="1184"/>
      <c r="R338" s="1184"/>
      <c r="S338" s="1184"/>
      <c r="T338" s="1184"/>
      <c r="U338" s="1184"/>
      <c r="V338" s="1184"/>
      <c r="W338" s="1184"/>
      <c r="X338" s="1184"/>
      <c r="Y338" s="1184"/>
      <c r="Z338" s="1184"/>
    </row>
    <row r="339" spans="1:26" ht="15.5">
      <c r="A339" s="1184"/>
      <c r="B339" s="1231" t="s">
        <v>263</v>
      </c>
      <c r="C339" s="1203">
        <f>'Revenue Assumptions'!G98/'Calendar Assumptions'!G6</f>
        <v>33100.080000000002</v>
      </c>
      <c r="D339" s="1184"/>
      <c r="E339" s="1184"/>
      <c r="F339" s="1184"/>
      <c r="G339" s="1184"/>
      <c r="H339" s="1184"/>
      <c r="I339" s="1184"/>
      <c r="J339" s="1184"/>
      <c r="K339" s="1184"/>
      <c r="L339" s="1184"/>
      <c r="M339" s="1184"/>
      <c r="N339" s="1184"/>
      <c r="O339" s="1184"/>
      <c r="P339" s="1184"/>
      <c r="Q339" s="1184"/>
      <c r="R339" s="1184"/>
      <c r="S339" s="1184"/>
      <c r="T339" s="1184"/>
      <c r="U339" s="1184"/>
      <c r="V339" s="1184"/>
      <c r="W339" s="1184"/>
      <c r="X339" s="1184"/>
      <c r="Y339" s="1184"/>
      <c r="Z339" s="1184"/>
    </row>
    <row r="340" spans="1:26" ht="15.5">
      <c r="A340" s="1184"/>
      <c r="B340" s="1231" t="s">
        <v>265</v>
      </c>
      <c r="C340" s="1203">
        <f>'Revenue Assumptions'!G99/'Calendar Assumptions'!G7</f>
        <v>15907.32</v>
      </c>
      <c r="D340" s="1184"/>
      <c r="E340" s="1184"/>
      <c r="F340" s="1184"/>
      <c r="G340" s="1184"/>
      <c r="H340" s="1184"/>
      <c r="I340" s="1184"/>
      <c r="J340" s="1184"/>
      <c r="K340" s="1184"/>
      <c r="L340" s="1184"/>
      <c r="M340" s="1184"/>
      <c r="N340" s="1184"/>
      <c r="O340" s="1184"/>
      <c r="P340" s="1184"/>
      <c r="Q340" s="1184"/>
      <c r="R340" s="1184"/>
      <c r="S340" s="1184"/>
      <c r="T340" s="1184"/>
      <c r="U340" s="1184"/>
      <c r="V340" s="1184"/>
      <c r="W340" s="1184"/>
      <c r="X340" s="1184"/>
      <c r="Y340" s="1184"/>
      <c r="Z340" s="1184"/>
    </row>
    <row r="341" spans="1:26" ht="15.5">
      <c r="A341" s="1184"/>
      <c r="B341" s="1231" t="s">
        <v>1541</v>
      </c>
      <c r="C341" s="1203">
        <f>'Revenue Assumptions'!G100/'Calendar Assumptions'!G8</f>
        <v>52301.340000000004</v>
      </c>
      <c r="D341" s="1184"/>
      <c r="E341" s="1184"/>
      <c r="F341" s="1184"/>
      <c r="G341" s="1184"/>
      <c r="H341" s="1184"/>
      <c r="I341" s="1184"/>
      <c r="J341" s="1184"/>
      <c r="K341" s="1184"/>
      <c r="L341" s="1184"/>
      <c r="M341" s="1184"/>
      <c r="N341" s="1184"/>
      <c r="O341" s="1184"/>
      <c r="P341" s="1184"/>
      <c r="Q341" s="1184"/>
      <c r="R341" s="1184"/>
      <c r="S341" s="1184"/>
      <c r="T341" s="1184"/>
      <c r="U341" s="1184"/>
      <c r="V341" s="1184"/>
      <c r="W341" s="1184"/>
      <c r="X341" s="1184"/>
      <c r="Y341" s="1184"/>
      <c r="Z341" s="1184"/>
    </row>
    <row r="342" spans="1:26" ht="15.5">
      <c r="A342" s="1184"/>
      <c r="B342" s="1231" t="s">
        <v>1076</v>
      </c>
      <c r="C342" s="1203">
        <f>'Revenue Assumptions'!G101/'Calendar Assumptions'!G9</f>
        <v>43443.855000000003</v>
      </c>
      <c r="D342" s="1184"/>
      <c r="E342" s="1184"/>
      <c r="F342" s="1184"/>
      <c r="G342" s="1184"/>
      <c r="H342" s="1184"/>
      <c r="I342" s="1184"/>
      <c r="J342" s="1184"/>
      <c r="K342" s="1184"/>
      <c r="L342" s="1184"/>
      <c r="M342" s="1184"/>
      <c r="N342" s="1184"/>
      <c r="O342" s="1184"/>
      <c r="P342" s="1184"/>
      <c r="Q342" s="1184"/>
      <c r="R342" s="1184"/>
      <c r="S342" s="1184"/>
      <c r="T342" s="1184"/>
      <c r="U342" s="1184"/>
      <c r="V342" s="1184"/>
      <c r="W342" s="1184"/>
      <c r="X342" s="1184"/>
      <c r="Y342" s="1184"/>
      <c r="Z342" s="1184"/>
    </row>
    <row r="343" spans="1:26" ht="15.5">
      <c r="A343" s="1184"/>
      <c r="B343" s="1231" t="s">
        <v>1078</v>
      </c>
      <c r="C343" s="1203">
        <f>'Revenue Assumptions'!G102/'Calendar Assumptions'!G10</f>
        <v>43443.855000000003</v>
      </c>
      <c r="D343" s="1184"/>
      <c r="E343" s="1184"/>
      <c r="F343" s="1184"/>
      <c r="G343" s="1184"/>
      <c r="H343" s="1184"/>
      <c r="I343" s="1184"/>
      <c r="J343" s="1184"/>
      <c r="K343" s="1184"/>
      <c r="L343" s="1184"/>
      <c r="M343" s="1184"/>
      <c r="N343" s="1184"/>
      <c r="O343" s="1184"/>
      <c r="P343" s="1184"/>
      <c r="Q343" s="1184"/>
      <c r="R343" s="1184"/>
      <c r="S343" s="1184"/>
      <c r="T343" s="1184"/>
      <c r="U343" s="1184"/>
      <c r="V343" s="1184"/>
      <c r="W343" s="1184"/>
      <c r="X343" s="1184"/>
      <c r="Y343" s="1184"/>
      <c r="Z343" s="1184"/>
    </row>
    <row r="344" spans="1:26" ht="15.5">
      <c r="A344" s="1184"/>
      <c r="B344" s="1231" t="s">
        <v>1080</v>
      </c>
      <c r="C344" s="1203">
        <f>'Revenue Assumptions'!G103/'Calendar Assumptions'!G11</f>
        <v>41200</v>
      </c>
      <c r="D344" s="1184"/>
      <c r="E344" s="1184"/>
      <c r="F344" s="1184"/>
      <c r="G344" s="1184"/>
      <c r="H344" s="1184"/>
      <c r="I344" s="1184"/>
      <c r="J344" s="1184"/>
      <c r="K344" s="1184"/>
      <c r="L344" s="1184"/>
      <c r="M344" s="1184"/>
      <c r="N344" s="1184"/>
      <c r="O344" s="1184"/>
      <c r="P344" s="1184"/>
      <c r="Q344" s="1184"/>
      <c r="R344" s="1184"/>
      <c r="S344" s="1184"/>
      <c r="T344" s="1184"/>
      <c r="U344" s="1184"/>
      <c r="V344" s="1184"/>
      <c r="W344" s="1184"/>
      <c r="X344" s="1184"/>
      <c r="Y344" s="1184"/>
      <c r="Z344" s="1184"/>
    </row>
    <row r="345" spans="1:26" ht="15.5">
      <c r="A345" s="1184"/>
      <c r="B345" s="1231" t="s">
        <v>311</v>
      </c>
      <c r="C345" s="1203">
        <f>'Revenue Assumptions'!G104/'Calendar Assumptions'!G12</f>
        <v>41200</v>
      </c>
      <c r="D345" s="1184"/>
      <c r="E345" s="1184"/>
      <c r="F345" s="1184"/>
      <c r="G345" s="1184"/>
      <c r="H345" s="1184"/>
      <c r="I345" s="1184"/>
      <c r="J345" s="1184"/>
      <c r="K345" s="1184"/>
      <c r="L345" s="1184"/>
      <c r="M345" s="1184"/>
      <c r="N345" s="1184"/>
      <c r="O345" s="1184"/>
      <c r="P345" s="1184"/>
      <c r="Q345" s="1184"/>
      <c r="R345" s="1184"/>
      <c r="S345" s="1184"/>
      <c r="T345" s="1184"/>
      <c r="U345" s="1184"/>
      <c r="V345" s="1184"/>
      <c r="W345" s="1184"/>
      <c r="X345" s="1184"/>
      <c r="Y345" s="1184"/>
      <c r="Z345" s="1184"/>
    </row>
    <row r="346" spans="1:26" ht="15.5">
      <c r="A346" s="1184"/>
      <c r="B346" s="1231" t="s">
        <v>272</v>
      </c>
      <c r="C346" s="1203">
        <f>'Revenue Assumptions'!G105/'Calendar Assumptions'!G13</f>
        <v>10300</v>
      </c>
      <c r="D346" s="1184"/>
      <c r="E346" s="1184"/>
      <c r="F346" s="1184"/>
      <c r="G346" s="1184"/>
      <c r="H346" s="1184"/>
      <c r="I346" s="1184"/>
      <c r="J346" s="1184"/>
      <c r="K346" s="1184"/>
      <c r="L346" s="1184"/>
      <c r="M346" s="1184"/>
      <c r="N346" s="1184"/>
      <c r="O346" s="1184"/>
      <c r="P346" s="1184"/>
      <c r="Q346" s="1184"/>
      <c r="R346" s="1184"/>
      <c r="S346" s="1184"/>
      <c r="T346" s="1184"/>
      <c r="U346" s="1184"/>
      <c r="V346" s="1184"/>
      <c r="W346" s="1184"/>
      <c r="X346" s="1184"/>
      <c r="Y346" s="1184"/>
      <c r="Z346" s="1184"/>
    </row>
    <row r="347" spans="1:26" ht="15.5">
      <c r="A347" s="1184"/>
      <c r="B347" s="1231" t="s">
        <v>1542</v>
      </c>
      <c r="C347" s="1203">
        <f>'Revenue Assumptions'!G106/'Calendar Assumptions'!G14</f>
        <v>20600</v>
      </c>
      <c r="D347" s="1184"/>
      <c r="E347" s="1184"/>
      <c r="F347" s="1184"/>
      <c r="G347" s="1184"/>
      <c r="H347" s="1184"/>
      <c r="I347" s="1184"/>
      <c r="J347" s="1184"/>
      <c r="K347" s="1184"/>
      <c r="L347" s="1184"/>
      <c r="M347" s="1184"/>
      <c r="N347" s="1184"/>
      <c r="O347" s="1184"/>
      <c r="P347" s="1184"/>
      <c r="Q347" s="1184"/>
      <c r="R347" s="1184"/>
      <c r="S347" s="1184"/>
      <c r="T347" s="1184"/>
      <c r="U347" s="1184"/>
      <c r="V347" s="1184"/>
      <c r="W347" s="1184"/>
      <c r="X347" s="1184"/>
      <c r="Y347" s="1184"/>
      <c r="Z347" s="1184"/>
    </row>
    <row r="348" spans="1:26" ht="15.5">
      <c r="A348" s="1184"/>
      <c r="B348" s="1231" t="s">
        <v>1543</v>
      </c>
      <c r="C348" s="1203">
        <f>'Revenue Assumptions'!G107/'Calendar Assumptions'!G15</f>
        <v>10300</v>
      </c>
      <c r="D348" s="1184"/>
      <c r="E348" s="1184"/>
      <c r="F348" s="1184"/>
      <c r="G348" s="1184"/>
      <c r="H348" s="1184"/>
      <c r="I348" s="1184"/>
      <c r="J348" s="1184"/>
      <c r="K348" s="1184"/>
      <c r="L348" s="1184"/>
      <c r="M348" s="1184"/>
      <c r="N348" s="1184"/>
      <c r="O348" s="1184"/>
      <c r="P348" s="1184"/>
      <c r="Q348" s="1184"/>
      <c r="R348" s="1184"/>
      <c r="S348" s="1184"/>
      <c r="T348" s="1184"/>
      <c r="U348" s="1184"/>
      <c r="V348" s="1184"/>
      <c r="W348" s="1184"/>
      <c r="X348" s="1184"/>
      <c r="Y348" s="1184"/>
      <c r="Z348" s="1184"/>
    </row>
    <row r="349" spans="1:26" ht="15.5">
      <c r="A349" s="1184"/>
      <c r="B349" s="1184"/>
      <c r="C349" s="1184"/>
      <c r="D349" s="1184"/>
      <c r="E349" s="1184"/>
      <c r="F349" s="1184"/>
      <c r="G349" s="1184"/>
      <c r="H349" s="1184"/>
      <c r="I349" s="1184"/>
      <c r="J349" s="1184"/>
      <c r="K349" s="1184"/>
      <c r="L349" s="1184"/>
      <c r="M349" s="1184"/>
      <c r="N349" s="1184"/>
      <c r="O349" s="1184"/>
      <c r="P349" s="1184"/>
      <c r="Q349" s="1184"/>
      <c r="R349" s="1184"/>
      <c r="S349" s="1184"/>
      <c r="T349" s="1184"/>
      <c r="U349" s="1184"/>
      <c r="V349" s="1184"/>
      <c r="W349" s="1184"/>
      <c r="X349" s="1184"/>
      <c r="Y349" s="1184"/>
      <c r="Z349" s="1184"/>
    </row>
    <row r="350" spans="1:26" ht="15.5">
      <c r="A350" s="1184"/>
      <c r="B350" s="1186" t="s">
        <v>2269</v>
      </c>
      <c r="C350" s="1186" t="s">
        <v>155</v>
      </c>
      <c r="D350" s="1184"/>
      <c r="E350" s="1184"/>
      <c r="F350" s="1184"/>
      <c r="G350" s="1184"/>
      <c r="H350" s="1184"/>
      <c r="I350" s="1184"/>
      <c r="J350" s="1184"/>
      <c r="K350" s="1184"/>
      <c r="L350" s="1184"/>
      <c r="M350" s="1184"/>
      <c r="N350" s="1184"/>
      <c r="O350" s="1184"/>
      <c r="P350" s="1184"/>
      <c r="Q350" s="1184"/>
      <c r="R350" s="1184"/>
      <c r="S350" s="1184"/>
      <c r="T350" s="1184"/>
      <c r="U350" s="1184"/>
      <c r="V350" s="1184"/>
      <c r="W350" s="1184"/>
      <c r="X350" s="1184"/>
      <c r="Y350" s="1184"/>
      <c r="Z350" s="1184"/>
    </row>
    <row r="351" spans="1:26" ht="15.5">
      <c r="A351" s="1184"/>
      <c r="B351" s="1231" t="s">
        <v>261</v>
      </c>
      <c r="C351" s="1203">
        <f>'Revenue Assumptions'!H97/'Calendar Assumptions'!H5</f>
        <v>56821.804000000004</v>
      </c>
      <c r="D351" s="1184"/>
      <c r="E351" s="1184"/>
      <c r="F351" s="1184"/>
      <c r="G351" s="1184"/>
      <c r="H351" s="1184"/>
      <c r="I351" s="1184"/>
      <c r="J351" s="1184"/>
      <c r="K351" s="1184"/>
      <c r="L351" s="1184"/>
      <c r="M351" s="1184"/>
      <c r="N351" s="1184"/>
      <c r="O351" s="1184"/>
      <c r="P351" s="1184"/>
      <c r="Q351" s="1184"/>
      <c r="R351" s="1184"/>
      <c r="S351" s="1184"/>
      <c r="T351" s="1184"/>
      <c r="U351" s="1184"/>
      <c r="V351" s="1184"/>
      <c r="W351" s="1184"/>
      <c r="X351" s="1184"/>
      <c r="Y351" s="1184"/>
      <c r="Z351" s="1184"/>
    </row>
    <row r="352" spans="1:26" ht="15.5">
      <c r="A352" s="1184"/>
      <c r="B352" s="1231" t="s">
        <v>263</v>
      </c>
      <c r="C352" s="1203">
        <f>'Revenue Assumptions'!H98/'Calendar Assumptions'!H6</f>
        <v>34093.082399999999</v>
      </c>
      <c r="D352" s="1184"/>
      <c r="E352" s="1184"/>
      <c r="F352" s="1184"/>
      <c r="G352" s="1184"/>
      <c r="H352" s="1184"/>
      <c r="I352" s="1184"/>
      <c r="J352" s="1184"/>
      <c r="K352" s="1184"/>
      <c r="L352" s="1184"/>
      <c r="M352" s="1184"/>
      <c r="N352" s="1184"/>
      <c r="O352" s="1184"/>
      <c r="P352" s="1184"/>
      <c r="Q352" s="1184"/>
      <c r="R352" s="1184"/>
      <c r="S352" s="1184"/>
      <c r="T352" s="1184"/>
      <c r="U352" s="1184"/>
      <c r="V352" s="1184"/>
      <c r="W352" s="1184"/>
      <c r="X352" s="1184"/>
      <c r="Y352" s="1184"/>
      <c r="Z352" s="1184"/>
    </row>
    <row r="353" spans="1:26" ht="15.5">
      <c r="A353" s="1184"/>
      <c r="B353" s="1231" t="s">
        <v>265</v>
      </c>
      <c r="C353" s="1203">
        <f>'Revenue Assumptions'!H99/'Calendar Assumptions'!H7</f>
        <v>16384.5396</v>
      </c>
      <c r="D353" s="1184"/>
      <c r="E353" s="1184"/>
      <c r="F353" s="1184"/>
      <c r="G353" s="1184"/>
      <c r="H353" s="1184"/>
      <c r="I353" s="1184"/>
      <c r="J353" s="1184"/>
      <c r="K353" s="1184"/>
      <c r="L353" s="1184"/>
      <c r="M353" s="1184"/>
      <c r="N353" s="1184"/>
      <c r="O353" s="1184"/>
      <c r="P353" s="1184"/>
      <c r="Q353" s="1184"/>
      <c r="R353" s="1184"/>
      <c r="S353" s="1184"/>
      <c r="T353" s="1184"/>
      <c r="U353" s="1184"/>
      <c r="V353" s="1184"/>
      <c r="W353" s="1184"/>
      <c r="X353" s="1184"/>
      <c r="Y353" s="1184"/>
      <c r="Z353" s="1184"/>
    </row>
    <row r="354" spans="1:26" ht="15.5">
      <c r="A354" s="1184"/>
      <c r="B354" s="1231" t="s">
        <v>1541</v>
      </c>
      <c r="C354" s="1203">
        <f>'Revenue Assumptions'!H100/'Calendar Assumptions'!H8</f>
        <v>53870.380200000007</v>
      </c>
      <c r="D354" s="1184"/>
      <c r="E354" s="1184"/>
      <c r="F354" s="1184"/>
      <c r="G354" s="1184"/>
      <c r="H354" s="1184"/>
      <c r="I354" s="1184"/>
      <c r="J354" s="1184"/>
      <c r="K354" s="1184"/>
      <c r="L354" s="1184"/>
      <c r="M354" s="1184"/>
      <c r="N354" s="1184"/>
      <c r="O354" s="1184"/>
      <c r="P354" s="1184"/>
      <c r="Q354" s="1184"/>
      <c r="R354" s="1184"/>
      <c r="S354" s="1184"/>
      <c r="T354" s="1184"/>
      <c r="U354" s="1184"/>
      <c r="V354" s="1184"/>
      <c r="W354" s="1184"/>
      <c r="X354" s="1184"/>
      <c r="Y354" s="1184"/>
      <c r="Z354" s="1184"/>
    </row>
    <row r="355" spans="1:26" ht="15.5">
      <c r="A355" s="1184"/>
      <c r="B355" s="1231" t="s">
        <v>1076</v>
      </c>
      <c r="C355" s="1203">
        <f>'Revenue Assumptions'!H101/'Calendar Assumptions'!H9</f>
        <v>44747.17065</v>
      </c>
      <c r="D355" s="1184"/>
      <c r="E355" s="1184"/>
      <c r="F355" s="1184"/>
      <c r="G355" s="1184"/>
      <c r="H355" s="1184"/>
      <c r="I355" s="1184"/>
      <c r="J355" s="1184"/>
      <c r="K355" s="1184"/>
      <c r="L355" s="1184"/>
      <c r="M355" s="1184"/>
      <c r="N355" s="1184"/>
      <c r="O355" s="1184"/>
      <c r="P355" s="1184"/>
      <c r="Q355" s="1184"/>
      <c r="R355" s="1184"/>
      <c r="S355" s="1184"/>
      <c r="T355" s="1184"/>
      <c r="U355" s="1184"/>
      <c r="V355" s="1184"/>
      <c r="W355" s="1184"/>
      <c r="X355" s="1184"/>
      <c r="Y355" s="1184"/>
      <c r="Z355" s="1184"/>
    </row>
    <row r="356" spans="1:26" ht="15.5">
      <c r="A356" s="1184"/>
      <c r="B356" s="1231" t="s">
        <v>1078</v>
      </c>
      <c r="C356" s="1203">
        <f>'Revenue Assumptions'!H102/'Calendar Assumptions'!H10</f>
        <v>44747.17065</v>
      </c>
      <c r="D356" s="1184"/>
      <c r="E356" s="1184"/>
      <c r="F356" s="1184"/>
      <c r="G356" s="1184"/>
      <c r="H356" s="1184"/>
      <c r="I356" s="1184"/>
      <c r="J356" s="1184"/>
      <c r="K356" s="1184"/>
      <c r="L356" s="1184"/>
      <c r="M356" s="1184"/>
      <c r="N356" s="1184"/>
      <c r="O356" s="1184"/>
      <c r="P356" s="1184"/>
      <c r="Q356" s="1184"/>
      <c r="R356" s="1184"/>
      <c r="S356" s="1184"/>
      <c r="T356" s="1184"/>
      <c r="U356" s="1184"/>
      <c r="V356" s="1184"/>
      <c r="W356" s="1184"/>
      <c r="X356" s="1184"/>
      <c r="Y356" s="1184"/>
      <c r="Z356" s="1184"/>
    </row>
    <row r="357" spans="1:26" ht="15.5">
      <c r="A357" s="1184"/>
      <c r="B357" s="1231" t="s">
        <v>1080</v>
      </c>
      <c r="C357" s="1203">
        <f>'Revenue Assumptions'!H103/'Calendar Assumptions'!H11</f>
        <v>42436</v>
      </c>
      <c r="D357" s="1184"/>
      <c r="E357" s="1184"/>
      <c r="F357" s="1184"/>
      <c r="G357" s="1184"/>
      <c r="H357" s="1184"/>
      <c r="I357" s="1184"/>
      <c r="J357" s="1184"/>
      <c r="K357" s="1184"/>
      <c r="L357" s="1184"/>
      <c r="M357" s="1184"/>
      <c r="N357" s="1184"/>
      <c r="O357" s="1184"/>
      <c r="P357" s="1184"/>
      <c r="Q357" s="1184"/>
      <c r="R357" s="1184"/>
      <c r="S357" s="1184"/>
      <c r="T357" s="1184"/>
      <c r="U357" s="1184"/>
      <c r="V357" s="1184"/>
      <c r="W357" s="1184"/>
      <c r="X357" s="1184"/>
      <c r="Y357" s="1184"/>
      <c r="Z357" s="1184"/>
    </row>
    <row r="358" spans="1:26" ht="15.5">
      <c r="A358" s="1184"/>
      <c r="B358" s="1231" t="s">
        <v>311</v>
      </c>
      <c r="C358" s="1203">
        <f>'Revenue Assumptions'!H104/'Calendar Assumptions'!H12</f>
        <v>42436</v>
      </c>
      <c r="D358" s="1184"/>
      <c r="E358" s="1184"/>
      <c r="F358" s="1184"/>
      <c r="G358" s="1184"/>
      <c r="H358" s="1184"/>
      <c r="I358" s="1184"/>
      <c r="J358" s="1184"/>
      <c r="K358" s="1184"/>
      <c r="L358" s="1184"/>
      <c r="M358" s="1184"/>
      <c r="N358" s="1184"/>
      <c r="O358" s="1184"/>
      <c r="P358" s="1184"/>
      <c r="Q358" s="1184"/>
      <c r="R358" s="1184"/>
      <c r="S358" s="1184"/>
      <c r="T358" s="1184"/>
      <c r="U358" s="1184"/>
      <c r="V358" s="1184"/>
      <c r="W358" s="1184"/>
      <c r="X358" s="1184"/>
      <c r="Y358" s="1184"/>
      <c r="Z358" s="1184"/>
    </row>
    <row r="359" spans="1:26" ht="15.5">
      <c r="A359" s="1184"/>
      <c r="B359" s="1231" t="s">
        <v>272</v>
      </c>
      <c r="C359" s="1203">
        <f>'Revenue Assumptions'!H105/'Calendar Assumptions'!H13</f>
        <v>10609</v>
      </c>
      <c r="D359" s="1184"/>
      <c r="E359" s="1184"/>
      <c r="F359" s="1184"/>
      <c r="G359" s="1184"/>
      <c r="H359" s="1184"/>
      <c r="I359" s="1184"/>
      <c r="J359" s="1184"/>
      <c r="K359" s="1184"/>
      <c r="L359" s="1184"/>
      <c r="M359" s="1184"/>
      <c r="N359" s="1184"/>
      <c r="O359" s="1184"/>
      <c r="P359" s="1184"/>
      <c r="Q359" s="1184"/>
      <c r="R359" s="1184"/>
      <c r="S359" s="1184"/>
      <c r="T359" s="1184"/>
      <c r="U359" s="1184"/>
      <c r="V359" s="1184"/>
      <c r="W359" s="1184"/>
      <c r="X359" s="1184"/>
      <c r="Y359" s="1184"/>
      <c r="Z359" s="1184"/>
    </row>
    <row r="360" spans="1:26" ht="15.5">
      <c r="A360" s="1184"/>
      <c r="B360" s="1231" t="s">
        <v>1542</v>
      </c>
      <c r="C360" s="1203">
        <f>'Revenue Assumptions'!H106/'Calendar Assumptions'!H14</f>
        <v>21218</v>
      </c>
      <c r="D360" s="1184"/>
      <c r="E360" s="1184"/>
      <c r="F360" s="1184"/>
      <c r="G360" s="1184"/>
      <c r="H360" s="1184"/>
      <c r="I360" s="1184"/>
      <c r="J360" s="1184"/>
      <c r="K360" s="1184"/>
      <c r="L360" s="1184"/>
      <c r="M360" s="1184"/>
      <c r="N360" s="1184"/>
      <c r="O360" s="1184"/>
      <c r="P360" s="1184"/>
      <c r="Q360" s="1184"/>
      <c r="R360" s="1184"/>
      <c r="S360" s="1184"/>
      <c r="T360" s="1184"/>
      <c r="U360" s="1184"/>
      <c r="V360" s="1184"/>
      <c r="W360" s="1184"/>
      <c r="X360" s="1184"/>
      <c r="Y360" s="1184"/>
      <c r="Z360" s="1184"/>
    </row>
    <row r="361" spans="1:26" ht="15.5">
      <c r="A361" s="1184"/>
      <c r="B361" s="1231" t="s">
        <v>1543</v>
      </c>
      <c r="C361" s="1203">
        <f>'Revenue Assumptions'!H107/'Calendar Assumptions'!H15</f>
        <v>10609</v>
      </c>
      <c r="D361" s="1184"/>
      <c r="E361" s="1184"/>
      <c r="F361" s="1184"/>
      <c r="G361" s="1184"/>
      <c r="H361" s="1184"/>
      <c r="I361" s="1184"/>
      <c r="J361" s="1184"/>
      <c r="K361" s="1184"/>
      <c r="L361" s="1184"/>
      <c r="M361" s="1184"/>
      <c r="N361" s="1184"/>
      <c r="O361" s="1184"/>
      <c r="P361" s="1184"/>
      <c r="Q361" s="1184"/>
      <c r="R361" s="1184"/>
      <c r="S361" s="1184"/>
      <c r="T361" s="1184"/>
      <c r="U361" s="1184"/>
      <c r="V361" s="1184"/>
      <c r="W361" s="1184"/>
      <c r="X361" s="1184"/>
      <c r="Y361" s="1184"/>
      <c r="Z361" s="1184"/>
    </row>
    <row r="362" spans="1:26" ht="15.5">
      <c r="A362" s="1184"/>
      <c r="B362" s="1184"/>
      <c r="C362" s="1184"/>
      <c r="D362" s="1184"/>
      <c r="E362" s="1184"/>
      <c r="F362" s="1184"/>
      <c r="G362" s="1184"/>
      <c r="H362" s="1184"/>
      <c r="I362" s="1184"/>
      <c r="J362" s="1184"/>
      <c r="K362" s="1184"/>
      <c r="L362" s="1184"/>
      <c r="M362" s="1184"/>
      <c r="N362" s="1184"/>
      <c r="O362" s="1184"/>
      <c r="P362" s="1184"/>
      <c r="Q362" s="1184"/>
      <c r="R362" s="1184"/>
      <c r="S362" s="1184"/>
      <c r="T362" s="1184"/>
      <c r="U362" s="1184"/>
      <c r="V362" s="1184"/>
      <c r="W362" s="1184"/>
      <c r="X362" s="1184"/>
      <c r="Y362" s="1184"/>
      <c r="Z362" s="1184"/>
    </row>
    <row r="363" spans="1:26" ht="15.5">
      <c r="A363" s="1184"/>
      <c r="B363" s="1186" t="s">
        <v>2269</v>
      </c>
      <c r="C363" s="1186" t="s">
        <v>201</v>
      </c>
      <c r="D363" s="1184"/>
      <c r="E363" s="1184"/>
      <c r="F363" s="1184"/>
      <c r="G363" s="1184"/>
      <c r="H363" s="1184"/>
      <c r="I363" s="1184"/>
      <c r="J363" s="1184"/>
      <c r="K363" s="1184"/>
      <c r="L363" s="1184"/>
      <c r="M363" s="1184"/>
      <c r="N363" s="1184"/>
      <c r="O363" s="1184"/>
      <c r="P363" s="1184"/>
      <c r="Q363" s="1184"/>
      <c r="R363" s="1184"/>
      <c r="S363" s="1184"/>
      <c r="T363" s="1184"/>
      <c r="U363" s="1184"/>
      <c r="V363" s="1184"/>
      <c r="W363" s="1184"/>
      <c r="X363" s="1184"/>
      <c r="Y363" s="1184"/>
      <c r="Z363" s="1184"/>
    </row>
    <row r="364" spans="1:26" ht="15.5">
      <c r="A364" s="1184"/>
      <c r="B364" s="1231" t="s">
        <v>261</v>
      </c>
      <c r="C364" s="1203">
        <f>'Revenue Assumptions'!I97/'Calendar Assumptions'!I5</f>
        <v>58526.458119999996</v>
      </c>
      <c r="D364" s="1184"/>
      <c r="E364" s="1184"/>
      <c r="F364" s="1184"/>
      <c r="G364" s="1184"/>
      <c r="H364" s="1184"/>
      <c r="I364" s="1184"/>
      <c r="J364" s="1184"/>
      <c r="K364" s="1184"/>
      <c r="L364" s="1184"/>
      <c r="M364" s="1184"/>
      <c r="N364" s="1184"/>
      <c r="O364" s="1184"/>
      <c r="P364" s="1184"/>
      <c r="Q364" s="1184"/>
      <c r="R364" s="1184"/>
      <c r="S364" s="1184"/>
      <c r="T364" s="1184"/>
      <c r="U364" s="1184"/>
      <c r="V364" s="1184"/>
      <c r="W364" s="1184"/>
      <c r="X364" s="1184"/>
      <c r="Y364" s="1184"/>
      <c r="Z364" s="1184"/>
    </row>
    <row r="365" spans="1:26" ht="15.5">
      <c r="A365" s="1184"/>
      <c r="B365" s="1231" t="s">
        <v>263</v>
      </c>
      <c r="C365" s="1203">
        <f>'Revenue Assumptions'!I98/'Calendar Assumptions'!I6</f>
        <v>35115.874872</v>
      </c>
      <c r="D365" s="1184"/>
      <c r="E365" s="1184"/>
      <c r="F365" s="1184"/>
      <c r="G365" s="1184"/>
      <c r="H365" s="1184"/>
      <c r="I365" s="1184"/>
      <c r="J365" s="1184"/>
      <c r="K365" s="1184"/>
      <c r="L365" s="1184"/>
      <c r="M365" s="1184"/>
      <c r="N365" s="1184"/>
      <c r="O365" s="1184"/>
      <c r="P365" s="1184"/>
      <c r="Q365" s="1184"/>
      <c r="R365" s="1184"/>
      <c r="S365" s="1184"/>
      <c r="T365" s="1184"/>
      <c r="U365" s="1184"/>
      <c r="V365" s="1184"/>
      <c r="W365" s="1184"/>
      <c r="X365" s="1184"/>
      <c r="Y365" s="1184"/>
      <c r="Z365" s="1184"/>
    </row>
    <row r="366" spans="1:26" ht="15.5">
      <c r="A366" s="1184"/>
      <c r="B366" s="1231" t="s">
        <v>265</v>
      </c>
      <c r="C366" s="1203">
        <f>'Revenue Assumptions'!I99/'Calendar Assumptions'!I7</f>
        <v>16876.075788000002</v>
      </c>
      <c r="D366" s="1184"/>
      <c r="E366" s="1184"/>
      <c r="F366" s="1184"/>
      <c r="G366" s="1184"/>
      <c r="H366" s="1184"/>
      <c r="I366" s="1184"/>
      <c r="J366" s="1184"/>
      <c r="K366" s="1184"/>
      <c r="L366" s="1184"/>
      <c r="M366" s="1184"/>
      <c r="N366" s="1184"/>
      <c r="O366" s="1184"/>
      <c r="P366" s="1184"/>
      <c r="Q366" s="1184"/>
      <c r="R366" s="1184"/>
      <c r="S366" s="1184"/>
      <c r="T366" s="1184"/>
      <c r="U366" s="1184"/>
      <c r="V366" s="1184"/>
      <c r="W366" s="1184"/>
      <c r="X366" s="1184"/>
      <c r="Y366" s="1184"/>
      <c r="Z366" s="1184"/>
    </row>
    <row r="367" spans="1:26" ht="15.5">
      <c r="A367" s="1184"/>
      <c r="B367" s="1231" t="s">
        <v>1541</v>
      </c>
      <c r="C367" s="1203">
        <f>'Revenue Assumptions'!I100/'Calendar Assumptions'!I8</f>
        <v>55486.491606000003</v>
      </c>
      <c r="D367" s="1184"/>
      <c r="E367" s="1184"/>
      <c r="F367" s="1184"/>
      <c r="G367" s="1184"/>
      <c r="H367" s="1184"/>
      <c r="I367" s="1184"/>
      <c r="J367" s="1184"/>
      <c r="K367" s="1184"/>
      <c r="L367" s="1184"/>
      <c r="M367" s="1184"/>
      <c r="N367" s="1184"/>
      <c r="O367" s="1184"/>
      <c r="P367" s="1184"/>
      <c r="Q367" s="1184"/>
      <c r="R367" s="1184"/>
      <c r="S367" s="1184"/>
      <c r="T367" s="1184"/>
      <c r="U367" s="1184"/>
      <c r="V367" s="1184"/>
      <c r="W367" s="1184"/>
      <c r="X367" s="1184"/>
      <c r="Y367" s="1184"/>
      <c r="Z367" s="1184"/>
    </row>
    <row r="368" spans="1:26" ht="15.5">
      <c r="A368" s="1184"/>
      <c r="B368" s="1231" t="s">
        <v>1076</v>
      </c>
      <c r="C368" s="1203">
        <f>'Revenue Assumptions'!I101/'Calendar Assumptions'!I9</f>
        <v>46089.585769500001</v>
      </c>
      <c r="D368" s="1184"/>
      <c r="E368" s="1184"/>
      <c r="F368" s="1184"/>
      <c r="G368" s="1184"/>
      <c r="H368" s="1184"/>
      <c r="I368" s="1184"/>
      <c r="J368" s="1184"/>
      <c r="K368" s="1184"/>
      <c r="L368" s="1184"/>
      <c r="M368" s="1184"/>
      <c r="N368" s="1184"/>
      <c r="O368" s="1184"/>
      <c r="P368" s="1184"/>
      <c r="Q368" s="1184"/>
      <c r="R368" s="1184"/>
      <c r="S368" s="1184"/>
      <c r="T368" s="1184"/>
      <c r="U368" s="1184"/>
      <c r="V368" s="1184"/>
      <c r="W368" s="1184"/>
      <c r="X368" s="1184"/>
      <c r="Y368" s="1184"/>
      <c r="Z368" s="1184"/>
    </row>
    <row r="369" spans="1:26" ht="15.5">
      <c r="A369" s="1184"/>
      <c r="B369" s="1231" t="s">
        <v>1078</v>
      </c>
      <c r="C369" s="1203">
        <f>'Revenue Assumptions'!I102/'Calendar Assumptions'!I10</f>
        <v>46089.585769500001</v>
      </c>
      <c r="D369" s="1184"/>
      <c r="E369" s="1184"/>
      <c r="F369" s="1184"/>
      <c r="G369" s="1184"/>
      <c r="H369" s="1184"/>
      <c r="I369" s="1184"/>
      <c r="J369" s="1184"/>
      <c r="K369" s="1184"/>
      <c r="L369" s="1184"/>
      <c r="M369" s="1184"/>
      <c r="N369" s="1184"/>
      <c r="O369" s="1184"/>
      <c r="P369" s="1184"/>
      <c r="Q369" s="1184"/>
      <c r="R369" s="1184"/>
      <c r="S369" s="1184"/>
      <c r="T369" s="1184"/>
      <c r="U369" s="1184"/>
      <c r="V369" s="1184"/>
      <c r="W369" s="1184"/>
      <c r="X369" s="1184"/>
      <c r="Y369" s="1184"/>
      <c r="Z369" s="1184"/>
    </row>
    <row r="370" spans="1:26" ht="15.5">
      <c r="A370" s="1184"/>
      <c r="B370" s="1231" t="s">
        <v>1080</v>
      </c>
      <c r="C370" s="1203">
        <f>'Revenue Assumptions'!I103/'Calendar Assumptions'!I11</f>
        <v>43709.079999999994</v>
      </c>
      <c r="D370" s="1184"/>
      <c r="E370" s="1184"/>
      <c r="F370" s="1184"/>
      <c r="G370" s="1184"/>
      <c r="H370" s="1184"/>
      <c r="I370" s="1184"/>
      <c r="J370" s="1184"/>
      <c r="K370" s="1184"/>
      <c r="L370" s="1184"/>
      <c r="M370" s="1184"/>
      <c r="N370" s="1184"/>
      <c r="O370" s="1184"/>
      <c r="P370" s="1184"/>
      <c r="Q370" s="1184"/>
      <c r="R370" s="1184"/>
      <c r="S370" s="1184"/>
      <c r="T370" s="1184"/>
      <c r="U370" s="1184"/>
      <c r="V370" s="1184"/>
      <c r="W370" s="1184"/>
      <c r="X370" s="1184"/>
      <c r="Y370" s="1184"/>
      <c r="Z370" s="1184"/>
    </row>
    <row r="371" spans="1:26" ht="15.5">
      <c r="A371" s="1184"/>
      <c r="B371" s="1231" t="s">
        <v>311</v>
      </c>
      <c r="C371" s="1203">
        <f>'Revenue Assumptions'!I104/'Calendar Assumptions'!I12</f>
        <v>43709.08</v>
      </c>
      <c r="D371" s="1184"/>
      <c r="E371" s="1184"/>
      <c r="F371" s="1184"/>
      <c r="G371" s="1184"/>
      <c r="H371" s="1184"/>
      <c r="I371" s="1184"/>
      <c r="J371" s="1184"/>
      <c r="K371" s="1184"/>
      <c r="L371" s="1184"/>
      <c r="M371" s="1184"/>
      <c r="N371" s="1184"/>
      <c r="O371" s="1184"/>
      <c r="P371" s="1184"/>
      <c r="Q371" s="1184"/>
      <c r="R371" s="1184"/>
      <c r="S371" s="1184"/>
      <c r="T371" s="1184"/>
      <c r="U371" s="1184"/>
      <c r="V371" s="1184"/>
      <c r="W371" s="1184"/>
      <c r="X371" s="1184"/>
      <c r="Y371" s="1184"/>
      <c r="Z371" s="1184"/>
    </row>
    <row r="372" spans="1:26" ht="15.5">
      <c r="A372" s="1184"/>
      <c r="B372" s="1231" t="s">
        <v>272</v>
      </c>
      <c r="C372" s="1203">
        <f>'Revenue Assumptions'!I105/'Calendar Assumptions'!I13</f>
        <v>10927.269999999999</v>
      </c>
      <c r="D372" s="1184"/>
      <c r="E372" s="1184"/>
      <c r="F372" s="1184"/>
      <c r="G372" s="1184"/>
      <c r="H372" s="1184"/>
      <c r="I372" s="1184"/>
      <c r="J372" s="1184"/>
      <c r="K372" s="1184"/>
      <c r="L372" s="1184"/>
      <c r="M372" s="1184"/>
      <c r="N372" s="1184"/>
      <c r="O372" s="1184"/>
      <c r="P372" s="1184"/>
      <c r="Q372" s="1184"/>
      <c r="R372" s="1184"/>
      <c r="S372" s="1184"/>
      <c r="T372" s="1184"/>
      <c r="U372" s="1184"/>
      <c r="V372" s="1184"/>
      <c r="W372" s="1184"/>
      <c r="X372" s="1184"/>
      <c r="Y372" s="1184"/>
      <c r="Z372" s="1184"/>
    </row>
    <row r="373" spans="1:26" ht="15.5">
      <c r="A373" s="1184"/>
      <c r="B373" s="1231" t="s">
        <v>1542</v>
      </c>
      <c r="C373" s="1203">
        <f>'Revenue Assumptions'!I106/'Calendar Assumptions'!I14</f>
        <v>21854.54</v>
      </c>
      <c r="D373" s="1184"/>
      <c r="E373" s="1184"/>
      <c r="F373" s="1184"/>
      <c r="G373" s="1184"/>
      <c r="H373" s="1184"/>
      <c r="I373" s="1184"/>
      <c r="J373" s="1184"/>
      <c r="K373" s="1184"/>
      <c r="L373" s="1184"/>
      <c r="M373" s="1184"/>
      <c r="N373" s="1184"/>
      <c r="O373" s="1184"/>
      <c r="P373" s="1184"/>
      <c r="Q373" s="1184"/>
      <c r="R373" s="1184"/>
      <c r="S373" s="1184"/>
      <c r="T373" s="1184"/>
      <c r="U373" s="1184"/>
      <c r="V373" s="1184"/>
      <c r="W373" s="1184"/>
      <c r="X373" s="1184"/>
      <c r="Y373" s="1184"/>
      <c r="Z373" s="1184"/>
    </row>
    <row r="374" spans="1:26" ht="15.5">
      <c r="A374" s="1184"/>
      <c r="B374" s="1231" t="s">
        <v>1543</v>
      </c>
      <c r="C374" s="1203">
        <f>'Revenue Assumptions'!I107/'Calendar Assumptions'!I15</f>
        <v>10927.27</v>
      </c>
      <c r="D374" s="1184"/>
      <c r="E374" s="1184"/>
      <c r="F374" s="1184"/>
      <c r="G374" s="1184"/>
      <c r="H374" s="1184"/>
      <c r="I374" s="1184"/>
      <c r="J374" s="1184"/>
      <c r="K374" s="1184"/>
      <c r="L374" s="1184"/>
      <c r="M374" s="1184"/>
      <c r="N374" s="1184"/>
      <c r="O374" s="1184"/>
      <c r="P374" s="1184"/>
      <c r="Q374" s="1184"/>
      <c r="R374" s="1184"/>
      <c r="S374" s="1184"/>
      <c r="T374" s="1184"/>
      <c r="U374" s="1184"/>
      <c r="V374" s="1184"/>
      <c r="W374" s="1184"/>
      <c r="X374" s="1184"/>
      <c r="Y374" s="1184"/>
      <c r="Z374" s="1184"/>
    </row>
    <row r="375" spans="1:26" ht="15.5">
      <c r="A375" s="1184"/>
      <c r="B375" s="1184"/>
      <c r="C375" s="1184"/>
      <c r="D375" s="1184"/>
      <c r="E375" s="1184"/>
      <c r="F375" s="1184"/>
      <c r="G375" s="1184"/>
      <c r="H375" s="1184"/>
      <c r="I375" s="1184"/>
      <c r="J375" s="1184"/>
      <c r="K375" s="1184"/>
      <c r="L375" s="1184"/>
      <c r="M375" s="1184"/>
      <c r="N375" s="1184"/>
      <c r="O375" s="1184"/>
      <c r="P375" s="1184"/>
      <c r="Q375" s="1184"/>
      <c r="R375" s="1184"/>
      <c r="S375" s="1184"/>
      <c r="T375" s="1184"/>
      <c r="U375" s="1184"/>
      <c r="V375" s="1184"/>
      <c r="W375" s="1184"/>
      <c r="X375" s="1184"/>
      <c r="Y375" s="1184"/>
      <c r="Z375" s="1184"/>
    </row>
    <row r="376" spans="1:26" ht="15.5">
      <c r="A376" s="1184"/>
      <c r="B376" s="1184"/>
      <c r="C376" s="1184"/>
      <c r="D376" s="1184"/>
      <c r="E376" s="1184"/>
      <c r="F376" s="1184"/>
      <c r="G376" s="1184"/>
      <c r="H376" s="1184"/>
      <c r="I376" s="1184"/>
      <c r="J376" s="1184"/>
      <c r="K376" s="1184"/>
      <c r="L376" s="1184"/>
      <c r="M376" s="1184"/>
      <c r="N376" s="1184"/>
      <c r="O376" s="1184"/>
      <c r="P376" s="1184"/>
      <c r="Q376" s="1184"/>
      <c r="R376" s="1184"/>
      <c r="S376" s="1184"/>
      <c r="T376" s="1184"/>
      <c r="U376" s="1184"/>
      <c r="V376" s="1184"/>
      <c r="W376" s="1184"/>
      <c r="X376" s="1184"/>
      <c r="Y376" s="1184"/>
      <c r="Z376" s="1184"/>
    </row>
    <row r="377" spans="1:26" ht="15.5">
      <c r="A377" s="1184"/>
      <c r="B377" s="1184"/>
      <c r="C377" s="1184"/>
      <c r="D377" s="1184"/>
      <c r="E377" s="1184"/>
      <c r="F377" s="1184"/>
      <c r="G377" s="1184"/>
      <c r="H377" s="1184"/>
      <c r="I377" s="1184"/>
      <c r="J377" s="1184"/>
      <c r="K377" s="1184"/>
      <c r="L377" s="1184"/>
      <c r="M377" s="1184"/>
      <c r="N377" s="1184"/>
      <c r="O377" s="1184"/>
      <c r="P377" s="1184"/>
      <c r="Q377" s="1184"/>
      <c r="R377" s="1184"/>
      <c r="S377" s="1184"/>
      <c r="T377" s="1184"/>
      <c r="U377" s="1184"/>
      <c r="V377" s="1184"/>
      <c r="W377" s="1184"/>
      <c r="X377" s="1184"/>
      <c r="Y377" s="1184"/>
      <c r="Z377" s="1184"/>
    </row>
    <row r="378" spans="1:26" ht="15.5">
      <c r="A378" s="1184"/>
      <c r="B378" s="1184"/>
      <c r="C378" s="1184"/>
      <c r="D378" s="1184"/>
      <c r="E378" s="1184"/>
      <c r="F378" s="1184"/>
      <c r="G378" s="1184"/>
      <c r="H378" s="1184"/>
      <c r="I378" s="1184"/>
      <c r="J378" s="1184"/>
      <c r="K378" s="1184"/>
      <c r="L378" s="1184"/>
      <c r="M378" s="1184"/>
      <c r="N378" s="1184"/>
      <c r="O378" s="1184"/>
      <c r="P378" s="1184"/>
      <c r="Q378" s="1184"/>
      <c r="R378" s="1184"/>
      <c r="S378" s="1184"/>
      <c r="T378" s="1184"/>
      <c r="U378" s="1184"/>
      <c r="V378" s="1184"/>
      <c r="W378" s="1184"/>
      <c r="X378" s="1184"/>
      <c r="Y378" s="1184"/>
      <c r="Z378" s="1184"/>
    </row>
    <row r="379" spans="1:26" ht="15.5">
      <c r="A379" s="1184"/>
      <c r="B379" s="1184"/>
      <c r="C379" s="1184"/>
      <c r="D379" s="1184"/>
      <c r="E379" s="1184"/>
      <c r="F379" s="1184"/>
      <c r="G379" s="1184"/>
      <c r="H379" s="1184"/>
      <c r="I379" s="1184"/>
      <c r="J379" s="1184"/>
      <c r="K379" s="1184"/>
      <c r="L379" s="1184"/>
      <c r="M379" s="1184"/>
      <c r="N379" s="1184"/>
      <c r="O379" s="1184"/>
      <c r="P379" s="1184"/>
      <c r="Q379" s="1184"/>
      <c r="R379" s="1184"/>
      <c r="S379" s="1184"/>
      <c r="T379" s="1184"/>
      <c r="U379" s="1184"/>
      <c r="V379" s="1184"/>
      <c r="W379" s="1184"/>
      <c r="X379" s="1184"/>
      <c r="Y379" s="1184"/>
      <c r="Z379" s="1184"/>
    </row>
    <row r="380" spans="1:26" ht="15.5">
      <c r="A380" s="1184"/>
      <c r="B380" s="1184"/>
      <c r="C380" s="1184"/>
      <c r="D380" s="1184"/>
      <c r="E380" s="1184"/>
      <c r="F380" s="1184"/>
      <c r="G380" s="1184"/>
      <c r="H380" s="1184"/>
      <c r="I380" s="1184"/>
      <c r="J380" s="1184"/>
      <c r="K380" s="1184"/>
      <c r="L380" s="1184"/>
      <c r="M380" s="1184"/>
      <c r="N380" s="1184"/>
      <c r="O380" s="1184"/>
      <c r="P380" s="1184"/>
      <c r="Q380" s="1184"/>
      <c r="R380" s="1184"/>
      <c r="S380" s="1184"/>
      <c r="T380" s="1184"/>
      <c r="U380" s="1184"/>
      <c r="V380" s="1184"/>
      <c r="W380" s="1184"/>
      <c r="X380" s="1184"/>
      <c r="Y380" s="1184"/>
      <c r="Z380" s="1184"/>
    </row>
    <row r="381" spans="1:26" ht="15.5">
      <c r="A381" s="1184"/>
      <c r="B381" s="1184"/>
      <c r="C381" s="1184"/>
      <c r="D381" s="1184"/>
      <c r="E381" s="1184"/>
      <c r="F381" s="1184"/>
      <c r="G381" s="1184"/>
      <c r="H381" s="1184"/>
      <c r="I381" s="1184"/>
      <c r="J381" s="1184"/>
      <c r="K381" s="1184"/>
      <c r="L381" s="1184"/>
      <c r="M381" s="1184"/>
      <c r="N381" s="1184"/>
      <c r="O381" s="1184"/>
      <c r="P381" s="1184"/>
      <c r="Q381" s="1184"/>
      <c r="R381" s="1184"/>
      <c r="S381" s="1184"/>
      <c r="T381" s="1184"/>
      <c r="U381" s="1184"/>
      <c r="V381" s="1184"/>
      <c r="W381" s="1184"/>
      <c r="X381" s="1184"/>
      <c r="Y381" s="1184"/>
      <c r="Z381" s="1184"/>
    </row>
    <row r="382" spans="1:26" ht="15.5">
      <c r="A382" s="1184"/>
      <c r="B382" s="1184"/>
      <c r="C382" s="1184"/>
      <c r="D382" s="1184"/>
      <c r="E382" s="1184"/>
      <c r="F382" s="1184"/>
      <c r="G382" s="1184"/>
      <c r="H382" s="1184"/>
      <c r="I382" s="1184"/>
      <c r="J382" s="1184"/>
      <c r="K382" s="1184"/>
      <c r="L382" s="1184"/>
      <c r="M382" s="1184"/>
      <c r="N382" s="1184"/>
      <c r="O382" s="1184"/>
      <c r="P382" s="1184"/>
      <c r="Q382" s="1184"/>
      <c r="R382" s="1184"/>
      <c r="S382" s="1184"/>
      <c r="T382" s="1184"/>
      <c r="U382" s="1184"/>
      <c r="V382" s="1184"/>
      <c r="W382" s="1184"/>
      <c r="X382" s="1184"/>
      <c r="Y382" s="1184"/>
      <c r="Z382" s="1184"/>
    </row>
    <row r="383" spans="1:26" ht="15.5">
      <c r="A383" s="1184"/>
      <c r="B383" s="1184"/>
      <c r="C383" s="1184"/>
      <c r="D383" s="1184"/>
      <c r="E383" s="1184"/>
      <c r="F383" s="1184"/>
      <c r="G383" s="1184"/>
      <c r="H383" s="1184"/>
      <c r="I383" s="1184"/>
      <c r="J383" s="1184"/>
      <c r="K383" s="1184"/>
      <c r="L383" s="1184"/>
      <c r="M383" s="1184"/>
      <c r="N383" s="1184"/>
      <c r="O383" s="1184"/>
      <c r="P383" s="1184"/>
      <c r="Q383" s="1184"/>
      <c r="R383" s="1184"/>
      <c r="S383" s="1184"/>
      <c r="T383" s="1184"/>
      <c r="U383" s="1184"/>
      <c r="V383" s="1184"/>
      <c r="W383" s="1184"/>
      <c r="X383" s="1184"/>
      <c r="Y383" s="1184"/>
      <c r="Z383" s="1184"/>
    </row>
    <row r="384" spans="1:26" ht="15.5">
      <c r="A384" s="1184"/>
      <c r="B384" s="1184"/>
      <c r="C384" s="1184"/>
      <c r="D384" s="1184"/>
      <c r="E384" s="1184"/>
      <c r="F384" s="1184"/>
      <c r="G384" s="1184"/>
      <c r="H384" s="1184"/>
      <c r="I384" s="1184"/>
      <c r="J384" s="1184"/>
      <c r="K384" s="1184"/>
      <c r="L384" s="1184"/>
      <c r="M384" s="1184"/>
      <c r="N384" s="1184"/>
      <c r="O384" s="1184"/>
      <c r="P384" s="1184"/>
      <c r="Q384" s="1184"/>
      <c r="R384" s="1184"/>
      <c r="S384" s="1184"/>
      <c r="T384" s="1184"/>
      <c r="U384" s="1184"/>
      <c r="V384" s="1184"/>
      <c r="W384" s="1184"/>
      <c r="X384" s="1184"/>
      <c r="Y384" s="1184"/>
      <c r="Z384" s="1184"/>
    </row>
    <row r="385" spans="1:26" ht="15.5">
      <c r="A385" s="1184"/>
      <c r="B385" s="1184"/>
      <c r="C385" s="1184"/>
      <c r="D385" s="1184"/>
      <c r="E385" s="1184"/>
      <c r="F385" s="1184"/>
      <c r="G385" s="1184"/>
      <c r="H385" s="1184"/>
      <c r="I385" s="1184"/>
      <c r="J385" s="1184"/>
      <c r="K385" s="1184"/>
      <c r="L385" s="1184"/>
      <c r="M385" s="1184"/>
      <c r="N385" s="1184"/>
      <c r="O385" s="1184"/>
      <c r="P385" s="1184"/>
      <c r="Q385" s="1184"/>
      <c r="R385" s="1184"/>
      <c r="S385" s="1184"/>
      <c r="T385" s="1184"/>
      <c r="U385" s="1184"/>
      <c r="V385" s="1184"/>
      <c r="W385" s="1184"/>
      <c r="X385" s="1184"/>
      <c r="Y385" s="1184"/>
      <c r="Z385" s="1184"/>
    </row>
    <row r="386" spans="1:26" ht="15.5">
      <c r="A386" s="1184"/>
      <c r="B386" s="1184"/>
      <c r="C386" s="1184"/>
      <c r="D386" s="1184"/>
      <c r="E386" s="1184"/>
      <c r="F386" s="1184"/>
      <c r="G386" s="1184"/>
      <c r="H386" s="1184"/>
      <c r="I386" s="1184"/>
      <c r="J386" s="1184"/>
      <c r="K386" s="1184"/>
      <c r="L386" s="1184"/>
      <c r="M386" s="1184"/>
      <c r="N386" s="1184"/>
      <c r="O386" s="1184"/>
      <c r="P386" s="1184"/>
      <c r="Q386" s="1184"/>
      <c r="R386" s="1184"/>
      <c r="S386" s="1184"/>
      <c r="T386" s="1184"/>
      <c r="U386" s="1184"/>
      <c r="V386" s="1184"/>
      <c r="W386" s="1184"/>
      <c r="X386" s="1184"/>
      <c r="Y386" s="1184"/>
      <c r="Z386" s="1184"/>
    </row>
    <row r="387" spans="1:26" ht="15.5">
      <c r="A387" s="1184"/>
      <c r="B387" s="1184"/>
      <c r="C387" s="1184"/>
      <c r="D387" s="1184"/>
      <c r="E387" s="1184"/>
      <c r="F387" s="1184"/>
      <c r="G387" s="1184"/>
      <c r="H387" s="1184"/>
      <c r="I387" s="1184"/>
      <c r="J387" s="1184"/>
      <c r="K387" s="1184"/>
      <c r="L387" s="1184"/>
      <c r="M387" s="1184"/>
      <c r="N387" s="1184"/>
      <c r="O387" s="1184"/>
      <c r="P387" s="1184"/>
      <c r="Q387" s="1184"/>
      <c r="R387" s="1184"/>
      <c r="S387" s="1184"/>
      <c r="T387" s="1184"/>
      <c r="U387" s="1184"/>
      <c r="V387" s="1184"/>
      <c r="W387" s="1184"/>
      <c r="X387" s="1184"/>
      <c r="Y387" s="1184"/>
      <c r="Z387" s="1184"/>
    </row>
    <row r="388" spans="1:26" ht="15.5">
      <c r="A388" s="1184"/>
      <c r="B388" s="1184"/>
      <c r="C388" s="1184"/>
      <c r="D388" s="1184"/>
      <c r="E388" s="1184"/>
      <c r="F388" s="1184"/>
      <c r="G388" s="1184"/>
      <c r="H388" s="1184"/>
      <c r="I388" s="1184"/>
      <c r="J388" s="1184"/>
      <c r="K388" s="1184"/>
      <c r="L388" s="1184"/>
      <c r="M388" s="1184"/>
      <c r="N388" s="1184"/>
      <c r="O388" s="1184"/>
      <c r="P388" s="1184"/>
      <c r="Q388" s="1184"/>
      <c r="R388" s="1184"/>
      <c r="S388" s="1184"/>
      <c r="T388" s="1184"/>
      <c r="U388" s="1184"/>
      <c r="V388" s="1184"/>
      <c r="W388" s="1184"/>
      <c r="X388" s="1184"/>
      <c r="Y388" s="1184"/>
      <c r="Z388" s="1184"/>
    </row>
    <row r="389" spans="1:26" ht="15.5">
      <c r="A389" s="1184"/>
      <c r="B389" s="1184"/>
      <c r="C389" s="1184"/>
      <c r="D389" s="1184"/>
      <c r="E389" s="1184"/>
      <c r="F389" s="1184"/>
      <c r="G389" s="1184"/>
      <c r="H389" s="1184"/>
      <c r="I389" s="1184"/>
      <c r="J389" s="1184"/>
      <c r="K389" s="1184"/>
      <c r="L389" s="1184"/>
      <c r="M389" s="1184"/>
      <c r="N389" s="1184"/>
      <c r="O389" s="1184"/>
      <c r="P389" s="1184"/>
      <c r="Q389" s="1184"/>
      <c r="R389" s="1184"/>
      <c r="S389" s="1184"/>
      <c r="T389" s="1184"/>
      <c r="U389" s="1184"/>
      <c r="V389" s="1184"/>
      <c r="W389" s="1184"/>
      <c r="X389" s="1184"/>
      <c r="Y389" s="1184"/>
      <c r="Z389" s="1184"/>
    </row>
    <row r="390" spans="1:26" ht="15.5">
      <c r="A390" s="1184"/>
      <c r="B390" s="1184"/>
      <c r="C390" s="1184"/>
      <c r="D390" s="1184"/>
      <c r="E390" s="1184"/>
      <c r="F390" s="1184"/>
      <c r="G390" s="1184"/>
      <c r="H390" s="1184"/>
      <c r="I390" s="1184"/>
      <c r="J390" s="1184"/>
      <c r="K390" s="1184"/>
      <c r="L390" s="1184"/>
      <c r="M390" s="1184"/>
      <c r="N390" s="1184"/>
      <c r="O390" s="1184"/>
      <c r="P390" s="1184"/>
      <c r="Q390" s="1184"/>
      <c r="R390" s="1184"/>
      <c r="S390" s="1184"/>
      <c r="T390" s="1184"/>
      <c r="U390" s="1184"/>
      <c r="V390" s="1184"/>
      <c r="W390" s="1184"/>
      <c r="X390" s="1184"/>
      <c r="Y390" s="1184"/>
      <c r="Z390" s="1184"/>
    </row>
    <row r="391" spans="1:26" ht="15.5">
      <c r="A391" s="1184">
        <v>22</v>
      </c>
      <c r="N391" s="1184"/>
      <c r="O391" s="1184"/>
      <c r="P391" s="1184"/>
      <c r="Q391" s="1184"/>
      <c r="R391" s="1184"/>
      <c r="S391" s="1184"/>
      <c r="T391" s="1184"/>
      <c r="U391" s="1184"/>
      <c r="V391" s="1184"/>
      <c r="W391" s="1184"/>
      <c r="X391" s="1184"/>
      <c r="Y391" s="1184"/>
      <c r="Z391" s="1184"/>
    </row>
    <row r="392" spans="1:26" ht="15.5">
      <c r="A392" s="1184"/>
      <c r="N392" s="1184"/>
      <c r="O392" s="1184"/>
      <c r="P392" s="1184"/>
      <c r="Q392" s="1184"/>
      <c r="R392" s="1184"/>
      <c r="S392" s="1184"/>
      <c r="T392" s="1184"/>
      <c r="U392" s="1184"/>
      <c r="V392" s="1184"/>
      <c r="W392" s="1184"/>
      <c r="X392" s="1184"/>
      <c r="Y392" s="1184"/>
      <c r="Z392" s="1184"/>
    </row>
    <row r="393" spans="1:26" ht="15.5">
      <c r="A393" s="1184"/>
      <c r="N393" s="1184"/>
      <c r="O393" s="1184"/>
      <c r="P393" s="1184"/>
      <c r="Q393" s="1184"/>
      <c r="R393" s="1184"/>
      <c r="S393" s="1184"/>
      <c r="T393" s="1184"/>
      <c r="U393" s="1184"/>
      <c r="V393" s="1184"/>
      <c r="W393" s="1184"/>
      <c r="X393" s="1184"/>
      <c r="Y393" s="1184"/>
      <c r="Z393" s="1184"/>
    </row>
    <row r="394" spans="1:26" ht="15.5">
      <c r="A394" s="1184"/>
      <c r="N394" s="1184"/>
      <c r="O394" s="1184"/>
      <c r="P394" s="1184"/>
      <c r="Q394" s="1184"/>
      <c r="R394" s="1184"/>
      <c r="S394" s="1184"/>
      <c r="T394" s="1184"/>
      <c r="U394" s="1184"/>
      <c r="V394" s="1184"/>
      <c r="W394" s="1184"/>
      <c r="X394" s="1184"/>
      <c r="Y394" s="1184"/>
      <c r="Z394" s="1184"/>
    </row>
    <row r="395" spans="1:26" ht="15.5">
      <c r="A395" s="1184"/>
      <c r="N395" s="1184"/>
      <c r="O395" s="1184"/>
      <c r="P395" s="1184"/>
      <c r="Q395" s="1184"/>
      <c r="R395" s="1184"/>
      <c r="S395" s="1184"/>
      <c r="T395" s="1184"/>
      <c r="U395" s="1184"/>
      <c r="V395" s="1184"/>
      <c r="W395" s="1184"/>
      <c r="X395" s="1184"/>
      <c r="Y395" s="1184"/>
      <c r="Z395" s="1184"/>
    </row>
    <row r="396" spans="1:26" ht="7.5" customHeight="1">
      <c r="A396" s="1184"/>
      <c r="N396" s="1184"/>
      <c r="O396" s="1184"/>
      <c r="P396" s="1184"/>
      <c r="Q396" s="1184"/>
      <c r="R396" s="1184"/>
      <c r="S396" s="1184"/>
      <c r="T396" s="1184"/>
      <c r="U396" s="1184"/>
      <c r="V396" s="1184"/>
      <c r="W396" s="1184"/>
      <c r="X396" s="1184"/>
      <c r="Y396" s="1184"/>
      <c r="Z396" s="1184"/>
    </row>
    <row r="397" spans="1:26" ht="15.5">
      <c r="A397" s="1184"/>
      <c r="N397" s="1184"/>
      <c r="O397" s="1184"/>
      <c r="P397" s="1184"/>
      <c r="Q397" s="1184"/>
      <c r="R397" s="1184"/>
      <c r="S397" s="1184"/>
      <c r="T397" s="1184"/>
      <c r="U397" s="1184"/>
      <c r="V397" s="1184"/>
      <c r="W397" s="1184"/>
      <c r="X397" s="1184"/>
      <c r="Y397" s="1184"/>
      <c r="Z397" s="1184"/>
    </row>
    <row r="398" spans="1:26" ht="15.5">
      <c r="A398" s="1184"/>
      <c r="N398" s="1184"/>
      <c r="O398" s="1184"/>
      <c r="P398" s="1184"/>
      <c r="Q398" s="1184"/>
      <c r="R398" s="1184"/>
      <c r="S398" s="1184"/>
      <c r="T398" s="1184"/>
      <c r="U398" s="1184"/>
      <c r="V398" s="1184"/>
      <c r="W398" s="1184"/>
      <c r="X398" s="1184"/>
      <c r="Y398" s="1184"/>
      <c r="Z398" s="1184"/>
    </row>
    <row r="399" spans="1:26" ht="15.5">
      <c r="A399" s="1184"/>
      <c r="B399" s="1184"/>
      <c r="C399" s="1184"/>
      <c r="D399" s="1184"/>
      <c r="E399" s="1184"/>
      <c r="F399" s="1184"/>
      <c r="G399" s="1184"/>
      <c r="H399" s="1184"/>
      <c r="I399" s="1184"/>
      <c r="J399" s="1184"/>
      <c r="K399" s="1184"/>
      <c r="L399" s="1184"/>
      <c r="M399" s="1184"/>
      <c r="N399" s="1184"/>
      <c r="O399" s="1184"/>
      <c r="P399" s="1184"/>
      <c r="Q399" s="1184"/>
      <c r="R399" s="1184"/>
      <c r="S399" s="1184"/>
      <c r="T399" s="1184"/>
      <c r="U399" s="1184"/>
      <c r="V399" s="1184"/>
      <c r="W399" s="1184"/>
      <c r="X399" s="1184"/>
      <c r="Y399" s="1184"/>
      <c r="Z399" s="1184"/>
    </row>
    <row r="400" spans="1:26" ht="15.5">
      <c r="A400" s="1184"/>
      <c r="B400" s="1184"/>
      <c r="C400" s="1184"/>
      <c r="D400" s="1184"/>
      <c r="E400" s="1184"/>
      <c r="F400" s="1184"/>
      <c r="G400" s="1184"/>
      <c r="H400" s="1184"/>
      <c r="I400" s="1184"/>
      <c r="J400" s="1184"/>
      <c r="K400" s="1184"/>
      <c r="L400" s="1184"/>
      <c r="M400" s="1184"/>
      <c r="N400" s="1184"/>
      <c r="O400" s="1184"/>
      <c r="P400" s="1184"/>
      <c r="Q400" s="1184"/>
      <c r="R400" s="1184"/>
      <c r="S400" s="1184"/>
      <c r="T400" s="1184"/>
      <c r="U400" s="1184"/>
      <c r="V400" s="1184"/>
      <c r="W400" s="1184"/>
      <c r="X400" s="1184"/>
      <c r="Y400" s="1184"/>
      <c r="Z400" s="1184"/>
    </row>
    <row r="401" spans="1:26" ht="15.5">
      <c r="A401" s="1184"/>
      <c r="B401" s="1184"/>
      <c r="C401" s="1184"/>
      <c r="D401" s="1184"/>
      <c r="E401" s="1184"/>
      <c r="F401" s="1184"/>
      <c r="G401" s="1184"/>
      <c r="H401" s="121"/>
      <c r="I401" s="122"/>
      <c r="J401" s="122"/>
      <c r="K401" s="122"/>
      <c r="L401" s="122"/>
      <c r="M401" s="122"/>
      <c r="N401" s="122"/>
      <c r="O401" s="122"/>
      <c r="P401" s="122"/>
      <c r="Q401" s="122"/>
      <c r="R401" s="122"/>
      <c r="S401" s="159"/>
      <c r="T401" s="1184"/>
      <c r="U401" s="1184"/>
      <c r="V401" s="1184"/>
      <c r="W401" s="1184"/>
      <c r="X401" s="1184"/>
      <c r="Y401" s="1184"/>
      <c r="Z401" s="1184"/>
    </row>
    <row r="402" spans="1:26" ht="15.5">
      <c r="A402" s="1184"/>
      <c r="B402" s="1184"/>
      <c r="C402" s="1184"/>
      <c r="D402" s="1184"/>
      <c r="E402" s="1184"/>
      <c r="F402" s="1184"/>
      <c r="G402" s="1184"/>
      <c r="H402" s="1447" t="s">
        <v>65</v>
      </c>
      <c r="I402" s="1444"/>
      <c r="J402" s="1447" t="s">
        <v>66</v>
      </c>
      <c r="K402" s="1444"/>
      <c r="L402" s="1447" t="s">
        <v>67</v>
      </c>
      <c r="M402" s="1444"/>
      <c r="N402" s="1447" t="s">
        <v>68</v>
      </c>
      <c r="O402" s="1444"/>
      <c r="P402" s="1447" t="s">
        <v>69</v>
      </c>
      <c r="Q402" s="1444"/>
      <c r="R402" s="1447" t="s">
        <v>70</v>
      </c>
      <c r="S402" s="1444"/>
      <c r="T402" s="1184"/>
      <c r="U402" s="1184"/>
      <c r="V402" s="1184"/>
      <c r="W402" s="1184"/>
      <c r="X402" s="1184"/>
      <c r="Y402" s="1184"/>
      <c r="Z402" s="1184"/>
    </row>
    <row r="403" spans="1:26" ht="15.5">
      <c r="A403" s="1184"/>
      <c r="B403" s="1184"/>
      <c r="C403" s="1184"/>
      <c r="D403" s="1184"/>
      <c r="E403" s="1184"/>
      <c r="F403" s="1184"/>
      <c r="G403" s="1184"/>
      <c r="H403" s="1450">
        <f>'Dynamic Dashboard'!B8</f>
        <v>0.24794586632771631</v>
      </c>
      <c r="I403" s="1451"/>
      <c r="J403" s="1450">
        <f>'Dynamic Dashboard'!D8</f>
        <v>0.33284790951683618</v>
      </c>
      <c r="K403" s="1451"/>
      <c r="L403" s="1454">
        <f>'Dynamic Dashboard'!F8</f>
        <v>17.693182272018159</v>
      </c>
      <c r="M403" s="1451"/>
      <c r="N403" s="1455">
        <f>'Dynamic Dashboard'!H8</f>
        <v>62301606.637933955</v>
      </c>
      <c r="O403" s="1451"/>
      <c r="P403" s="1455">
        <f>'Dynamic Dashboard'!J8</f>
        <v>50077920.037933953</v>
      </c>
      <c r="Q403" s="1451"/>
      <c r="R403" s="1456" t="str">
        <f>'Dynamic Dashboard'!L8</f>
        <v>FY30</v>
      </c>
      <c r="S403" s="1451"/>
      <c r="T403" s="1184"/>
      <c r="U403" s="1184"/>
      <c r="V403" s="1184"/>
      <c r="W403" s="1184"/>
      <c r="X403" s="1184"/>
      <c r="Y403" s="1184"/>
      <c r="Z403" s="1184"/>
    </row>
    <row r="404" spans="1:26" ht="15.5">
      <c r="A404" s="1184"/>
      <c r="B404" s="1184"/>
      <c r="C404" s="1184"/>
      <c r="D404" s="1184"/>
      <c r="E404" s="1184"/>
      <c r="F404" s="1184"/>
      <c r="G404" s="1184"/>
      <c r="H404" s="1452"/>
      <c r="I404" s="1453"/>
      <c r="J404" s="1452"/>
      <c r="K404" s="1453"/>
      <c r="L404" s="1452"/>
      <c r="M404" s="1453"/>
      <c r="N404" s="1452"/>
      <c r="O404" s="1453"/>
      <c r="P404" s="1452"/>
      <c r="Q404" s="1453"/>
      <c r="R404" s="1452"/>
      <c r="S404" s="1453"/>
      <c r="T404" s="1184"/>
      <c r="U404" s="1184"/>
      <c r="V404" s="1184"/>
      <c r="W404" s="1184"/>
      <c r="X404" s="1184"/>
      <c r="Y404" s="1184"/>
      <c r="Z404" s="1184"/>
    </row>
    <row r="405" spans="1:26" ht="15.5">
      <c r="A405" s="1184"/>
      <c r="B405" s="1184"/>
      <c r="C405" s="1184"/>
      <c r="D405" s="1184"/>
      <c r="E405" s="1184"/>
      <c r="F405" s="1184"/>
      <c r="G405" s="1184"/>
      <c r="H405" s="1448" t="s">
        <v>71</v>
      </c>
      <c r="I405" s="1449"/>
      <c r="J405" s="1448" t="s">
        <v>72</v>
      </c>
      <c r="K405" s="1449"/>
      <c r="L405" s="1448" t="s">
        <v>73</v>
      </c>
      <c r="M405" s="1449"/>
      <c r="N405" s="1448" t="s">
        <v>74</v>
      </c>
      <c r="O405" s="1449"/>
      <c r="P405" s="1448" t="s">
        <v>75</v>
      </c>
      <c r="Q405" s="1449"/>
      <c r="R405" s="1448" t="s">
        <v>76</v>
      </c>
      <c r="S405" s="1449"/>
      <c r="T405" s="1184"/>
      <c r="U405" s="1184"/>
      <c r="V405" s="1184"/>
      <c r="W405" s="1184"/>
      <c r="X405" s="1184"/>
      <c r="Y405" s="1184"/>
      <c r="Z405" s="1184"/>
    </row>
    <row r="406" spans="1:26" ht="15.5">
      <c r="A406" s="1184"/>
      <c r="B406" s="1184"/>
      <c r="C406" s="1184"/>
      <c r="D406" s="1184"/>
      <c r="E406" s="1184"/>
      <c r="F406" s="1184"/>
      <c r="G406" s="1184"/>
      <c r="H406" s="1232"/>
      <c r="I406" s="1045"/>
      <c r="J406" s="1045"/>
      <c r="K406" s="1045"/>
      <c r="L406" s="1045"/>
      <c r="M406" s="1045"/>
      <c r="N406" s="1045"/>
      <c r="O406" s="1045"/>
      <c r="P406" s="1045"/>
      <c r="Q406" s="1045"/>
      <c r="R406" s="1045"/>
      <c r="S406" s="1233"/>
      <c r="T406" s="1184"/>
      <c r="U406" s="1184"/>
      <c r="V406" s="1184"/>
      <c r="W406" s="1184"/>
      <c r="X406" s="1184"/>
      <c r="Y406" s="1184"/>
      <c r="Z406" s="1184"/>
    </row>
    <row r="407" spans="1:26" ht="15.5">
      <c r="A407" s="1184"/>
      <c r="B407" s="1184"/>
      <c r="C407" s="1184"/>
      <c r="D407" s="1184"/>
      <c r="E407" s="1184"/>
      <c r="F407" s="1184"/>
      <c r="G407" s="1184"/>
      <c r="H407" s="1457" t="s">
        <v>77</v>
      </c>
      <c r="I407" s="1458"/>
      <c r="J407" s="1467" t="s">
        <v>78</v>
      </c>
      <c r="K407" s="1468"/>
      <c r="L407" s="1469" t="s">
        <v>79</v>
      </c>
      <c r="M407" s="1468"/>
      <c r="N407" s="1469" t="s">
        <v>80</v>
      </c>
      <c r="O407" s="1468"/>
      <c r="P407" s="1469" t="s">
        <v>81</v>
      </c>
      <c r="Q407" s="1468"/>
      <c r="R407" s="1469" t="s">
        <v>82</v>
      </c>
      <c r="S407" s="1453"/>
      <c r="T407" s="1184"/>
      <c r="U407" s="1184"/>
      <c r="V407" s="1184"/>
      <c r="W407" s="1184"/>
      <c r="X407" s="1184"/>
      <c r="Y407" s="1184"/>
      <c r="Z407" s="1184"/>
    </row>
    <row r="408" spans="1:26" ht="18.5">
      <c r="A408" s="1184"/>
      <c r="B408" s="1184"/>
      <c r="C408" s="1184"/>
      <c r="D408" s="1184"/>
      <c r="E408" s="1184"/>
      <c r="F408" s="1184"/>
      <c r="G408" s="1184"/>
      <c r="H408" s="1459">
        <f>'Dynamic Dashboard'!B13</f>
        <v>4.0738366192894055</v>
      </c>
      <c r="I408" s="1460"/>
      <c r="J408" s="1461">
        <f>'Dynamic Dashboard'!D13</f>
        <v>0.70345495527680413</v>
      </c>
      <c r="K408" s="1462"/>
      <c r="L408" s="1463">
        <f>'Dynamic Dashboard'!F13</f>
        <v>0.1</v>
      </c>
      <c r="M408" s="1462"/>
      <c r="N408" s="1464">
        <f>'Dynamic Dashboard'!H13</f>
        <v>7</v>
      </c>
      <c r="O408" s="1462"/>
      <c r="P408" s="1465">
        <f>'Dynamic Dashboard'!J13</f>
        <v>19761525</v>
      </c>
      <c r="Q408" s="1462"/>
      <c r="R408" s="1466">
        <f>'Dynamic Dashboard'!L13</f>
        <v>0.58559273956667568</v>
      </c>
      <c r="S408" s="1449"/>
      <c r="T408" s="1184"/>
      <c r="U408" s="1184"/>
      <c r="V408" s="1184"/>
      <c r="W408" s="1184"/>
      <c r="X408" s="1184"/>
      <c r="Y408" s="1184"/>
      <c r="Z408" s="1184"/>
    </row>
    <row r="409" spans="1:26" ht="15.5">
      <c r="A409" s="1184"/>
      <c r="B409" s="1184"/>
      <c r="C409" s="1184"/>
      <c r="D409" s="1184"/>
      <c r="E409" s="1184"/>
      <c r="F409" s="1184"/>
      <c r="G409" s="1184"/>
      <c r="H409" s="1184"/>
      <c r="I409" s="1184"/>
      <c r="J409" s="1184"/>
      <c r="K409" s="1184"/>
      <c r="L409" s="1184"/>
      <c r="M409" s="1184"/>
      <c r="N409" s="1184"/>
      <c r="O409" s="1184"/>
      <c r="P409" s="1184"/>
      <c r="Q409" s="1184"/>
      <c r="R409" s="1184"/>
      <c r="S409" s="1184"/>
      <c r="T409" s="1184"/>
      <c r="U409" s="1184"/>
      <c r="V409" s="1184"/>
      <c r="W409" s="1184"/>
      <c r="X409" s="1184"/>
      <c r="Y409" s="1184"/>
      <c r="Z409" s="1184"/>
    </row>
    <row r="410" spans="1:26" ht="15.5">
      <c r="A410" s="1184"/>
      <c r="B410" s="1184"/>
      <c r="C410" s="1184"/>
      <c r="D410" s="1184"/>
      <c r="E410" s="1184"/>
      <c r="F410" s="1184"/>
      <c r="G410" s="1184"/>
      <c r="H410" s="1184"/>
      <c r="I410" s="1184"/>
      <c r="J410" s="1184"/>
      <c r="K410" s="1184"/>
      <c r="L410" s="1184"/>
      <c r="M410" s="1184"/>
      <c r="N410" s="1184"/>
      <c r="O410" s="1184"/>
      <c r="P410" s="1184"/>
      <c r="Q410" s="1184"/>
      <c r="R410" s="1184"/>
      <c r="S410" s="1184"/>
      <c r="T410" s="1184"/>
      <c r="U410" s="1184"/>
      <c r="V410" s="1184"/>
      <c r="W410" s="1184"/>
      <c r="X410" s="1184"/>
      <c r="Y410" s="1184"/>
      <c r="Z410" s="1184"/>
    </row>
    <row r="411" spans="1:26" ht="15.5">
      <c r="A411" s="1184"/>
      <c r="B411" s="1184"/>
      <c r="C411" s="1184"/>
      <c r="D411" s="1184"/>
      <c r="E411" s="1184"/>
      <c r="F411" s="1184"/>
      <c r="G411" s="1184"/>
      <c r="H411" s="1184"/>
      <c r="I411" s="1184"/>
      <c r="J411" s="1184"/>
      <c r="K411" s="1184"/>
      <c r="L411" s="1184"/>
      <c r="M411" s="1184"/>
      <c r="N411" s="1184"/>
      <c r="O411" s="1184"/>
      <c r="P411" s="1184"/>
      <c r="Q411" s="1184"/>
      <c r="R411" s="1184"/>
      <c r="S411" s="1184"/>
      <c r="T411" s="1184"/>
      <c r="U411" s="1184"/>
      <c r="V411" s="1184"/>
      <c r="W411" s="1184"/>
      <c r="X411" s="1184"/>
      <c r="Y411" s="1184"/>
      <c r="Z411" s="1184"/>
    </row>
    <row r="412" spans="1:26" ht="15.5">
      <c r="A412" s="1184"/>
      <c r="B412" s="1184"/>
      <c r="C412" s="1184"/>
      <c r="D412" s="1184"/>
      <c r="E412" s="1184"/>
      <c r="F412" s="1184"/>
      <c r="G412" s="1184"/>
      <c r="H412" s="1184"/>
      <c r="I412" s="1184"/>
      <c r="J412" s="1184"/>
      <c r="K412" s="1184"/>
      <c r="L412" s="1184"/>
      <c r="M412" s="1184"/>
      <c r="N412" s="1184"/>
      <c r="O412" s="1184"/>
      <c r="P412" s="1184"/>
      <c r="Q412" s="1184"/>
      <c r="R412" s="1184"/>
      <c r="S412" s="1184"/>
      <c r="T412" s="1184"/>
      <c r="U412" s="1184"/>
      <c r="V412" s="1184"/>
      <c r="W412" s="1184"/>
      <c r="X412" s="1184"/>
      <c r="Y412" s="1184"/>
      <c r="Z412" s="1184"/>
    </row>
    <row r="413" spans="1:26" ht="15.5">
      <c r="A413" s="1184"/>
      <c r="B413" s="1184"/>
      <c r="C413" s="1184"/>
      <c r="D413" s="1184"/>
      <c r="E413" s="1184"/>
      <c r="F413" s="1184"/>
      <c r="G413" s="1184"/>
      <c r="H413" s="1184"/>
      <c r="I413" s="1184"/>
      <c r="J413" s="1184"/>
      <c r="K413" s="1184"/>
      <c r="L413" s="1184"/>
      <c r="M413" s="1184"/>
      <c r="N413" s="1184"/>
      <c r="O413" s="1184"/>
      <c r="P413" s="1184"/>
      <c r="Q413" s="1184"/>
      <c r="R413" s="1184"/>
      <c r="S413" s="1184"/>
      <c r="T413" s="1184"/>
      <c r="U413" s="1184"/>
      <c r="V413" s="1184"/>
      <c r="W413" s="1184"/>
      <c r="X413" s="1184"/>
      <c r="Y413" s="1184"/>
      <c r="Z413" s="1184"/>
    </row>
    <row r="414" spans="1:26" ht="15.5">
      <c r="A414" s="1184"/>
      <c r="B414" s="1184"/>
      <c r="C414" s="1184"/>
      <c r="D414" s="1184"/>
      <c r="E414" s="1184"/>
      <c r="F414" s="1184"/>
      <c r="G414" s="1184"/>
      <c r="H414" s="1184"/>
      <c r="I414" s="1184"/>
      <c r="J414" s="1184"/>
      <c r="K414" s="1184"/>
      <c r="L414" s="1184"/>
      <c r="M414" s="1184"/>
      <c r="N414" s="1184"/>
      <c r="O414" s="1184"/>
      <c r="P414" s="1184"/>
      <c r="Q414" s="1184"/>
      <c r="R414" s="1184"/>
      <c r="S414" s="1184"/>
      <c r="T414" s="1184"/>
      <c r="U414" s="1184"/>
      <c r="V414" s="1184"/>
      <c r="W414" s="1184"/>
      <c r="X414" s="1184"/>
      <c r="Y414" s="1184"/>
      <c r="Z414" s="1184"/>
    </row>
    <row r="415" spans="1:26" ht="15.5">
      <c r="A415" s="1184"/>
      <c r="B415" s="1184"/>
      <c r="C415" s="1184"/>
      <c r="D415" s="1184"/>
      <c r="E415" s="1184"/>
      <c r="F415" s="1184"/>
      <c r="G415" s="1184"/>
      <c r="H415" s="1184"/>
      <c r="I415" s="1184"/>
      <c r="J415" s="1184"/>
      <c r="K415" s="1184"/>
      <c r="L415" s="1184"/>
      <c r="M415" s="1184"/>
      <c r="N415" s="1184"/>
      <c r="O415" s="1184"/>
      <c r="P415" s="1184"/>
      <c r="Q415" s="1184"/>
      <c r="R415" s="1184"/>
      <c r="S415" s="1184"/>
      <c r="T415" s="1184"/>
      <c r="U415" s="1184"/>
      <c r="V415" s="1184"/>
      <c r="W415" s="1184"/>
      <c r="X415" s="1184"/>
      <c r="Y415" s="1184"/>
      <c r="Z415" s="1184"/>
    </row>
    <row r="416" spans="1:26" ht="15.5">
      <c r="A416" s="1184"/>
      <c r="B416" s="1184"/>
      <c r="C416" s="1184"/>
      <c r="D416" s="1184"/>
      <c r="E416" s="1184"/>
      <c r="F416" s="1184"/>
      <c r="G416" s="1184"/>
      <c r="H416" s="1184"/>
      <c r="I416" s="1184"/>
      <c r="J416" s="1184"/>
      <c r="K416" s="1184"/>
      <c r="L416" s="1184"/>
      <c r="M416" s="1184"/>
      <c r="N416" s="1184"/>
      <c r="O416" s="1184"/>
      <c r="P416" s="1184"/>
      <c r="Q416" s="1184"/>
      <c r="R416" s="1184"/>
      <c r="S416" s="1184"/>
      <c r="T416" s="1184"/>
      <c r="U416" s="1184"/>
      <c r="V416" s="1184"/>
      <c r="W416" s="1184"/>
      <c r="X416" s="1184"/>
      <c r="Y416" s="1184"/>
      <c r="Z416" s="1184"/>
    </row>
    <row r="417" spans="1:26" ht="15.5">
      <c r="A417" s="1184"/>
      <c r="B417" s="1184"/>
      <c r="C417" s="1184"/>
      <c r="D417" s="1184"/>
      <c r="E417" s="1184"/>
      <c r="F417" s="1184"/>
      <c r="G417" s="1184"/>
      <c r="H417" s="1184"/>
      <c r="I417" s="1184"/>
      <c r="J417" s="1184"/>
      <c r="K417" s="1184"/>
      <c r="L417" s="1184"/>
      <c r="M417" s="1184"/>
      <c r="N417" s="1184"/>
      <c r="O417" s="1184"/>
      <c r="P417" s="1184"/>
      <c r="Q417" s="1184"/>
      <c r="R417" s="1184"/>
      <c r="S417" s="1184"/>
      <c r="T417" s="1184"/>
      <c r="U417" s="1184"/>
      <c r="V417" s="1184"/>
      <c r="W417" s="1184"/>
      <c r="X417" s="1184"/>
      <c r="Y417" s="1184"/>
      <c r="Z417" s="1184"/>
    </row>
    <row r="418" spans="1:26" ht="15.5">
      <c r="A418" s="1184"/>
      <c r="B418" s="1184"/>
      <c r="C418" s="1184"/>
      <c r="D418" s="1184"/>
      <c r="E418" s="1184"/>
      <c r="F418" s="1184"/>
      <c r="G418" s="1184"/>
      <c r="H418" s="1184"/>
      <c r="I418" s="1184"/>
      <c r="J418" s="1184"/>
      <c r="K418" s="1184"/>
      <c r="L418" s="1184"/>
      <c r="M418" s="1184"/>
      <c r="N418" s="1184"/>
      <c r="O418" s="1184"/>
      <c r="P418" s="1184"/>
      <c r="Q418" s="1184"/>
      <c r="R418" s="1184"/>
      <c r="S418" s="1184"/>
      <c r="T418" s="1184"/>
      <c r="U418" s="1184"/>
      <c r="V418" s="1184"/>
      <c r="W418" s="1184"/>
      <c r="X418" s="1184"/>
      <c r="Y418" s="1184"/>
      <c r="Z418" s="1184"/>
    </row>
    <row r="419" spans="1:26" ht="15.5">
      <c r="A419" s="1184"/>
      <c r="B419" s="1184"/>
      <c r="C419" s="1184"/>
      <c r="D419" s="1184"/>
      <c r="E419" s="1184"/>
      <c r="F419" s="1184"/>
      <c r="G419" s="1184"/>
      <c r="H419" s="1184"/>
      <c r="I419" s="1184"/>
      <c r="J419" s="1184"/>
      <c r="K419" s="1184"/>
      <c r="L419" s="1184"/>
      <c r="M419" s="1184"/>
      <c r="N419" s="1184"/>
      <c r="O419" s="1184"/>
      <c r="P419" s="1184"/>
      <c r="Q419" s="1184"/>
      <c r="R419" s="1184"/>
      <c r="S419" s="1184"/>
      <c r="T419" s="1184"/>
      <c r="U419" s="1184"/>
      <c r="V419" s="1184"/>
      <c r="W419" s="1184"/>
      <c r="X419" s="1184"/>
      <c r="Y419" s="1184"/>
      <c r="Z419" s="1184"/>
    </row>
    <row r="420" spans="1:26" ht="15.5">
      <c r="A420" s="1184"/>
      <c r="B420" s="1184"/>
      <c r="C420" s="1184"/>
      <c r="D420" s="1184"/>
      <c r="E420" s="1184"/>
      <c r="F420" s="1184"/>
      <c r="G420" s="1184"/>
      <c r="H420" s="1184"/>
      <c r="I420" s="1184"/>
      <c r="J420" s="1184"/>
      <c r="K420" s="1184"/>
      <c r="L420" s="1184"/>
      <c r="M420" s="1184"/>
      <c r="N420" s="1184"/>
      <c r="O420" s="1184"/>
      <c r="P420" s="1184"/>
      <c r="Q420" s="1184"/>
      <c r="R420" s="1184"/>
      <c r="S420" s="1184"/>
      <c r="T420" s="1184"/>
      <c r="U420" s="1184"/>
      <c r="V420" s="1184"/>
      <c r="W420" s="1184"/>
      <c r="X420" s="1184"/>
      <c r="Y420" s="1184"/>
      <c r="Z420" s="1184"/>
    </row>
    <row r="421" spans="1:26" ht="15.5">
      <c r="A421" s="1184"/>
      <c r="B421" s="1184"/>
      <c r="C421" s="1184"/>
      <c r="D421" s="1184"/>
      <c r="E421" s="1184"/>
      <c r="F421" s="1184"/>
      <c r="G421" s="1184"/>
      <c r="H421" s="1184"/>
      <c r="I421" s="1184"/>
      <c r="J421" s="1184"/>
      <c r="K421" s="1184"/>
      <c r="L421" s="1184"/>
      <c r="M421" s="1184"/>
      <c r="N421" s="1184"/>
      <c r="O421" s="1184"/>
      <c r="P421" s="1184"/>
      <c r="Q421" s="1184"/>
      <c r="R421" s="1184"/>
      <c r="S421" s="1184"/>
      <c r="T421" s="1184"/>
      <c r="U421" s="1184"/>
      <c r="V421" s="1184"/>
      <c r="W421" s="1184"/>
      <c r="X421" s="1184"/>
      <c r="Y421" s="1184"/>
      <c r="Z421" s="1184"/>
    </row>
    <row r="422" spans="1:26" ht="15.5">
      <c r="A422" s="1184"/>
      <c r="B422" s="1184"/>
      <c r="C422" s="1184"/>
      <c r="D422" s="1184"/>
      <c r="E422" s="1184"/>
      <c r="F422" s="1184"/>
      <c r="G422" s="1184"/>
      <c r="H422" s="1184"/>
      <c r="I422" s="1184"/>
      <c r="J422" s="1184"/>
      <c r="K422" s="1184"/>
      <c r="L422" s="1184"/>
      <c r="M422" s="1184"/>
      <c r="N422" s="1184"/>
      <c r="O422" s="1184"/>
      <c r="P422" s="1184"/>
      <c r="Q422" s="1184"/>
      <c r="R422" s="1184"/>
      <c r="S422" s="1184"/>
      <c r="T422" s="1184"/>
      <c r="U422" s="1184"/>
      <c r="V422" s="1184"/>
      <c r="W422" s="1184"/>
      <c r="X422" s="1184"/>
      <c r="Y422" s="1184"/>
      <c r="Z422" s="1184"/>
    </row>
    <row r="423" spans="1:26" ht="15.5">
      <c r="A423" s="1184"/>
      <c r="B423" s="1184"/>
      <c r="C423" s="1184"/>
      <c r="D423" s="1184"/>
      <c r="E423" s="1184"/>
      <c r="F423" s="1184"/>
      <c r="G423" s="1184"/>
      <c r="H423" s="1184"/>
      <c r="I423" s="1184"/>
      <c r="J423" s="1184"/>
      <c r="K423" s="1184"/>
      <c r="L423" s="1184"/>
      <c r="M423" s="1184"/>
      <c r="N423" s="1184"/>
      <c r="O423" s="1184"/>
      <c r="P423" s="1184"/>
      <c r="Q423" s="1184"/>
      <c r="R423" s="1184"/>
      <c r="S423" s="1184"/>
      <c r="T423" s="1184"/>
      <c r="U423" s="1184"/>
      <c r="V423" s="1184"/>
      <c r="W423" s="1184"/>
      <c r="X423" s="1184"/>
      <c r="Y423" s="1184"/>
      <c r="Z423" s="1184"/>
    </row>
    <row r="424" spans="1:26" ht="15.5">
      <c r="A424" s="1184"/>
      <c r="B424" s="1184"/>
      <c r="C424" s="1184"/>
      <c r="D424" s="1184"/>
      <c r="E424" s="1184"/>
      <c r="F424" s="1184"/>
      <c r="G424" s="1184"/>
      <c r="H424" s="1184"/>
      <c r="I424" s="1184"/>
      <c r="J424" s="1184"/>
      <c r="K424" s="1184"/>
      <c r="L424" s="1184"/>
      <c r="M424" s="1184"/>
      <c r="N424" s="1184"/>
      <c r="O424" s="1184"/>
      <c r="P424" s="1184"/>
      <c r="Q424" s="1184"/>
      <c r="R424" s="1184"/>
      <c r="S424" s="1184"/>
      <c r="T424" s="1184"/>
      <c r="U424" s="1184"/>
      <c r="V424" s="1184"/>
      <c r="W424" s="1184"/>
      <c r="X424" s="1184"/>
      <c r="Y424" s="1184"/>
      <c r="Z424" s="1184"/>
    </row>
    <row r="425" spans="1:26" ht="15.5">
      <c r="A425" s="1184"/>
      <c r="B425" s="1184"/>
      <c r="C425" s="1184"/>
      <c r="D425" s="1184"/>
      <c r="E425" s="1184"/>
      <c r="F425" s="1184"/>
      <c r="G425" s="1184"/>
      <c r="H425" s="1184"/>
      <c r="I425" s="1184"/>
      <c r="J425" s="1184"/>
      <c r="K425" s="1184"/>
      <c r="L425" s="1184"/>
      <c r="M425" s="1184"/>
      <c r="N425" s="1184"/>
      <c r="O425" s="1184"/>
      <c r="P425" s="1184"/>
      <c r="Q425" s="1184"/>
      <c r="R425" s="1184"/>
      <c r="S425" s="1184"/>
      <c r="T425" s="1184"/>
      <c r="U425" s="1184"/>
      <c r="V425" s="1184"/>
      <c r="W425" s="1184"/>
      <c r="X425" s="1184"/>
      <c r="Y425" s="1184"/>
      <c r="Z425" s="1184"/>
    </row>
    <row r="426" spans="1:26" ht="15.5">
      <c r="A426" s="1184"/>
      <c r="B426" s="1184"/>
      <c r="C426" s="1184"/>
      <c r="D426" s="1184"/>
      <c r="E426" s="1184"/>
      <c r="F426" s="1184"/>
      <c r="G426" s="1184"/>
      <c r="H426" s="1184"/>
      <c r="I426" s="1184"/>
      <c r="J426" s="1184"/>
      <c r="K426" s="1184"/>
      <c r="L426" s="1184"/>
      <c r="M426" s="1184"/>
      <c r="N426" s="1184"/>
      <c r="O426" s="1184"/>
      <c r="P426" s="1184"/>
      <c r="Q426" s="1184"/>
      <c r="R426" s="1184"/>
      <c r="S426" s="1184"/>
      <c r="T426" s="1184"/>
      <c r="U426" s="1184"/>
      <c r="V426" s="1184"/>
      <c r="W426" s="1184"/>
      <c r="X426" s="1184"/>
      <c r="Y426" s="1184"/>
      <c r="Z426" s="1184"/>
    </row>
    <row r="427" spans="1:26" ht="15.5">
      <c r="A427" s="1184"/>
      <c r="B427" s="1184"/>
      <c r="C427" s="1184"/>
      <c r="D427" s="1184"/>
      <c r="E427" s="1184"/>
      <c r="F427" s="1184"/>
      <c r="G427" s="1184"/>
      <c r="H427" s="1184"/>
      <c r="I427" s="1184"/>
      <c r="J427" s="1184"/>
      <c r="K427" s="1184"/>
      <c r="L427" s="1184"/>
      <c r="M427" s="1184"/>
      <c r="N427" s="1184"/>
      <c r="O427" s="1184"/>
      <c r="P427" s="1184"/>
      <c r="Q427" s="1184"/>
      <c r="R427" s="1184"/>
      <c r="S427" s="1184"/>
      <c r="T427" s="1184"/>
      <c r="U427" s="1184"/>
      <c r="V427" s="1184"/>
      <c r="W427" s="1184"/>
      <c r="X427" s="1184"/>
      <c r="Y427" s="1184"/>
      <c r="Z427" s="1184"/>
    </row>
    <row r="428" spans="1:26" ht="15.5">
      <c r="A428" s="1184"/>
      <c r="B428" s="1184"/>
      <c r="C428" s="1184"/>
      <c r="D428" s="1184"/>
      <c r="E428" s="1184"/>
      <c r="F428" s="1184"/>
      <c r="G428" s="1184"/>
      <c r="H428" s="1184"/>
      <c r="I428" s="1184"/>
      <c r="J428" s="1184"/>
      <c r="K428" s="1184"/>
      <c r="L428" s="1184"/>
      <c r="M428" s="1184"/>
      <c r="N428" s="1184"/>
      <c r="O428" s="1184"/>
      <c r="P428" s="1184"/>
      <c r="Q428" s="1184"/>
      <c r="R428" s="1184"/>
      <c r="S428" s="1184"/>
      <c r="T428" s="1184"/>
      <c r="U428" s="1184"/>
      <c r="V428" s="1184"/>
      <c r="W428" s="1184"/>
      <c r="X428" s="1184"/>
      <c r="Y428" s="1184"/>
      <c r="Z428" s="1184"/>
    </row>
    <row r="429" spans="1:26" ht="15.5">
      <c r="A429" s="1184"/>
      <c r="B429" s="1184"/>
      <c r="C429" s="1184"/>
      <c r="D429" s="1184"/>
      <c r="E429" s="1184"/>
      <c r="F429" s="1184"/>
      <c r="G429" s="1184"/>
      <c r="H429" s="1184"/>
      <c r="I429" s="1184"/>
      <c r="J429" s="1184"/>
      <c r="K429" s="1184"/>
      <c r="L429" s="1184"/>
      <c r="M429" s="1184"/>
      <c r="N429" s="1184"/>
      <c r="O429" s="1184"/>
      <c r="P429" s="1184"/>
      <c r="Q429" s="1184"/>
      <c r="R429" s="1184"/>
      <c r="S429" s="1184"/>
      <c r="T429" s="1184"/>
      <c r="U429" s="1184"/>
      <c r="V429" s="1184"/>
      <c r="W429" s="1184"/>
      <c r="X429" s="1184"/>
      <c r="Y429" s="1184"/>
      <c r="Z429" s="1184"/>
    </row>
    <row r="430" spans="1:26" ht="15.5">
      <c r="A430" s="1184"/>
      <c r="B430" s="1184"/>
      <c r="C430" s="1184"/>
      <c r="D430" s="1184"/>
      <c r="E430" s="1184"/>
      <c r="F430" s="1184"/>
      <c r="G430" s="1184"/>
      <c r="H430" s="1184"/>
      <c r="I430" s="1184"/>
      <c r="J430" s="1184"/>
      <c r="K430" s="1184"/>
      <c r="L430" s="1184"/>
      <c r="M430" s="1184"/>
      <c r="N430" s="1184"/>
      <c r="O430" s="1184"/>
      <c r="P430" s="1184"/>
      <c r="Q430" s="1184"/>
      <c r="R430" s="1184"/>
      <c r="S430" s="1184"/>
      <c r="T430" s="1184"/>
      <c r="U430" s="1184"/>
      <c r="V430" s="1184"/>
      <c r="W430" s="1184"/>
      <c r="X430" s="1184"/>
      <c r="Y430" s="1184"/>
      <c r="Z430" s="1184"/>
    </row>
    <row r="431" spans="1:26" ht="15.5">
      <c r="A431" s="1184"/>
      <c r="B431" s="1184"/>
      <c r="C431" s="1184"/>
      <c r="D431" s="1184"/>
      <c r="E431" s="1184"/>
      <c r="F431" s="1184"/>
      <c r="G431" s="1184"/>
      <c r="H431" s="1184"/>
      <c r="I431" s="1184"/>
      <c r="J431" s="1184"/>
      <c r="K431" s="1184"/>
      <c r="L431" s="1184"/>
      <c r="M431" s="1184"/>
      <c r="N431" s="1184"/>
      <c r="O431" s="1184"/>
      <c r="P431" s="1184"/>
      <c r="Q431" s="1184"/>
      <c r="R431" s="1184"/>
      <c r="S431" s="1184"/>
      <c r="T431" s="1184"/>
      <c r="U431" s="1184"/>
      <c r="V431" s="1184"/>
      <c r="W431" s="1184"/>
      <c r="X431" s="1184"/>
      <c r="Y431" s="1184"/>
      <c r="Z431" s="1184"/>
    </row>
    <row r="432" spans="1:26" ht="15.5">
      <c r="A432" s="1184"/>
      <c r="B432" s="1184"/>
      <c r="C432" s="1184"/>
      <c r="D432" s="1184"/>
      <c r="E432" s="1184"/>
      <c r="F432" s="1184"/>
      <c r="G432" s="1184"/>
      <c r="H432" s="1184"/>
      <c r="I432" s="1184"/>
      <c r="J432" s="1184"/>
      <c r="K432" s="1184"/>
      <c r="L432" s="1184"/>
      <c r="M432" s="1184"/>
      <c r="N432" s="1184"/>
      <c r="O432" s="1184"/>
      <c r="P432" s="1184"/>
      <c r="Q432" s="1184"/>
      <c r="R432" s="1184"/>
      <c r="S432" s="1184"/>
      <c r="T432" s="1184"/>
      <c r="U432" s="1184"/>
      <c r="V432" s="1184"/>
      <c r="W432" s="1184"/>
      <c r="X432" s="1184"/>
      <c r="Y432" s="1184"/>
      <c r="Z432" s="1184"/>
    </row>
    <row r="433" spans="1:26" ht="15.5">
      <c r="A433" s="1184"/>
      <c r="B433" s="1184"/>
      <c r="C433" s="1184"/>
      <c r="D433" s="1184"/>
      <c r="E433" s="1184"/>
      <c r="F433" s="1184"/>
      <c r="G433" s="1184"/>
      <c r="H433" s="1184"/>
      <c r="I433" s="1184"/>
      <c r="J433" s="1184"/>
      <c r="K433" s="1184"/>
      <c r="L433" s="1184"/>
      <c r="M433" s="1184"/>
      <c r="N433" s="1184"/>
      <c r="O433" s="1184"/>
      <c r="P433" s="1184"/>
      <c r="Q433" s="1184"/>
      <c r="R433" s="1184"/>
      <c r="S433" s="1184"/>
      <c r="T433" s="1184"/>
      <c r="U433" s="1184"/>
      <c r="V433" s="1184"/>
      <c r="W433" s="1184"/>
      <c r="X433" s="1184"/>
      <c r="Y433" s="1184"/>
      <c r="Z433" s="1184"/>
    </row>
    <row r="434" spans="1:26" ht="15.5">
      <c r="A434" s="1184"/>
      <c r="B434" s="1184"/>
      <c r="C434" s="1184"/>
      <c r="D434" s="1184"/>
      <c r="E434" s="1184"/>
      <c r="F434" s="1184"/>
      <c r="G434" s="1184"/>
      <c r="H434" s="1184"/>
      <c r="I434" s="1184"/>
      <c r="J434" s="1184"/>
      <c r="K434" s="1184"/>
      <c r="L434" s="1184"/>
      <c r="M434" s="1184"/>
      <c r="N434" s="1184"/>
      <c r="O434" s="1184"/>
      <c r="P434" s="1184"/>
      <c r="Q434" s="1184"/>
      <c r="R434" s="1184"/>
      <c r="S434" s="1184"/>
      <c r="T434" s="1184"/>
      <c r="U434" s="1184"/>
      <c r="V434" s="1184"/>
      <c r="W434" s="1184"/>
      <c r="X434" s="1184"/>
      <c r="Y434" s="1184"/>
      <c r="Z434" s="1184"/>
    </row>
    <row r="435" spans="1:26" ht="15.5">
      <c r="A435" s="1184"/>
      <c r="B435" s="1184"/>
      <c r="C435" s="1184"/>
      <c r="D435" s="1184"/>
      <c r="E435" s="1184"/>
      <c r="F435" s="1184"/>
      <c r="G435" s="1184"/>
      <c r="H435" s="1184"/>
      <c r="I435" s="1184"/>
      <c r="J435" s="1184"/>
      <c r="K435" s="1184"/>
      <c r="L435" s="1184"/>
      <c r="M435" s="1184"/>
      <c r="N435" s="1184"/>
      <c r="O435" s="1184"/>
      <c r="P435" s="1184"/>
      <c r="Q435" s="1184"/>
      <c r="R435" s="1184"/>
      <c r="S435" s="1184"/>
      <c r="T435" s="1184"/>
      <c r="U435" s="1184"/>
      <c r="V435" s="1184"/>
      <c r="W435" s="1184"/>
      <c r="X435" s="1184"/>
      <c r="Y435" s="1184"/>
      <c r="Z435" s="1184"/>
    </row>
    <row r="436" spans="1:26" ht="15.5">
      <c r="A436" s="1184"/>
      <c r="B436" s="1184"/>
      <c r="C436" s="1184"/>
      <c r="D436" s="1184"/>
      <c r="E436" s="1184"/>
      <c r="F436" s="1184"/>
      <c r="G436" s="1184"/>
      <c r="H436" s="1184"/>
      <c r="I436" s="1184"/>
      <c r="J436" s="1184"/>
      <c r="K436" s="1184"/>
      <c r="L436" s="1184"/>
      <c r="M436" s="1184"/>
      <c r="N436" s="1184"/>
      <c r="O436" s="1184"/>
      <c r="P436" s="1184"/>
      <c r="Q436" s="1184"/>
      <c r="R436" s="1184"/>
      <c r="S436" s="1184"/>
      <c r="T436" s="1184"/>
      <c r="U436" s="1184"/>
      <c r="V436" s="1184"/>
      <c r="W436" s="1184"/>
      <c r="X436" s="1184"/>
      <c r="Y436" s="1184"/>
      <c r="Z436" s="1184"/>
    </row>
    <row r="437" spans="1:26" ht="15.5">
      <c r="A437" s="1184"/>
      <c r="B437" s="1184"/>
      <c r="C437" s="1184"/>
      <c r="D437" s="1184"/>
      <c r="E437" s="1184"/>
      <c r="F437" s="1184"/>
      <c r="G437" s="1184"/>
      <c r="H437" s="1184"/>
      <c r="I437" s="1184"/>
      <c r="J437" s="1184"/>
      <c r="K437" s="1184"/>
      <c r="L437" s="1184"/>
      <c r="M437" s="1184"/>
      <c r="N437" s="1184"/>
      <c r="O437" s="1184"/>
      <c r="P437" s="1184"/>
      <c r="Q437" s="1184"/>
      <c r="R437" s="1184"/>
      <c r="S437" s="1184"/>
      <c r="T437" s="1184"/>
      <c r="U437" s="1184"/>
      <c r="V437" s="1184"/>
      <c r="W437" s="1184"/>
      <c r="X437" s="1184"/>
      <c r="Y437" s="1184"/>
      <c r="Z437" s="1184"/>
    </row>
    <row r="438" spans="1:26" ht="15.5">
      <c r="A438" s="1184"/>
      <c r="B438" s="1184"/>
      <c r="C438" s="1184"/>
      <c r="D438" s="1184"/>
      <c r="E438" s="1184"/>
      <c r="F438" s="1184"/>
      <c r="G438" s="1184"/>
      <c r="H438" s="1184"/>
      <c r="I438" s="1184"/>
      <c r="J438" s="1184"/>
      <c r="K438" s="1184"/>
      <c r="L438" s="1184"/>
      <c r="M438" s="1184"/>
      <c r="N438" s="1184"/>
      <c r="O438" s="1184"/>
      <c r="P438" s="1184"/>
      <c r="Q438" s="1184"/>
      <c r="R438" s="1184"/>
      <c r="S438" s="1184"/>
      <c r="T438" s="1184"/>
      <c r="U438" s="1184"/>
      <c r="V438" s="1184"/>
      <c r="W438" s="1184"/>
      <c r="X438" s="1184"/>
      <c r="Y438" s="1184"/>
      <c r="Z438" s="1184"/>
    </row>
    <row r="439" spans="1:26" ht="15.5">
      <c r="A439" s="1184"/>
      <c r="B439" s="1184"/>
      <c r="C439" s="1184"/>
      <c r="D439" s="1184"/>
      <c r="E439" s="1184"/>
      <c r="F439" s="1184"/>
      <c r="G439" s="1184"/>
      <c r="H439" s="1184"/>
      <c r="I439" s="1184"/>
      <c r="J439" s="1184"/>
      <c r="K439" s="1184"/>
      <c r="L439" s="1184"/>
      <c r="M439" s="1184"/>
      <c r="N439" s="1184"/>
      <c r="O439" s="1184"/>
      <c r="P439" s="1184"/>
      <c r="Q439" s="1184"/>
      <c r="R439" s="1184"/>
      <c r="S439" s="1184"/>
      <c r="T439" s="1184"/>
      <c r="U439" s="1184"/>
      <c r="V439" s="1184"/>
      <c r="W439" s="1184"/>
      <c r="X439" s="1184"/>
      <c r="Y439" s="1184"/>
      <c r="Z439" s="1184"/>
    </row>
    <row r="440" spans="1:26" ht="15.5">
      <c r="A440" s="1184"/>
      <c r="B440" s="1184"/>
      <c r="C440" s="1184"/>
      <c r="D440" s="1184"/>
      <c r="E440" s="1184"/>
      <c r="F440" s="1184"/>
      <c r="G440" s="1184"/>
      <c r="H440" s="1184"/>
      <c r="I440" s="1184"/>
      <c r="J440" s="1184"/>
      <c r="K440" s="1184"/>
      <c r="L440" s="1184"/>
      <c r="M440" s="1184"/>
      <c r="N440" s="1184"/>
      <c r="O440" s="1184"/>
      <c r="P440" s="1184"/>
      <c r="Q440" s="1184"/>
      <c r="R440" s="1184"/>
      <c r="S440" s="1184"/>
      <c r="T440" s="1184"/>
      <c r="U440" s="1184"/>
      <c r="V440" s="1184"/>
      <c r="W440" s="1184"/>
      <c r="X440" s="1184"/>
      <c r="Y440" s="1184"/>
      <c r="Z440" s="1184"/>
    </row>
    <row r="441" spans="1:26" ht="15.5">
      <c r="A441" s="1184"/>
      <c r="B441" s="1184"/>
      <c r="C441" s="1184"/>
      <c r="D441" s="1184"/>
      <c r="E441" s="1184"/>
      <c r="F441" s="1184"/>
      <c r="G441" s="1184"/>
      <c r="H441" s="1184"/>
      <c r="I441" s="1184"/>
      <c r="J441" s="1184"/>
      <c r="K441" s="1184"/>
      <c r="L441" s="1184"/>
      <c r="M441" s="1184"/>
      <c r="N441" s="1184"/>
      <c r="O441" s="1184"/>
      <c r="P441" s="1184"/>
      <c r="Q441" s="1184"/>
      <c r="R441" s="1184"/>
      <c r="S441" s="1184"/>
      <c r="T441" s="1184"/>
      <c r="U441" s="1184"/>
      <c r="V441" s="1184"/>
      <c r="W441" s="1184"/>
      <c r="X441" s="1184"/>
      <c r="Y441" s="1184"/>
      <c r="Z441" s="1184"/>
    </row>
    <row r="442" spans="1:26" ht="15.5">
      <c r="A442" s="1184"/>
      <c r="B442" s="1184"/>
      <c r="C442" s="1184"/>
      <c r="D442" s="1184"/>
      <c r="E442" s="1184"/>
      <c r="F442" s="1184"/>
      <c r="G442" s="1184"/>
      <c r="H442" s="1184"/>
      <c r="I442" s="1184"/>
      <c r="J442" s="1184"/>
      <c r="K442" s="1184"/>
      <c r="L442" s="1184"/>
      <c r="M442" s="1184"/>
      <c r="N442" s="1184"/>
      <c r="O442" s="1184"/>
      <c r="P442" s="1184"/>
      <c r="Q442" s="1184"/>
      <c r="R442" s="1184"/>
      <c r="S442" s="1184"/>
      <c r="T442" s="1184"/>
      <c r="U442" s="1184"/>
      <c r="V442" s="1184"/>
      <c r="W442" s="1184"/>
      <c r="X442" s="1184"/>
      <c r="Y442" s="1184"/>
      <c r="Z442" s="1184"/>
    </row>
    <row r="443" spans="1:26" ht="15.5">
      <c r="A443" s="1184"/>
      <c r="B443" s="1184"/>
      <c r="C443" s="1184"/>
      <c r="D443" s="1184"/>
      <c r="E443" s="1184"/>
      <c r="F443" s="1184"/>
      <c r="G443" s="1184"/>
      <c r="H443" s="1184"/>
      <c r="I443" s="1184"/>
      <c r="J443" s="1184"/>
      <c r="K443" s="1184"/>
      <c r="L443" s="1184"/>
      <c r="M443" s="1184"/>
      <c r="N443" s="1184"/>
      <c r="O443" s="1184"/>
      <c r="P443" s="1184"/>
      <c r="Q443" s="1184"/>
      <c r="R443" s="1184"/>
      <c r="S443" s="1184"/>
      <c r="T443" s="1184"/>
      <c r="U443" s="1184"/>
      <c r="V443" s="1184"/>
      <c r="W443" s="1184"/>
      <c r="X443" s="1184"/>
      <c r="Y443" s="1184"/>
      <c r="Z443" s="1184"/>
    </row>
    <row r="444" spans="1:26" ht="15.5">
      <c r="A444" s="1184"/>
      <c r="B444" s="1184"/>
      <c r="C444" s="1184"/>
      <c r="D444" s="1184"/>
      <c r="E444" s="1184"/>
      <c r="F444" s="1184"/>
      <c r="G444" s="1184"/>
      <c r="H444" s="1184"/>
      <c r="I444" s="1184"/>
      <c r="J444" s="1184"/>
      <c r="K444" s="1184"/>
      <c r="L444" s="1184"/>
      <c r="M444" s="1184"/>
      <c r="N444" s="1184"/>
      <c r="O444" s="1184"/>
      <c r="P444" s="1184"/>
      <c r="Q444" s="1184"/>
      <c r="R444" s="1184"/>
      <c r="S444" s="1184"/>
      <c r="T444" s="1184"/>
      <c r="U444" s="1184"/>
      <c r="V444" s="1184"/>
      <c r="W444" s="1184"/>
      <c r="X444" s="1184"/>
      <c r="Y444" s="1184"/>
      <c r="Z444" s="1184"/>
    </row>
    <row r="445" spans="1:26" ht="15.5">
      <c r="A445" s="1184"/>
      <c r="B445" s="1184"/>
      <c r="C445" s="1184"/>
      <c r="D445" s="1184"/>
      <c r="E445" s="1184"/>
      <c r="F445" s="1184"/>
      <c r="G445" s="1184"/>
      <c r="H445" s="1184"/>
      <c r="I445" s="1184"/>
      <c r="J445" s="1184"/>
      <c r="K445" s="1184"/>
      <c r="L445" s="1184"/>
      <c r="M445" s="1184"/>
      <c r="N445" s="1184"/>
      <c r="O445" s="1184"/>
      <c r="P445" s="1184"/>
      <c r="Q445" s="1184"/>
      <c r="R445" s="1184"/>
      <c r="S445" s="1184"/>
      <c r="T445" s="1184"/>
      <c r="U445" s="1184"/>
      <c r="V445" s="1184"/>
      <c r="W445" s="1184"/>
      <c r="X445" s="1184"/>
      <c r="Y445" s="1184"/>
      <c r="Z445" s="1184"/>
    </row>
    <row r="446" spans="1:26" ht="15.5">
      <c r="A446" s="1184"/>
      <c r="B446" s="1184"/>
      <c r="C446" s="1184"/>
      <c r="D446" s="1184"/>
      <c r="E446" s="1184"/>
      <c r="F446" s="1184"/>
      <c r="G446" s="1184"/>
      <c r="H446" s="1184"/>
      <c r="I446" s="1184"/>
      <c r="J446" s="1184"/>
      <c r="K446" s="1184"/>
      <c r="L446" s="1184"/>
      <c r="M446" s="1184"/>
      <c r="N446" s="1184"/>
      <c r="O446" s="1184"/>
      <c r="P446" s="1184"/>
      <c r="Q446" s="1184"/>
      <c r="R446" s="1184"/>
      <c r="S446" s="1184"/>
      <c r="T446" s="1184"/>
      <c r="U446" s="1184"/>
      <c r="V446" s="1184"/>
      <c r="W446" s="1184"/>
      <c r="X446" s="1184"/>
      <c r="Y446" s="1184"/>
      <c r="Z446" s="1184"/>
    </row>
    <row r="447" spans="1:26" ht="15.5">
      <c r="A447" s="1184"/>
      <c r="B447" s="1184"/>
      <c r="C447" s="1184"/>
      <c r="D447" s="1184"/>
      <c r="E447" s="1184"/>
      <c r="F447" s="1184"/>
      <c r="G447" s="1184"/>
      <c r="H447" s="1184"/>
      <c r="I447" s="1184"/>
      <c r="J447" s="1184"/>
      <c r="K447" s="1184"/>
      <c r="L447" s="1184"/>
      <c r="M447" s="1184"/>
      <c r="N447" s="1184"/>
      <c r="O447" s="1184"/>
      <c r="P447" s="1184"/>
      <c r="Q447" s="1184"/>
      <c r="R447" s="1184"/>
      <c r="S447" s="1184"/>
      <c r="T447" s="1184"/>
      <c r="U447" s="1184"/>
      <c r="V447" s="1184"/>
      <c r="W447" s="1184"/>
      <c r="X447" s="1184"/>
      <c r="Y447" s="1184"/>
      <c r="Z447" s="1184"/>
    </row>
    <row r="448" spans="1:26" ht="15.5">
      <c r="A448" s="1184"/>
      <c r="B448" s="1184"/>
      <c r="C448" s="1184"/>
      <c r="D448" s="1184"/>
      <c r="E448" s="1184"/>
      <c r="F448" s="1184"/>
      <c r="G448" s="1184"/>
      <c r="H448" s="1184"/>
      <c r="I448" s="1184"/>
      <c r="J448" s="1184"/>
      <c r="K448" s="1184"/>
      <c r="L448" s="1184"/>
      <c r="M448" s="1184"/>
      <c r="N448" s="1184"/>
      <c r="O448" s="1184"/>
      <c r="P448" s="1184"/>
      <c r="Q448" s="1184"/>
      <c r="R448" s="1184"/>
      <c r="S448" s="1184"/>
      <c r="T448" s="1184"/>
      <c r="U448" s="1184"/>
      <c r="V448" s="1184"/>
      <c r="W448" s="1184"/>
      <c r="X448" s="1184"/>
      <c r="Y448" s="1184"/>
      <c r="Z448" s="1184"/>
    </row>
    <row r="449" spans="1:26" ht="15.5">
      <c r="A449" s="1184"/>
      <c r="B449" s="1184"/>
      <c r="C449" s="1184"/>
      <c r="D449" s="1184"/>
      <c r="E449" s="1184"/>
      <c r="F449" s="1184"/>
      <c r="G449" s="1184"/>
      <c r="H449" s="1184"/>
      <c r="I449" s="1184"/>
      <c r="J449" s="1184"/>
      <c r="K449" s="1184"/>
      <c r="L449" s="1184"/>
      <c r="M449" s="1184"/>
      <c r="N449" s="1184"/>
      <c r="O449" s="1184"/>
      <c r="P449" s="1184"/>
      <c r="Q449" s="1184"/>
      <c r="R449" s="1184"/>
      <c r="S449" s="1184"/>
      <c r="T449" s="1184"/>
      <c r="U449" s="1184"/>
      <c r="V449" s="1184"/>
      <c r="W449" s="1184"/>
      <c r="X449" s="1184"/>
      <c r="Y449" s="1184"/>
      <c r="Z449" s="1184"/>
    </row>
    <row r="450" spans="1:26" ht="15.5">
      <c r="A450" s="1184"/>
      <c r="B450" s="1184"/>
      <c r="C450" s="1184"/>
      <c r="D450" s="1184"/>
      <c r="E450" s="1184"/>
      <c r="F450" s="1184"/>
      <c r="G450" s="1184"/>
      <c r="H450" s="1184"/>
      <c r="I450" s="1184"/>
      <c r="J450" s="1184"/>
      <c r="K450" s="1184"/>
      <c r="L450" s="1184"/>
      <c r="M450" s="1184"/>
      <c r="N450" s="1184"/>
      <c r="O450" s="1184"/>
      <c r="P450" s="1184"/>
      <c r="Q450" s="1184"/>
      <c r="R450" s="1184"/>
      <c r="S450" s="1184"/>
      <c r="T450" s="1184"/>
      <c r="U450" s="1184"/>
      <c r="V450" s="1184"/>
      <c r="W450" s="1184"/>
      <c r="X450" s="1184"/>
      <c r="Y450" s="1184"/>
      <c r="Z450" s="1184"/>
    </row>
    <row r="451" spans="1:26" ht="15.5">
      <c r="A451" s="1184"/>
      <c r="B451" s="1184"/>
      <c r="C451" s="1184"/>
      <c r="D451" s="1184"/>
      <c r="E451" s="1184"/>
      <c r="F451" s="1184"/>
      <c r="G451" s="1184"/>
      <c r="H451" s="1184"/>
      <c r="I451" s="1184"/>
      <c r="J451" s="1184"/>
      <c r="K451" s="1184"/>
      <c r="L451" s="1184"/>
      <c r="M451" s="1184"/>
      <c r="N451" s="1184"/>
      <c r="O451" s="1184"/>
      <c r="P451" s="1184"/>
      <c r="Q451" s="1184"/>
      <c r="R451" s="1184"/>
      <c r="S451" s="1184"/>
      <c r="T451" s="1184"/>
      <c r="U451" s="1184"/>
      <c r="V451" s="1184"/>
      <c r="W451" s="1184"/>
      <c r="X451" s="1184"/>
      <c r="Y451" s="1184"/>
      <c r="Z451" s="1184"/>
    </row>
    <row r="452" spans="1:26" ht="15.5">
      <c r="A452" s="1184"/>
      <c r="B452" s="1184"/>
      <c r="C452" s="1184"/>
      <c r="D452" s="1184"/>
      <c r="E452" s="1184"/>
      <c r="F452" s="1184"/>
      <c r="G452" s="1184"/>
      <c r="H452" s="1184"/>
      <c r="I452" s="1184"/>
      <c r="J452" s="1184"/>
      <c r="K452" s="1184"/>
      <c r="L452" s="1184"/>
      <c r="M452" s="1184"/>
      <c r="N452" s="1184"/>
      <c r="O452" s="1184"/>
      <c r="P452" s="1184"/>
      <c r="Q452" s="1184"/>
      <c r="R452" s="1184"/>
      <c r="S452" s="1184"/>
      <c r="T452" s="1184"/>
      <c r="U452" s="1184"/>
      <c r="V452" s="1184"/>
      <c r="W452" s="1184"/>
      <c r="X452" s="1184"/>
      <c r="Y452" s="1184"/>
      <c r="Z452" s="1184"/>
    </row>
    <row r="453" spans="1:26" ht="15.5">
      <c r="A453" s="1184"/>
      <c r="B453" s="1184"/>
      <c r="C453" s="1184"/>
      <c r="D453" s="1184"/>
      <c r="E453" s="1184"/>
      <c r="F453" s="1184"/>
      <c r="G453" s="1184"/>
      <c r="H453" s="1184"/>
      <c r="I453" s="1184"/>
      <c r="J453" s="1184"/>
      <c r="K453" s="1184"/>
      <c r="L453" s="1184"/>
      <c r="M453" s="1184"/>
      <c r="N453" s="1184"/>
      <c r="O453" s="1184"/>
      <c r="P453" s="1184"/>
      <c r="Q453" s="1184"/>
      <c r="R453" s="1184"/>
      <c r="S453" s="1184"/>
      <c r="T453" s="1184"/>
      <c r="U453" s="1184"/>
      <c r="V453" s="1184"/>
      <c r="W453" s="1184"/>
      <c r="X453" s="1184"/>
      <c r="Y453" s="1184"/>
      <c r="Z453" s="1184"/>
    </row>
    <row r="454" spans="1:26" ht="15.5">
      <c r="A454" s="1184"/>
      <c r="B454" s="1184"/>
      <c r="C454" s="1184"/>
      <c r="D454" s="1184"/>
      <c r="E454" s="1184"/>
      <c r="F454" s="1184"/>
      <c r="G454" s="1184"/>
      <c r="H454" s="1184"/>
      <c r="I454" s="1184"/>
      <c r="J454" s="1184"/>
      <c r="K454" s="1184"/>
      <c r="L454" s="1184"/>
      <c r="M454" s="1184"/>
      <c r="N454" s="1184"/>
      <c r="O454" s="1184"/>
      <c r="P454" s="1184"/>
      <c r="Q454" s="1184"/>
      <c r="R454" s="1184"/>
      <c r="S454" s="1184"/>
      <c r="T454" s="1184"/>
      <c r="U454" s="1184"/>
      <c r="V454" s="1184"/>
      <c r="W454" s="1184"/>
      <c r="X454" s="1184"/>
      <c r="Y454" s="1184"/>
      <c r="Z454" s="1184"/>
    </row>
    <row r="455" spans="1:26" ht="15.5">
      <c r="A455" s="1184"/>
      <c r="B455" s="1184"/>
      <c r="C455" s="1184"/>
      <c r="D455" s="1184"/>
      <c r="E455" s="1184"/>
      <c r="F455" s="1184"/>
      <c r="G455" s="1184"/>
      <c r="H455" s="1184"/>
      <c r="I455" s="1184"/>
      <c r="J455" s="1184"/>
      <c r="K455" s="1184"/>
      <c r="L455" s="1184"/>
      <c r="M455" s="1184"/>
      <c r="N455" s="1184"/>
      <c r="O455" s="1184"/>
      <c r="P455" s="1184"/>
      <c r="Q455" s="1184"/>
      <c r="R455" s="1184"/>
      <c r="S455" s="1184"/>
      <c r="T455" s="1184"/>
      <c r="U455" s="1184"/>
      <c r="V455" s="1184"/>
      <c r="W455" s="1184"/>
      <c r="X455" s="1184"/>
      <c r="Y455" s="1184"/>
      <c r="Z455" s="1184"/>
    </row>
    <row r="456" spans="1:26" ht="15.5">
      <c r="A456" s="1184"/>
      <c r="B456" s="1184"/>
      <c r="C456" s="1184"/>
      <c r="D456" s="1184"/>
      <c r="E456" s="1184"/>
      <c r="F456" s="1184"/>
      <c r="G456" s="1184"/>
      <c r="H456" s="1184"/>
      <c r="I456" s="1184"/>
      <c r="J456" s="1184"/>
      <c r="K456" s="1184"/>
      <c r="L456" s="1184"/>
      <c r="M456" s="1184"/>
      <c r="N456" s="1184"/>
      <c r="O456" s="1184"/>
      <c r="P456" s="1184"/>
      <c r="Q456" s="1184"/>
      <c r="R456" s="1184"/>
      <c r="S456" s="1184"/>
      <c r="T456" s="1184"/>
      <c r="U456" s="1184"/>
      <c r="V456" s="1184"/>
      <c r="W456" s="1184"/>
      <c r="X456" s="1184"/>
      <c r="Y456" s="1184"/>
      <c r="Z456" s="1184"/>
    </row>
    <row r="457" spans="1:26" ht="15.5">
      <c r="A457" s="1184"/>
      <c r="B457" s="1184"/>
      <c r="C457" s="1184"/>
      <c r="D457" s="1184"/>
      <c r="E457" s="1184"/>
      <c r="F457" s="1184"/>
      <c r="G457" s="1184"/>
      <c r="H457" s="1184"/>
      <c r="I457" s="1184"/>
      <c r="J457" s="1184"/>
      <c r="K457" s="1184"/>
      <c r="L457" s="1184"/>
      <c r="M457" s="1184"/>
      <c r="N457" s="1184"/>
      <c r="O457" s="1184"/>
      <c r="P457" s="1184"/>
      <c r="Q457" s="1184"/>
      <c r="R457" s="1184"/>
      <c r="S457" s="1184"/>
      <c r="T457" s="1184"/>
      <c r="U457" s="1184"/>
      <c r="V457" s="1184"/>
      <c r="W457" s="1184"/>
      <c r="X457" s="1184"/>
      <c r="Y457" s="1184"/>
      <c r="Z457" s="1184"/>
    </row>
    <row r="458" spans="1:26" ht="15.5">
      <c r="A458" s="1184"/>
      <c r="B458" s="1184"/>
      <c r="C458" s="1184"/>
      <c r="D458" s="1184"/>
      <c r="E458" s="1184"/>
      <c r="F458" s="1184"/>
      <c r="G458" s="1184"/>
      <c r="H458" s="1184"/>
      <c r="I458" s="1184"/>
      <c r="J458" s="1184"/>
      <c r="K458" s="1184"/>
      <c r="L458" s="1184"/>
      <c r="M458" s="1184"/>
      <c r="N458" s="1184"/>
      <c r="O458" s="1184"/>
      <c r="P458" s="1184"/>
      <c r="Q458" s="1184"/>
      <c r="R458" s="1184"/>
      <c r="S458" s="1184"/>
      <c r="T458" s="1184"/>
      <c r="U458" s="1184"/>
      <c r="V458" s="1184"/>
      <c r="W458" s="1184"/>
      <c r="X458" s="1184"/>
      <c r="Y458" s="1184"/>
      <c r="Z458" s="1184"/>
    </row>
    <row r="459" spans="1:26" ht="15.5">
      <c r="A459" s="1184"/>
      <c r="B459" s="1184"/>
      <c r="C459" s="1184"/>
      <c r="D459" s="1184"/>
      <c r="E459" s="1184"/>
      <c r="F459" s="1184"/>
      <c r="G459" s="1184"/>
      <c r="H459" s="1184"/>
      <c r="I459" s="1184"/>
      <c r="J459" s="1184"/>
      <c r="K459" s="1184"/>
      <c r="L459" s="1184"/>
      <c r="M459" s="1184"/>
      <c r="N459" s="1184"/>
      <c r="O459" s="1184"/>
      <c r="P459" s="1184"/>
      <c r="Q459" s="1184"/>
      <c r="R459" s="1184"/>
      <c r="S459" s="1184"/>
      <c r="T459" s="1184"/>
      <c r="U459" s="1184"/>
      <c r="V459" s="1184"/>
      <c r="W459" s="1184"/>
      <c r="X459" s="1184"/>
      <c r="Y459" s="1184"/>
      <c r="Z459" s="1184"/>
    </row>
    <row r="460" spans="1:26" ht="15.5">
      <c r="A460" s="1184"/>
      <c r="B460" s="1184"/>
      <c r="C460" s="1184"/>
      <c r="D460" s="1184"/>
      <c r="E460" s="1184"/>
      <c r="F460" s="1184"/>
      <c r="G460" s="1184"/>
      <c r="H460" s="1184"/>
      <c r="I460" s="1184"/>
      <c r="J460" s="1184"/>
      <c r="K460" s="1184"/>
      <c r="L460" s="1184"/>
      <c r="M460" s="1184"/>
      <c r="N460" s="1184"/>
      <c r="O460" s="1184"/>
      <c r="P460" s="1184"/>
      <c r="Q460" s="1184"/>
      <c r="R460" s="1184"/>
      <c r="S460" s="1184"/>
      <c r="T460" s="1184"/>
      <c r="U460" s="1184"/>
      <c r="V460" s="1184"/>
      <c r="W460" s="1184"/>
      <c r="X460" s="1184"/>
      <c r="Y460" s="1184"/>
      <c r="Z460" s="1184"/>
    </row>
    <row r="461" spans="1:26" ht="15.5">
      <c r="A461" s="1184"/>
      <c r="B461" s="1184"/>
      <c r="C461" s="1184"/>
      <c r="D461" s="1184"/>
      <c r="E461" s="1184"/>
      <c r="F461" s="1184"/>
      <c r="G461" s="1184"/>
      <c r="H461" s="1184"/>
      <c r="I461" s="1184"/>
      <c r="J461" s="1184"/>
      <c r="K461" s="1184"/>
      <c r="L461" s="1184"/>
      <c r="M461" s="1184"/>
      <c r="N461" s="1184"/>
      <c r="O461" s="1184"/>
      <c r="P461" s="1184"/>
      <c r="Q461" s="1184"/>
      <c r="R461" s="1184"/>
      <c r="S461" s="1184"/>
      <c r="T461" s="1184"/>
      <c r="U461" s="1184"/>
      <c r="V461" s="1184"/>
      <c r="W461" s="1184"/>
      <c r="X461" s="1184"/>
      <c r="Y461" s="1184"/>
      <c r="Z461" s="1184"/>
    </row>
    <row r="462" spans="1:26" ht="15.5">
      <c r="A462" s="1184"/>
      <c r="B462" s="1184"/>
      <c r="C462" s="1184"/>
      <c r="D462" s="1184"/>
      <c r="E462" s="1184"/>
      <c r="F462" s="1184"/>
      <c r="G462" s="1184"/>
      <c r="H462" s="1184"/>
      <c r="I462" s="1184"/>
      <c r="J462" s="1184"/>
      <c r="K462" s="1184"/>
      <c r="L462" s="1184"/>
      <c r="M462" s="1184"/>
      <c r="N462" s="1184"/>
      <c r="O462" s="1184"/>
      <c r="P462" s="1184"/>
      <c r="Q462" s="1184"/>
      <c r="R462" s="1184"/>
      <c r="S462" s="1184"/>
      <c r="T462" s="1184"/>
      <c r="U462" s="1184"/>
      <c r="V462" s="1184"/>
      <c r="W462" s="1184"/>
      <c r="X462" s="1184"/>
      <c r="Y462" s="1184"/>
      <c r="Z462" s="1184"/>
    </row>
    <row r="463" spans="1:26" ht="15.5">
      <c r="A463" s="1184"/>
      <c r="B463" s="1184"/>
      <c r="C463" s="1184"/>
      <c r="D463" s="1184"/>
      <c r="E463" s="1184"/>
      <c r="F463" s="1184"/>
      <c r="G463" s="1184"/>
      <c r="H463" s="1184"/>
      <c r="I463" s="1184"/>
      <c r="J463" s="1184"/>
      <c r="K463" s="1184"/>
      <c r="L463" s="1184"/>
      <c r="M463" s="1184"/>
      <c r="N463" s="1184"/>
      <c r="O463" s="1184"/>
      <c r="P463" s="1184"/>
      <c r="Q463" s="1184"/>
      <c r="R463" s="1184"/>
      <c r="S463" s="1184"/>
      <c r="T463" s="1184"/>
      <c r="U463" s="1184"/>
      <c r="V463" s="1184"/>
      <c r="W463" s="1184"/>
      <c r="X463" s="1184"/>
      <c r="Y463" s="1184"/>
      <c r="Z463" s="1184"/>
    </row>
    <row r="464" spans="1:26" ht="15.5">
      <c r="A464" s="1184"/>
      <c r="B464" s="1184"/>
      <c r="C464" s="1184"/>
      <c r="D464" s="1184"/>
      <c r="E464" s="1184"/>
      <c r="F464" s="1184"/>
      <c r="G464" s="1184"/>
      <c r="H464" s="1184"/>
      <c r="I464" s="1184"/>
      <c r="J464" s="1184"/>
      <c r="K464" s="1184"/>
      <c r="L464" s="1184"/>
      <c r="M464" s="1184"/>
      <c r="N464" s="1184"/>
      <c r="O464" s="1184"/>
      <c r="P464" s="1184"/>
      <c r="Q464" s="1184"/>
      <c r="R464" s="1184"/>
      <c r="S464" s="1184"/>
      <c r="T464" s="1184"/>
      <c r="U464" s="1184"/>
      <c r="V464" s="1184"/>
      <c r="W464" s="1184"/>
      <c r="X464" s="1184"/>
      <c r="Y464" s="1184"/>
      <c r="Z464" s="1184"/>
    </row>
    <row r="465" spans="1:26" ht="15.5">
      <c r="A465" s="1184"/>
      <c r="B465" s="1184"/>
      <c r="C465" s="1184"/>
      <c r="D465" s="1184"/>
      <c r="E465" s="1184"/>
      <c r="F465" s="1184"/>
      <c r="G465" s="1184"/>
      <c r="H465" s="1184"/>
      <c r="I465" s="1184"/>
      <c r="J465" s="1184"/>
      <c r="K465" s="1184"/>
      <c r="L465" s="1184"/>
      <c r="M465" s="1184"/>
      <c r="N465" s="1184"/>
      <c r="O465" s="1184"/>
      <c r="P465" s="1184"/>
      <c r="Q465" s="1184"/>
      <c r="R465" s="1184"/>
      <c r="S465" s="1184"/>
      <c r="T465" s="1184"/>
      <c r="U465" s="1184"/>
      <c r="V465" s="1184"/>
      <c r="W465" s="1184"/>
      <c r="X465" s="1184"/>
      <c r="Y465" s="1184"/>
      <c r="Z465" s="1184"/>
    </row>
    <row r="466" spans="1:26" ht="15.5">
      <c r="A466" s="1184"/>
      <c r="B466" s="1184"/>
      <c r="C466" s="1184"/>
      <c r="D466" s="1184"/>
      <c r="E466" s="1184"/>
      <c r="F466" s="1184"/>
      <c r="G466" s="1184"/>
      <c r="H466" s="1184"/>
      <c r="I466" s="1184"/>
      <c r="J466" s="1184"/>
      <c r="K466" s="1184"/>
      <c r="L466" s="1184"/>
      <c r="M466" s="1184"/>
      <c r="N466" s="1184"/>
      <c r="O466" s="1184"/>
      <c r="P466" s="1184"/>
      <c r="Q466" s="1184"/>
      <c r="R466" s="1184"/>
      <c r="S466" s="1184"/>
      <c r="T466" s="1184"/>
      <c r="U466" s="1184"/>
      <c r="V466" s="1184"/>
      <c r="W466" s="1184"/>
      <c r="X466" s="1184"/>
      <c r="Y466" s="1184"/>
      <c r="Z466" s="1184"/>
    </row>
    <row r="467" spans="1:26" ht="15.5">
      <c r="A467" s="1184"/>
      <c r="B467" s="1184"/>
      <c r="C467" s="1184"/>
      <c r="D467" s="1184"/>
      <c r="E467" s="1184"/>
      <c r="F467" s="1184"/>
      <c r="G467" s="1184"/>
      <c r="H467" s="1184"/>
      <c r="I467" s="1184"/>
      <c r="J467" s="1184"/>
      <c r="K467" s="1184"/>
      <c r="L467" s="1184"/>
      <c r="M467" s="1184"/>
      <c r="N467" s="1184"/>
      <c r="O467" s="1184"/>
      <c r="P467" s="1184"/>
      <c r="Q467" s="1184"/>
      <c r="R467" s="1184"/>
      <c r="S467" s="1184"/>
      <c r="T467" s="1184"/>
      <c r="U467" s="1184"/>
      <c r="V467" s="1184"/>
      <c r="W467" s="1184"/>
      <c r="X467" s="1184"/>
      <c r="Y467" s="1184"/>
      <c r="Z467" s="1184"/>
    </row>
    <row r="468" spans="1:26" ht="15.5">
      <c r="A468" s="1184"/>
      <c r="B468" s="1184"/>
      <c r="C468" s="1184"/>
      <c r="D468" s="1184"/>
      <c r="E468" s="1184"/>
      <c r="F468" s="1184"/>
      <c r="G468" s="1184"/>
      <c r="H468" s="1184"/>
      <c r="I468" s="1184"/>
      <c r="J468" s="1184"/>
      <c r="K468" s="1184"/>
      <c r="L468" s="1184"/>
      <c r="M468" s="1184"/>
      <c r="N468" s="1184"/>
      <c r="O468" s="1184"/>
      <c r="P468" s="1184"/>
      <c r="Q468" s="1184"/>
      <c r="R468" s="1184"/>
      <c r="S468" s="1184"/>
      <c r="T468" s="1184"/>
      <c r="U468" s="1184"/>
      <c r="V468" s="1184"/>
      <c r="W468" s="1184"/>
      <c r="X468" s="1184"/>
      <c r="Y468" s="1184"/>
      <c r="Z468" s="1184"/>
    </row>
    <row r="469" spans="1:26" ht="15.5">
      <c r="A469" s="1184"/>
      <c r="B469" s="1184"/>
      <c r="C469" s="1184"/>
      <c r="D469" s="1184"/>
      <c r="E469" s="1184"/>
      <c r="F469" s="1184"/>
      <c r="G469" s="1184"/>
      <c r="H469" s="1184"/>
      <c r="I469" s="1184"/>
      <c r="J469" s="1184"/>
      <c r="K469" s="1184"/>
      <c r="L469" s="1184"/>
      <c r="M469" s="1184"/>
      <c r="N469" s="1184"/>
      <c r="O469" s="1184"/>
      <c r="P469" s="1184"/>
      <c r="Q469" s="1184"/>
      <c r="R469" s="1184"/>
      <c r="S469" s="1184"/>
      <c r="T469" s="1184"/>
      <c r="U469" s="1184"/>
      <c r="V469" s="1184"/>
      <c r="W469" s="1184"/>
      <c r="X469" s="1184"/>
      <c r="Y469" s="1184"/>
      <c r="Z469" s="1184"/>
    </row>
    <row r="470" spans="1:26" ht="15.5">
      <c r="A470" s="1184"/>
      <c r="B470" s="1184"/>
      <c r="C470" s="1184"/>
      <c r="D470" s="1184"/>
      <c r="E470" s="1184"/>
      <c r="F470" s="1184"/>
      <c r="G470" s="1184"/>
      <c r="H470" s="1184"/>
      <c r="I470" s="1184"/>
      <c r="J470" s="1184"/>
      <c r="K470" s="1184"/>
      <c r="L470" s="1184"/>
      <c r="M470" s="1184"/>
      <c r="N470" s="1184"/>
      <c r="O470" s="1184"/>
      <c r="P470" s="1184"/>
      <c r="Q470" s="1184"/>
      <c r="R470" s="1184"/>
      <c r="S470" s="1184"/>
      <c r="T470" s="1184"/>
      <c r="U470" s="1184"/>
      <c r="V470" s="1184"/>
      <c r="W470" s="1184"/>
      <c r="X470" s="1184"/>
      <c r="Y470" s="1184"/>
      <c r="Z470" s="1184"/>
    </row>
    <row r="471" spans="1:26" ht="15.5">
      <c r="A471" s="1184"/>
      <c r="B471" s="1184"/>
      <c r="C471" s="1184"/>
      <c r="D471" s="1184"/>
      <c r="E471" s="1184"/>
      <c r="F471" s="1184"/>
      <c r="G471" s="1184"/>
      <c r="H471" s="1184"/>
      <c r="I471" s="1184"/>
      <c r="J471" s="1184"/>
      <c r="K471" s="1184"/>
      <c r="L471" s="1184"/>
      <c r="M471" s="1184"/>
      <c r="N471" s="1184"/>
      <c r="O471" s="1184"/>
      <c r="P471" s="1184"/>
      <c r="Q471" s="1184"/>
      <c r="R471" s="1184"/>
      <c r="S471" s="1184"/>
      <c r="T471" s="1184"/>
      <c r="U471" s="1184"/>
      <c r="V471" s="1184"/>
      <c r="W471" s="1184"/>
      <c r="X471" s="1184"/>
      <c r="Y471" s="1184"/>
      <c r="Z471" s="1184"/>
    </row>
    <row r="472" spans="1:26" ht="15.5">
      <c r="A472" s="1184"/>
      <c r="B472" s="1184"/>
      <c r="C472" s="1184"/>
      <c r="D472" s="1184"/>
      <c r="E472" s="1184"/>
      <c r="F472" s="1184"/>
      <c r="G472" s="1184"/>
      <c r="H472" s="1184"/>
      <c r="I472" s="1184"/>
      <c r="J472" s="1184"/>
      <c r="K472" s="1184"/>
      <c r="L472" s="1184"/>
      <c r="M472" s="1184"/>
      <c r="N472" s="1184"/>
      <c r="O472" s="1184"/>
      <c r="P472" s="1184"/>
      <c r="Q472" s="1184"/>
      <c r="R472" s="1184"/>
      <c r="S472" s="1184"/>
      <c r="T472" s="1184"/>
      <c r="U472" s="1184"/>
      <c r="V472" s="1184"/>
      <c r="W472" s="1184"/>
      <c r="X472" s="1184"/>
      <c r="Y472" s="1184"/>
      <c r="Z472" s="1184"/>
    </row>
    <row r="473" spans="1:26" ht="15.5">
      <c r="A473" s="1184"/>
      <c r="B473" s="1184"/>
      <c r="C473" s="1184"/>
      <c r="D473" s="1184"/>
      <c r="E473" s="1184"/>
      <c r="F473" s="1184"/>
      <c r="G473" s="1184"/>
      <c r="H473" s="1184"/>
      <c r="I473" s="1184"/>
      <c r="J473" s="1184"/>
      <c r="K473" s="1184"/>
      <c r="L473" s="1184"/>
      <c r="M473" s="1184"/>
      <c r="N473" s="1184"/>
      <c r="O473" s="1184"/>
      <c r="P473" s="1184"/>
      <c r="Q473" s="1184"/>
      <c r="R473" s="1184"/>
      <c r="S473" s="1184"/>
      <c r="T473" s="1184"/>
      <c r="U473" s="1184"/>
      <c r="V473" s="1184"/>
      <c r="W473" s="1184"/>
      <c r="X473" s="1184"/>
      <c r="Y473" s="1184"/>
      <c r="Z473" s="1184"/>
    </row>
    <row r="474" spans="1:26" ht="15.5">
      <c r="A474" s="1184"/>
      <c r="B474" s="1184"/>
      <c r="C474" s="1184"/>
      <c r="D474" s="1184"/>
      <c r="E474" s="1184"/>
      <c r="F474" s="1184"/>
      <c r="G474" s="1184"/>
      <c r="H474" s="1184"/>
      <c r="I474" s="1184"/>
      <c r="J474" s="1184"/>
      <c r="K474" s="1184"/>
      <c r="L474" s="1184"/>
      <c r="M474" s="1184"/>
      <c r="N474" s="1184"/>
      <c r="O474" s="1184"/>
      <c r="P474" s="1184"/>
      <c r="Q474" s="1184"/>
      <c r="R474" s="1184"/>
      <c r="S474" s="1184"/>
      <c r="T474" s="1184"/>
      <c r="U474" s="1184"/>
      <c r="V474" s="1184"/>
      <c r="W474" s="1184"/>
      <c r="X474" s="1184"/>
      <c r="Y474" s="1184"/>
      <c r="Z474" s="1184"/>
    </row>
    <row r="475" spans="1:26" ht="15.5">
      <c r="A475" s="1184"/>
      <c r="B475" s="1184"/>
      <c r="C475" s="1184"/>
      <c r="D475" s="1184"/>
      <c r="E475" s="1184"/>
      <c r="F475" s="1184"/>
      <c r="G475" s="1184"/>
      <c r="H475" s="1184"/>
      <c r="I475" s="1184"/>
      <c r="J475" s="1184"/>
      <c r="K475" s="1184"/>
      <c r="L475" s="1184"/>
      <c r="M475" s="1184"/>
      <c r="N475" s="1184"/>
      <c r="O475" s="1184"/>
      <c r="P475" s="1184"/>
      <c r="Q475" s="1184"/>
      <c r="R475" s="1184"/>
      <c r="S475" s="1184"/>
      <c r="T475" s="1184"/>
      <c r="U475" s="1184"/>
      <c r="V475" s="1184"/>
      <c r="W475" s="1184"/>
      <c r="X475" s="1184"/>
      <c r="Y475" s="1184"/>
      <c r="Z475" s="1184"/>
    </row>
    <row r="476" spans="1:26" ht="15.5">
      <c r="A476" s="1184"/>
      <c r="B476" s="1184"/>
      <c r="C476" s="1184"/>
      <c r="D476" s="1184"/>
      <c r="E476" s="1184"/>
      <c r="F476" s="1184"/>
      <c r="G476" s="1184"/>
      <c r="H476" s="1184"/>
      <c r="I476" s="1184"/>
      <c r="J476" s="1184"/>
      <c r="K476" s="1184"/>
      <c r="L476" s="1184"/>
      <c r="M476" s="1184"/>
      <c r="N476" s="1184"/>
      <c r="O476" s="1184"/>
      <c r="P476" s="1184"/>
      <c r="Q476" s="1184"/>
      <c r="R476" s="1184"/>
      <c r="S476" s="1184"/>
      <c r="T476" s="1184"/>
      <c r="U476" s="1184"/>
      <c r="V476" s="1184"/>
      <c r="W476" s="1184"/>
      <c r="X476" s="1184"/>
      <c r="Y476" s="1184"/>
      <c r="Z476" s="1184"/>
    </row>
    <row r="477" spans="1:26" ht="15.5">
      <c r="A477" s="1184"/>
      <c r="B477" s="1184"/>
      <c r="C477" s="1184"/>
      <c r="D477" s="1184"/>
      <c r="E477" s="1184"/>
      <c r="F477" s="1184"/>
      <c r="G477" s="1184"/>
      <c r="H477" s="1184"/>
      <c r="I477" s="1184"/>
      <c r="J477" s="1184"/>
      <c r="K477" s="1184"/>
      <c r="L477" s="1184"/>
      <c r="M477" s="1184"/>
      <c r="N477" s="1184"/>
      <c r="O477" s="1184"/>
      <c r="P477" s="1184"/>
      <c r="Q477" s="1184"/>
      <c r="R477" s="1184"/>
      <c r="S477" s="1184"/>
      <c r="T477" s="1184"/>
      <c r="U477" s="1184"/>
      <c r="V477" s="1184"/>
      <c r="W477" s="1184"/>
      <c r="X477" s="1184"/>
      <c r="Y477" s="1184"/>
      <c r="Z477" s="1184"/>
    </row>
    <row r="478" spans="1:26" ht="15.5">
      <c r="A478" s="1184"/>
      <c r="B478" s="1184"/>
      <c r="C478" s="1184"/>
      <c r="D478" s="1184"/>
      <c r="E478" s="1184"/>
      <c r="F478" s="1184"/>
      <c r="G478" s="1184"/>
      <c r="H478" s="1184"/>
      <c r="I478" s="1184"/>
      <c r="J478" s="1184"/>
      <c r="K478" s="1184"/>
      <c r="L478" s="1184"/>
      <c r="M478" s="1184"/>
      <c r="N478" s="1184"/>
      <c r="O478" s="1184"/>
      <c r="P478" s="1184"/>
      <c r="Q478" s="1184"/>
      <c r="R478" s="1184"/>
      <c r="S478" s="1184"/>
      <c r="T478" s="1184"/>
      <c r="U478" s="1184"/>
      <c r="V478" s="1184"/>
      <c r="W478" s="1184"/>
      <c r="X478" s="1184"/>
      <c r="Y478" s="1184"/>
      <c r="Z478" s="1184"/>
    </row>
    <row r="479" spans="1:26" ht="15.5">
      <c r="A479" s="1184"/>
      <c r="B479" s="1184"/>
      <c r="C479" s="1184"/>
      <c r="D479" s="1184"/>
      <c r="E479" s="1184"/>
      <c r="F479" s="1184"/>
      <c r="G479" s="1184"/>
      <c r="H479" s="1184"/>
      <c r="I479" s="1184"/>
      <c r="J479" s="1184"/>
      <c r="K479" s="1184"/>
      <c r="L479" s="1184"/>
      <c r="M479" s="1184"/>
      <c r="N479" s="1184"/>
      <c r="O479" s="1184"/>
      <c r="P479" s="1184"/>
      <c r="Q479" s="1184"/>
      <c r="R479" s="1184"/>
      <c r="S479" s="1184"/>
      <c r="T479" s="1184"/>
      <c r="U479" s="1184"/>
      <c r="V479" s="1184"/>
      <c r="W479" s="1184"/>
      <c r="X479" s="1184"/>
      <c r="Y479" s="1184"/>
      <c r="Z479" s="1184"/>
    </row>
    <row r="480" spans="1:26" ht="15.5">
      <c r="A480" s="1184"/>
      <c r="B480" s="1184"/>
      <c r="C480" s="1184"/>
      <c r="D480" s="1184"/>
      <c r="E480" s="1184"/>
      <c r="F480" s="1184"/>
      <c r="G480" s="1184"/>
      <c r="H480" s="1184"/>
      <c r="I480" s="1184"/>
      <c r="J480" s="1184"/>
      <c r="K480" s="1184"/>
      <c r="L480" s="1184"/>
      <c r="M480" s="1184"/>
      <c r="N480" s="1184"/>
      <c r="O480" s="1184"/>
      <c r="P480" s="1184"/>
      <c r="Q480" s="1184"/>
      <c r="R480" s="1184"/>
      <c r="S480" s="1184"/>
      <c r="T480" s="1184"/>
      <c r="U480" s="1184"/>
      <c r="V480" s="1184"/>
      <c r="W480" s="1184"/>
      <c r="X480" s="1184"/>
      <c r="Y480" s="1184"/>
      <c r="Z480" s="1184"/>
    </row>
    <row r="481" spans="1:26" ht="15.5">
      <c r="A481" s="1184"/>
      <c r="B481" s="1184"/>
      <c r="C481" s="1184"/>
      <c r="D481" s="1184"/>
      <c r="E481" s="1184"/>
      <c r="F481" s="1184"/>
      <c r="G481" s="1184"/>
      <c r="H481" s="1184"/>
      <c r="I481" s="1184"/>
      <c r="J481" s="1184"/>
      <c r="K481" s="1184"/>
      <c r="L481" s="1184"/>
      <c r="M481" s="1184"/>
      <c r="N481" s="1184"/>
      <c r="O481" s="1184"/>
      <c r="P481" s="1184"/>
      <c r="Q481" s="1184"/>
      <c r="R481" s="1184"/>
      <c r="S481" s="1184"/>
      <c r="T481" s="1184"/>
      <c r="U481" s="1184"/>
      <c r="V481" s="1184"/>
      <c r="W481" s="1184"/>
      <c r="X481" s="1184"/>
      <c r="Y481" s="1184"/>
      <c r="Z481" s="1184"/>
    </row>
    <row r="482" spans="1:26" ht="15.5">
      <c r="A482" s="1184"/>
      <c r="B482" s="1184"/>
      <c r="C482" s="1184"/>
      <c r="D482" s="1184"/>
      <c r="E482" s="1184"/>
      <c r="F482" s="1184"/>
      <c r="G482" s="1184"/>
      <c r="H482" s="1184"/>
      <c r="I482" s="1184"/>
      <c r="J482" s="1184"/>
      <c r="K482" s="1184"/>
      <c r="L482" s="1184"/>
      <c r="M482" s="1184"/>
      <c r="N482" s="1184"/>
      <c r="O482" s="1184"/>
      <c r="P482" s="1184"/>
      <c r="Q482" s="1184"/>
      <c r="R482" s="1184"/>
      <c r="S482" s="1184"/>
      <c r="T482" s="1184"/>
      <c r="U482" s="1184"/>
      <c r="V482" s="1184"/>
      <c r="W482" s="1184"/>
      <c r="X482" s="1184"/>
      <c r="Y482" s="1184"/>
      <c r="Z482" s="1184"/>
    </row>
    <row r="483" spans="1:26" ht="15.5">
      <c r="A483" s="1184"/>
      <c r="B483" s="1184"/>
      <c r="C483" s="1184"/>
      <c r="D483" s="1184"/>
      <c r="E483" s="1184"/>
      <c r="F483" s="1184"/>
      <c r="G483" s="1184"/>
      <c r="H483" s="1184"/>
      <c r="I483" s="1184"/>
      <c r="J483" s="1184"/>
      <c r="K483" s="1184"/>
      <c r="L483" s="1184"/>
      <c r="M483" s="1184"/>
      <c r="N483" s="1184"/>
      <c r="O483" s="1184"/>
      <c r="P483" s="1184"/>
      <c r="Q483" s="1184"/>
      <c r="R483" s="1184"/>
      <c r="S483" s="1184"/>
      <c r="T483" s="1184"/>
      <c r="U483" s="1184"/>
      <c r="V483" s="1184"/>
      <c r="W483" s="1184"/>
      <c r="X483" s="1184"/>
      <c r="Y483" s="1184"/>
      <c r="Z483" s="1184"/>
    </row>
    <row r="484" spans="1:26" ht="15.5">
      <c r="A484" s="1184"/>
      <c r="B484" s="1184"/>
      <c r="C484" s="1184"/>
      <c r="D484" s="1184"/>
      <c r="E484" s="1184"/>
      <c r="F484" s="1184"/>
      <c r="G484" s="1184"/>
      <c r="H484" s="1184"/>
      <c r="I484" s="1184"/>
      <c r="J484" s="1184"/>
      <c r="K484" s="1184"/>
      <c r="L484" s="1184"/>
      <c r="M484" s="1184"/>
      <c r="N484" s="1184"/>
      <c r="O484" s="1184"/>
      <c r="P484" s="1184"/>
      <c r="Q484" s="1184"/>
      <c r="R484" s="1184"/>
      <c r="S484" s="1184"/>
      <c r="T484" s="1184"/>
      <c r="U484" s="1184"/>
      <c r="V484" s="1184"/>
      <c r="W484" s="1184"/>
      <c r="X484" s="1184"/>
      <c r="Y484" s="1184"/>
      <c r="Z484" s="1184"/>
    </row>
    <row r="485" spans="1:26" ht="15.5">
      <c r="A485" s="1184"/>
      <c r="B485" s="1184"/>
      <c r="C485" s="1184"/>
      <c r="D485" s="1184"/>
      <c r="E485" s="1184"/>
      <c r="F485" s="1184"/>
      <c r="G485" s="1184"/>
      <c r="H485" s="1184"/>
      <c r="I485" s="1184"/>
      <c r="J485" s="1184"/>
      <c r="K485" s="1184"/>
      <c r="L485" s="1184"/>
      <c r="M485" s="1184"/>
      <c r="N485" s="1184"/>
      <c r="O485" s="1184"/>
      <c r="P485" s="1184"/>
      <c r="Q485" s="1184"/>
      <c r="R485" s="1184"/>
      <c r="S485" s="1184"/>
      <c r="T485" s="1184"/>
      <c r="U485" s="1184"/>
      <c r="V485" s="1184"/>
      <c r="W485" s="1184"/>
      <c r="X485" s="1184"/>
      <c r="Y485" s="1184"/>
      <c r="Z485" s="1184"/>
    </row>
    <row r="486" spans="1:26" ht="15.5">
      <c r="A486" s="1184"/>
      <c r="B486" s="1184"/>
      <c r="C486" s="1184"/>
      <c r="D486" s="1184"/>
      <c r="E486" s="1184"/>
      <c r="F486" s="1184"/>
      <c r="G486" s="1184"/>
      <c r="H486" s="1184"/>
      <c r="I486" s="1184"/>
      <c r="J486" s="1184"/>
      <c r="K486" s="1184"/>
      <c r="L486" s="1184"/>
      <c r="M486" s="1184"/>
      <c r="N486" s="1184"/>
      <c r="O486" s="1184"/>
      <c r="P486" s="1184"/>
      <c r="Q486" s="1184"/>
      <c r="R486" s="1184"/>
      <c r="S486" s="1184"/>
      <c r="T486" s="1184"/>
      <c r="U486" s="1184"/>
      <c r="V486" s="1184"/>
      <c r="W486" s="1184"/>
      <c r="X486" s="1184"/>
      <c r="Y486" s="1184"/>
      <c r="Z486" s="1184"/>
    </row>
    <row r="487" spans="1:26" ht="15.5">
      <c r="A487" s="1184"/>
      <c r="B487" s="1184"/>
      <c r="C487" s="1184"/>
      <c r="D487" s="1184"/>
      <c r="E487" s="1184"/>
      <c r="F487" s="1184"/>
      <c r="G487" s="1184"/>
      <c r="H487" s="1184"/>
      <c r="I487" s="1184"/>
      <c r="J487" s="1184"/>
      <c r="K487" s="1184"/>
      <c r="L487" s="1184"/>
      <c r="M487" s="1184"/>
      <c r="N487" s="1184"/>
      <c r="O487" s="1184"/>
      <c r="P487" s="1184"/>
      <c r="Q487" s="1184"/>
      <c r="R487" s="1184"/>
      <c r="S487" s="1184"/>
      <c r="T487" s="1184"/>
      <c r="U487" s="1184"/>
      <c r="V487" s="1184"/>
      <c r="W487" s="1184"/>
      <c r="X487" s="1184"/>
      <c r="Y487" s="1184"/>
      <c r="Z487" s="1184"/>
    </row>
    <row r="488" spans="1:26" ht="15.5">
      <c r="A488" s="1184"/>
      <c r="B488" s="1184"/>
      <c r="C488" s="1184"/>
      <c r="D488" s="1184"/>
      <c r="E488" s="1184"/>
      <c r="F488" s="1184"/>
      <c r="G488" s="1184"/>
      <c r="H488" s="1184"/>
      <c r="I488" s="1184"/>
      <c r="J488" s="1184"/>
      <c r="K488" s="1184"/>
      <c r="L488" s="1184"/>
      <c r="M488" s="1184"/>
      <c r="N488" s="1184"/>
      <c r="O488" s="1184"/>
      <c r="P488" s="1184"/>
      <c r="Q488" s="1184"/>
      <c r="R488" s="1184"/>
      <c r="S488" s="1184"/>
      <c r="T488" s="1184"/>
      <c r="U488" s="1184"/>
      <c r="V488" s="1184"/>
      <c r="W488" s="1184"/>
      <c r="X488" s="1184"/>
      <c r="Y488" s="1184"/>
      <c r="Z488" s="1184"/>
    </row>
    <row r="489" spans="1:26" ht="15.5">
      <c r="A489" s="1184"/>
      <c r="B489" s="1184"/>
      <c r="C489" s="1184"/>
      <c r="D489" s="1184"/>
      <c r="E489" s="1184"/>
      <c r="F489" s="1184"/>
      <c r="G489" s="1184"/>
      <c r="H489" s="1184"/>
      <c r="I489" s="1184"/>
      <c r="J489" s="1184"/>
      <c r="K489" s="1184"/>
      <c r="L489" s="1184"/>
      <c r="M489" s="1184"/>
      <c r="N489" s="1184"/>
      <c r="O489" s="1184"/>
      <c r="P489" s="1184"/>
      <c r="Q489" s="1184"/>
      <c r="R489" s="1184"/>
      <c r="S489" s="1184"/>
      <c r="T489" s="1184"/>
      <c r="U489" s="1184"/>
      <c r="V489" s="1184"/>
      <c r="W489" s="1184"/>
      <c r="X489" s="1184"/>
      <c r="Y489" s="1184"/>
      <c r="Z489" s="1184"/>
    </row>
    <row r="490" spans="1:26" ht="15.5">
      <c r="A490" s="1184"/>
      <c r="B490" s="1184"/>
      <c r="C490" s="1184"/>
      <c r="D490" s="1184"/>
      <c r="E490" s="1184"/>
      <c r="F490" s="1184"/>
      <c r="G490" s="1184"/>
      <c r="H490" s="1184"/>
      <c r="I490" s="1184"/>
      <c r="J490" s="1184"/>
      <c r="K490" s="1184"/>
      <c r="L490" s="1184"/>
      <c r="M490" s="1184"/>
      <c r="N490" s="1184"/>
      <c r="O490" s="1184"/>
      <c r="P490" s="1184"/>
      <c r="Q490" s="1184"/>
      <c r="R490" s="1184"/>
      <c r="S490" s="1184"/>
      <c r="T490" s="1184"/>
      <c r="U490" s="1184"/>
      <c r="V490" s="1184"/>
      <c r="W490" s="1184"/>
      <c r="X490" s="1184"/>
      <c r="Y490" s="1184"/>
      <c r="Z490" s="1184"/>
    </row>
    <row r="491" spans="1:26" ht="15.5">
      <c r="A491" s="1184"/>
      <c r="B491" s="1184"/>
      <c r="C491" s="1184"/>
      <c r="D491" s="1184"/>
      <c r="E491" s="1184"/>
      <c r="F491" s="1184"/>
      <c r="G491" s="1184"/>
      <c r="H491" s="1184"/>
      <c r="I491" s="1184"/>
      <c r="J491" s="1184"/>
      <c r="K491" s="1184"/>
      <c r="L491" s="1184"/>
      <c r="M491" s="1184"/>
      <c r="N491" s="1184"/>
      <c r="O491" s="1184"/>
      <c r="P491" s="1184"/>
      <c r="Q491" s="1184"/>
      <c r="R491" s="1184"/>
      <c r="S491" s="1184"/>
      <c r="T491" s="1184"/>
      <c r="U491" s="1184"/>
      <c r="V491" s="1184"/>
      <c r="W491" s="1184"/>
      <c r="X491" s="1184"/>
      <c r="Y491" s="1184"/>
      <c r="Z491" s="1184"/>
    </row>
    <row r="492" spans="1:26" ht="15.5">
      <c r="A492" s="1184"/>
      <c r="B492" s="1184"/>
      <c r="C492" s="1184"/>
      <c r="D492" s="1184"/>
      <c r="E492" s="1184"/>
      <c r="F492" s="1184"/>
      <c r="G492" s="1184"/>
      <c r="H492" s="1184"/>
      <c r="I492" s="1184"/>
      <c r="J492" s="1184"/>
      <c r="K492" s="1184"/>
      <c r="L492" s="1184"/>
      <c r="M492" s="1184"/>
      <c r="N492" s="1184"/>
      <c r="O492" s="1184"/>
      <c r="P492" s="1184"/>
      <c r="Q492" s="1184"/>
      <c r="R492" s="1184"/>
      <c r="S492" s="1184"/>
      <c r="T492" s="1184"/>
      <c r="U492" s="1184"/>
      <c r="V492" s="1184"/>
      <c r="W492" s="1184"/>
      <c r="X492" s="1184"/>
      <c r="Y492" s="1184"/>
      <c r="Z492" s="1184"/>
    </row>
    <row r="493" spans="1:26" ht="15.5">
      <c r="A493" s="1184"/>
      <c r="B493" s="1184"/>
      <c r="C493" s="1184"/>
      <c r="D493" s="1184"/>
      <c r="E493" s="1184"/>
      <c r="F493" s="1184"/>
      <c r="G493" s="1184"/>
      <c r="H493" s="1184"/>
      <c r="I493" s="1184"/>
      <c r="J493" s="1184"/>
      <c r="K493" s="1184"/>
      <c r="L493" s="1184"/>
      <c r="M493" s="1184"/>
      <c r="N493" s="1184"/>
      <c r="O493" s="1184"/>
      <c r="P493" s="1184"/>
      <c r="Q493" s="1184"/>
      <c r="R493" s="1184"/>
      <c r="S493" s="1184"/>
      <c r="T493" s="1184"/>
      <c r="U493" s="1184"/>
      <c r="V493" s="1184"/>
      <c r="W493" s="1184"/>
      <c r="X493" s="1184"/>
      <c r="Y493" s="1184"/>
      <c r="Z493" s="1184"/>
    </row>
    <row r="494" spans="1:26" ht="15.5">
      <c r="A494" s="1184"/>
      <c r="B494" s="1184"/>
      <c r="C494" s="1184"/>
      <c r="D494" s="1184"/>
      <c r="E494" s="1184"/>
      <c r="F494" s="1184"/>
      <c r="G494" s="1184"/>
      <c r="H494" s="1184"/>
      <c r="I494" s="1184"/>
      <c r="J494" s="1184"/>
      <c r="K494" s="1184"/>
      <c r="L494" s="1184"/>
      <c r="M494" s="1184"/>
      <c r="N494" s="1184"/>
      <c r="O494" s="1184"/>
      <c r="P494" s="1184"/>
      <c r="Q494" s="1184"/>
      <c r="R494" s="1184"/>
      <c r="S494" s="1184"/>
      <c r="T494" s="1184"/>
      <c r="U494" s="1184"/>
      <c r="V494" s="1184"/>
      <c r="W494" s="1184"/>
      <c r="X494" s="1184"/>
      <c r="Y494" s="1184"/>
      <c r="Z494" s="1184"/>
    </row>
    <row r="495" spans="1:26" ht="15.5">
      <c r="A495" s="1184"/>
      <c r="B495" s="1184"/>
      <c r="C495" s="1184"/>
      <c r="D495" s="1184"/>
      <c r="E495" s="1184"/>
      <c r="F495" s="1184"/>
      <c r="G495" s="1184"/>
      <c r="H495" s="1184"/>
      <c r="I495" s="1184"/>
      <c r="J495" s="1184"/>
      <c r="K495" s="1184"/>
      <c r="L495" s="1184"/>
      <c r="M495" s="1184"/>
      <c r="N495" s="1184"/>
      <c r="O495" s="1184"/>
      <c r="P495" s="1184"/>
      <c r="Q495" s="1184"/>
      <c r="R495" s="1184"/>
      <c r="S495" s="1184"/>
      <c r="T495" s="1184"/>
      <c r="U495" s="1184"/>
      <c r="V495" s="1184"/>
      <c r="W495" s="1184"/>
      <c r="X495" s="1184"/>
      <c r="Y495" s="1184"/>
      <c r="Z495" s="1184"/>
    </row>
    <row r="496" spans="1:26" ht="15.5">
      <c r="A496" s="1184"/>
      <c r="B496" s="1184"/>
      <c r="C496" s="1184"/>
      <c r="D496" s="1184"/>
      <c r="E496" s="1184"/>
      <c r="F496" s="1184"/>
      <c r="G496" s="1184"/>
      <c r="H496" s="1184"/>
      <c r="I496" s="1184"/>
      <c r="J496" s="1184"/>
      <c r="K496" s="1184"/>
      <c r="L496" s="1184"/>
      <c r="M496" s="1184"/>
      <c r="N496" s="1184"/>
      <c r="O496" s="1184"/>
      <c r="P496" s="1184"/>
      <c r="Q496" s="1184"/>
      <c r="R496" s="1184"/>
      <c r="S496" s="1184"/>
      <c r="T496" s="1184"/>
      <c r="U496" s="1184"/>
      <c r="V496" s="1184"/>
      <c r="W496" s="1184"/>
      <c r="X496" s="1184"/>
      <c r="Y496" s="1184"/>
      <c r="Z496" s="1184"/>
    </row>
    <row r="497" spans="1:26" ht="15.5">
      <c r="A497" s="1184"/>
      <c r="B497" s="1184"/>
      <c r="C497" s="1184"/>
      <c r="D497" s="1184"/>
      <c r="E497" s="1184"/>
      <c r="F497" s="1184"/>
      <c r="G497" s="1184"/>
      <c r="H497" s="1184"/>
      <c r="I497" s="1184"/>
      <c r="J497" s="1184"/>
      <c r="K497" s="1184"/>
      <c r="L497" s="1184"/>
      <c r="M497" s="1184"/>
      <c r="N497" s="1184"/>
      <c r="O497" s="1184"/>
      <c r="P497" s="1184"/>
      <c r="Q497" s="1184"/>
      <c r="R497" s="1184"/>
      <c r="S497" s="1184"/>
      <c r="T497" s="1184"/>
      <c r="U497" s="1184"/>
      <c r="V497" s="1184"/>
      <c r="W497" s="1184"/>
      <c r="X497" s="1184"/>
      <c r="Y497" s="1184"/>
      <c r="Z497" s="1184"/>
    </row>
    <row r="498" spans="1:26" ht="15.5">
      <c r="A498" s="1184"/>
      <c r="B498" s="1184"/>
      <c r="C498" s="1184"/>
      <c r="D498" s="1184"/>
      <c r="E498" s="1184"/>
      <c r="F498" s="1184"/>
      <c r="G498" s="1184"/>
      <c r="H498" s="1184"/>
      <c r="I498" s="1184"/>
      <c r="J498" s="1184"/>
      <c r="K498" s="1184"/>
      <c r="L498" s="1184"/>
      <c r="M498" s="1184"/>
      <c r="N498" s="1184"/>
      <c r="O498" s="1184"/>
      <c r="P498" s="1184"/>
      <c r="Q498" s="1184"/>
      <c r="R498" s="1184"/>
      <c r="S498" s="1184"/>
      <c r="T498" s="1184"/>
      <c r="U498" s="1184"/>
      <c r="V498" s="1184"/>
      <c r="W498" s="1184"/>
      <c r="X498" s="1184"/>
      <c r="Y498" s="1184"/>
      <c r="Z498" s="1184"/>
    </row>
    <row r="499" spans="1:26" ht="15.5">
      <c r="A499" s="1184"/>
      <c r="B499" s="1184"/>
      <c r="C499" s="1184"/>
      <c r="D499" s="1184"/>
      <c r="E499" s="1184"/>
      <c r="F499" s="1184"/>
      <c r="G499" s="1184"/>
      <c r="H499" s="1184"/>
      <c r="I499" s="1184"/>
      <c r="J499" s="1184"/>
      <c r="K499" s="1184"/>
      <c r="L499" s="1184"/>
      <c r="M499" s="1184"/>
      <c r="N499" s="1184"/>
      <c r="O499" s="1184"/>
      <c r="P499" s="1184"/>
      <c r="Q499" s="1184"/>
      <c r="R499" s="1184"/>
      <c r="S499" s="1184"/>
      <c r="T499" s="1184"/>
      <c r="U499" s="1184"/>
      <c r="V499" s="1184"/>
      <c r="W499" s="1184"/>
      <c r="X499" s="1184"/>
      <c r="Y499" s="1184"/>
      <c r="Z499" s="1184"/>
    </row>
    <row r="500" spans="1:26" ht="15.5">
      <c r="A500" s="1184"/>
      <c r="B500" s="1184"/>
      <c r="C500" s="1184"/>
      <c r="D500" s="1184"/>
      <c r="E500" s="1184"/>
      <c r="F500" s="1184"/>
      <c r="G500" s="1184"/>
      <c r="H500" s="1184"/>
      <c r="I500" s="1184"/>
      <c r="J500" s="1184"/>
      <c r="K500" s="1184"/>
      <c r="L500" s="1184"/>
      <c r="M500" s="1184"/>
      <c r="N500" s="1184"/>
      <c r="O500" s="1184"/>
      <c r="P500" s="1184"/>
      <c r="Q500" s="1184"/>
      <c r="R500" s="1184"/>
      <c r="S500" s="1184"/>
      <c r="T500" s="1184"/>
      <c r="U500" s="1184"/>
      <c r="V500" s="1184"/>
      <c r="W500" s="1184"/>
      <c r="X500" s="1184"/>
      <c r="Y500" s="1184"/>
      <c r="Z500" s="1184"/>
    </row>
    <row r="501" spans="1:26" ht="15.5">
      <c r="A501" s="1184"/>
      <c r="B501" s="1184"/>
      <c r="C501" s="1184"/>
      <c r="D501" s="1184"/>
      <c r="E501" s="1184"/>
      <c r="F501" s="1184"/>
      <c r="G501" s="1184"/>
      <c r="H501" s="1184"/>
      <c r="I501" s="1184"/>
      <c r="J501" s="1184"/>
      <c r="K501" s="1184"/>
      <c r="L501" s="1184"/>
      <c r="M501" s="1184"/>
      <c r="N501" s="1184"/>
      <c r="O501" s="1184"/>
      <c r="P501" s="1184"/>
      <c r="Q501" s="1184"/>
      <c r="R501" s="1184"/>
      <c r="S501" s="1184"/>
      <c r="T501" s="1184"/>
      <c r="U501" s="1184"/>
      <c r="V501" s="1184"/>
      <c r="W501" s="1184"/>
      <c r="X501" s="1184"/>
      <c r="Y501" s="1184"/>
      <c r="Z501" s="1184"/>
    </row>
    <row r="502" spans="1:26" ht="15.5">
      <c r="A502" s="1184"/>
      <c r="B502" s="1184"/>
      <c r="C502" s="1184"/>
      <c r="D502" s="1184"/>
      <c r="E502" s="1184"/>
      <c r="F502" s="1184"/>
      <c r="G502" s="1184"/>
      <c r="H502" s="1184"/>
      <c r="I502" s="1184"/>
      <c r="J502" s="1184"/>
      <c r="K502" s="1184"/>
      <c r="L502" s="1184"/>
      <c r="M502" s="1184"/>
      <c r="N502" s="1184"/>
      <c r="O502" s="1184"/>
      <c r="P502" s="1184"/>
      <c r="Q502" s="1184"/>
      <c r="R502" s="1184"/>
      <c r="S502" s="1184"/>
      <c r="T502" s="1184"/>
      <c r="U502" s="1184"/>
      <c r="V502" s="1184"/>
      <c r="W502" s="1184"/>
      <c r="X502" s="1184"/>
      <c r="Y502" s="1184"/>
      <c r="Z502" s="1184"/>
    </row>
    <row r="503" spans="1:26" ht="15.5">
      <c r="A503" s="1184"/>
      <c r="B503" s="1184"/>
      <c r="C503" s="1184"/>
      <c r="D503" s="1184"/>
      <c r="E503" s="1184"/>
      <c r="F503" s="1184"/>
      <c r="G503" s="1184"/>
      <c r="H503" s="1184"/>
      <c r="I503" s="1184"/>
      <c r="J503" s="1184"/>
      <c r="K503" s="1184"/>
      <c r="L503" s="1184"/>
      <c r="M503" s="1184"/>
      <c r="N503" s="1184"/>
      <c r="O503" s="1184"/>
      <c r="P503" s="1184"/>
      <c r="Q503" s="1184"/>
      <c r="R503" s="1184"/>
      <c r="S503" s="1184"/>
      <c r="T503" s="1184"/>
      <c r="U503" s="1184"/>
      <c r="V503" s="1184"/>
      <c r="W503" s="1184"/>
      <c r="X503" s="1184"/>
      <c r="Y503" s="1184"/>
      <c r="Z503" s="1184"/>
    </row>
    <row r="504" spans="1:26" ht="15.5">
      <c r="A504" s="1184"/>
      <c r="B504" s="1184"/>
      <c r="C504" s="1184"/>
      <c r="D504" s="1184"/>
      <c r="E504" s="1184"/>
      <c r="F504" s="1184"/>
      <c r="G504" s="1184"/>
      <c r="H504" s="1184"/>
      <c r="I504" s="1184"/>
      <c r="J504" s="1184"/>
      <c r="K504" s="1184"/>
      <c r="L504" s="1184"/>
      <c r="M504" s="1184"/>
      <c r="N504" s="1184"/>
      <c r="O504" s="1184"/>
      <c r="P504" s="1184"/>
      <c r="Q504" s="1184"/>
      <c r="R504" s="1184"/>
      <c r="S504" s="1184"/>
      <c r="T504" s="1184"/>
      <c r="U504" s="1184"/>
      <c r="V504" s="1184"/>
      <c r="W504" s="1184"/>
      <c r="X504" s="1184"/>
      <c r="Y504" s="1184"/>
      <c r="Z504" s="1184"/>
    </row>
    <row r="505" spans="1:26" ht="15.5">
      <c r="A505" s="1184"/>
      <c r="B505" s="1184"/>
      <c r="C505" s="1184"/>
      <c r="D505" s="1184"/>
      <c r="E505" s="1184"/>
      <c r="F505" s="1184"/>
      <c r="G505" s="1184"/>
      <c r="H505" s="1184"/>
      <c r="I505" s="1184"/>
      <c r="J505" s="1184"/>
      <c r="K505" s="1184"/>
      <c r="L505" s="1184"/>
      <c r="M505" s="1184"/>
      <c r="N505" s="1184"/>
      <c r="O505" s="1184"/>
      <c r="P505" s="1184"/>
      <c r="Q505" s="1184"/>
      <c r="R505" s="1184"/>
      <c r="S505" s="1184"/>
      <c r="T505" s="1184"/>
      <c r="U505" s="1184"/>
      <c r="V505" s="1184"/>
      <c r="W505" s="1184"/>
      <c r="X505" s="1184"/>
      <c r="Y505" s="1184"/>
      <c r="Z505" s="1184"/>
    </row>
    <row r="506" spans="1:26" ht="15.5">
      <c r="A506" s="1184"/>
      <c r="B506" s="1184"/>
      <c r="C506" s="1184"/>
      <c r="D506" s="1184"/>
      <c r="E506" s="1184"/>
      <c r="F506" s="1184"/>
      <c r="G506" s="1184"/>
      <c r="H506" s="1184"/>
      <c r="I506" s="1184"/>
      <c r="J506" s="1184"/>
      <c r="K506" s="1184"/>
      <c r="L506" s="1184"/>
      <c r="M506" s="1184"/>
      <c r="N506" s="1184"/>
      <c r="O506" s="1184"/>
      <c r="P506" s="1184"/>
      <c r="Q506" s="1184"/>
      <c r="R506" s="1184"/>
      <c r="S506" s="1184"/>
      <c r="T506" s="1184"/>
      <c r="U506" s="1184"/>
      <c r="V506" s="1184"/>
      <c r="W506" s="1184"/>
      <c r="X506" s="1184"/>
      <c r="Y506" s="1184"/>
      <c r="Z506" s="1184"/>
    </row>
    <row r="507" spans="1:26" ht="15.5">
      <c r="A507" s="1184"/>
      <c r="B507" s="1184"/>
      <c r="C507" s="1184"/>
      <c r="D507" s="1184"/>
      <c r="E507" s="1184"/>
      <c r="F507" s="1184"/>
      <c r="G507" s="1184"/>
      <c r="H507" s="1184"/>
      <c r="I507" s="1184"/>
      <c r="J507" s="1184"/>
      <c r="K507" s="1184"/>
      <c r="L507" s="1184"/>
      <c r="M507" s="1184"/>
      <c r="N507" s="1184"/>
      <c r="O507" s="1184"/>
      <c r="P507" s="1184"/>
      <c r="Q507" s="1184"/>
      <c r="R507" s="1184"/>
      <c r="S507" s="1184"/>
      <c r="T507" s="1184"/>
      <c r="U507" s="1184"/>
      <c r="V507" s="1184"/>
      <c r="W507" s="1184"/>
      <c r="X507" s="1184"/>
      <c r="Y507" s="1184"/>
      <c r="Z507" s="1184"/>
    </row>
    <row r="508" spans="1:26" ht="15.5">
      <c r="A508" s="1184"/>
      <c r="B508" s="1184"/>
      <c r="C508" s="1184"/>
      <c r="D508" s="1184"/>
      <c r="E508" s="1184"/>
      <c r="F508" s="1184"/>
      <c r="G508" s="1184"/>
      <c r="H508" s="1184"/>
      <c r="I508" s="1184"/>
      <c r="J508" s="1184"/>
      <c r="K508" s="1184"/>
      <c r="L508" s="1184"/>
      <c r="M508" s="1184"/>
      <c r="N508" s="1184"/>
      <c r="O508" s="1184"/>
      <c r="P508" s="1184"/>
      <c r="Q508" s="1184"/>
      <c r="R508" s="1184"/>
      <c r="S508" s="1184"/>
      <c r="T508" s="1184"/>
      <c r="U508" s="1184"/>
      <c r="V508" s="1184"/>
      <c r="W508" s="1184"/>
      <c r="X508" s="1184"/>
      <c r="Y508" s="1184"/>
      <c r="Z508" s="1184"/>
    </row>
    <row r="509" spans="1:26" ht="15.5">
      <c r="A509" s="1184"/>
      <c r="B509" s="1184"/>
      <c r="C509" s="1184"/>
      <c r="D509" s="1184"/>
      <c r="E509" s="1184"/>
      <c r="F509" s="1184"/>
      <c r="G509" s="1184"/>
      <c r="H509" s="1184"/>
      <c r="I509" s="1184"/>
      <c r="J509" s="1184"/>
      <c r="K509" s="1184"/>
      <c r="L509" s="1184"/>
      <c r="M509" s="1184"/>
      <c r="N509" s="1184"/>
      <c r="O509" s="1184"/>
      <c r="P509" s="1184"/>
      <c r="Q509" s="1184"/>
      <c r="R509" s="1184"/>
      <c r="S509" s="1184"/>
      <c r="T509" s="1184"/>
      <c r="U509" s="1184"/>
      <c r="V509" s="1184"/>
      <c r="W509" s="1184"/>
      <c r="X509" s="1184"/>
      <c r="Y509" s="1184"/>
      <c r="Z509" s="1184"/>
    </row>
    <row r="510" spans="1:26" ht="15.5">
      <c r="A510" s="1184"/>
      <c r="B510" s="1184"/>
      <c r="C510" s="1184"/>
      <c r="D510" s="1184"/>
      <c r="E510" s="1184"/>
      <c r="F510" s="1184"/>
      <c r="G510" s="1184"/>
      <c r="H510" s="1184"/>
      <c r="I510" s="1184"/>
      <c r="J510" s="1184"/>
      <c r="K510" s="1184"/>
      <c r="L510" s="1184"/>
      <c r="M510" s="1184"/>
      <c r="N510" s="1184"/>
      <c r="O510" s="1184"/>
      <c r="P510" s="1184"/>
      <c r="Q510" s="1184"/>
      <c r="R510" s="1184"/>
      <c r="S510" s="1184"/>
      <c r="T510" s="1184"/>
      <c r="U510" s="1184"/>
      <c r="V510" s="1184"/>
      <c r="W510" s="1184"/>
      <c r="X510" s="1184"/>
      <c r="Y510" s="1184"/>
      <c r="Z510" s="1184"/>
    </row>
    <row r="511" spans="1:26" ht="15.5">
      <c r="A511" s="1184"/>
      <c r="B511" s="1184"/>
      <c r="C511" s="1184"/>
      <c r="D511" s="1184"/>
      <c r="E511" s="1184"/>
      <c r="F511" s="1184"/>
      <c r="G511" s="1184"/>
      <c r="H511" s="1184"/>
      <c r="I511" s="1184"/>
      <c r="J511" s="1184"/>
      <c r="K511" s="1184"/>
      <c r="L511" s="1184"/>
      <c r="M511" s="1184"/>
      <c r="N511" s="1184"/>
      <c r="O511" s="1184"/>
      <c r="P511" s="1184"/>
      <c r="Q511" s="1184"/>
      <c r="R511" s="1184"/>
      <c r="S511" s="1184"/>
      <c r="T511" s="1184"/>
      <c r="U511" s="1184"/>
      <c r="V511" s="1184"/>
      <c r="W511" s="1184"/>
      <c r="X511" s="1184"/>
      <c r="Y511" s="1184"/>
      <c r="Z511" s="1184"/>
    </row>
    <row r="512" spans="1:26" ht="15.5">
      <c r="A512" s="1184"/>
      <c r="B512" s="1184"/>
      <c r="C512" s="1184"/>
      <c r="D512" s="1184"/>
      <c r="E512" s="1184"/>
      <c r="F512" s="1184"/>
      <c r="G512" s="1184"/>
      <c r="H512" s="1184"/>
      <c r="I512" s="1184"/>
      <c r="J512" s="1184"/>
      <c r="K512" s="1184"/>
      <c r="L512" s="1184"/>
      <c r="M512" s="1184"/>
      <c r="N512" s="1184"/>
      <c r="O512" s="1184"/>
      <c r="P512" s="1184"/>
      <c r="Q512" s="1184"/>
      <c r="R512" s="1184"/>
      <c r="S512" s="1184"/>
      <c r="T512" s="1184"/>
      <c r="U512" s="1184"/>
      <c r="V512" s="1184"/>
      <c r="W512" s="1184"/>
      <c r="X512" s="1184"/>
      <c r="Y512" s="1184"/>
      <c r="Z512" s="1184"/>
    </row>
    <row r="513" spans="1:26" ht="15.5">
      <c r="A513" s="1184"/>
      <c r="B513" s="1184"/>
      <c r="C513" s="1184"/>
      <c r="D513" s="1184"/>
      <c r="E513" s="1184"/>
      <c r="F513" s="1184"/>
      <c r="G513" s="1184"/>
      <c r="H513" s="1184"/>
      <c r="I513" s="1184"/>
      <c r="J513" s="1184"/>
      <c r="K513" s="1184"/>
      <c r="L513" s="1184"/>
      <c r="M513" s="1184"/>
      <c r="N513" s="1184"/>
      <c r="O513" s="1184"/>
      <c r="P513" s="1184"/>
      <c r="Q513" s="1184"/>
      <c r="R513" s="1184"/>
      <c r="S513" s="1184"/>
      <c r="T513" s="1184"/>
      <c r="U513" s="1184"/>
      <c r="V513" s="1184"/>
      <c r="W513" s="1184"/>
      <c r="X513" s="1184"/>
      <c r="Y513" s="1184"/>
      <c r="Z513" s="1184"/>
    </row>
    <row r="514" spans="1:26" ht="15.5">
      <c r="A514" s="1184"/>
      <c r="B514" s="1184"/>
      <c r="C514" s="1184"/>
      <c r="D514" s="1184"/>
      <c r="E514" s="1184"/>
      <c r="F514" s="1184"/>
      <c r="G514" s="1184"/>
      <c r="H514" s="1184"/>
      <c r="I514" s="1184"/>
      <c r="J514" s="1184"/>
      <c r="K514" s="1184"/>
      <c r="L514" s="1184"/>
      <c r="M514" s="1184"/>
      <c r="N514" s="1184"/>
      <c r="O514" s="1184"/>
      <c r="P514" s="1184"/>
      <c r="Q514" s="1184"/>
      <c r="R514" s="1184"/>
      <c r="S514" s="1184"/>
      <c r="T514" s="1184"/>
      <c r="U514" s="1184"/>
      <c r="V514" s="1184"/>
      <c r="W514" s="1184"/>
      <c r="X514" s="1184"/>
      <c r="Y514" s="1184"/>
      <c r="Z514" s="1184"/>
    </row>
    <row r="515" spans="1:26" ht="15.5">
      <c r="A515" s="1184"/>
      <c r="B515" s="1184"/>
      <c r="C515" s="1184"/>
      <c r="D515" s="1184"/>
      <c r="E515" s="1184"/>
      <c r="F515" s="1184"/>
      <c r="G515" s="1184"/>
      <c r="H515" s="1184"/>
      <c r="I515" s="1184"/>
      <c r="J515" s="1184"/>
      <c r="K515" s="1184"/>
      <c r="L515" s="1184"/>
      <c r="M515" s="1184"/>
      <c r="N515" s="1184"/>
      <c r="O515" s="1184"/>
      <c r="P515" s="1184"/>
      <c r="Q515" s="1184"/>
      <c r="R515" s="1184"/>
      <c r="S515" s="1184"/>
      <c r="T515" s="1184"/>
      <c r="U515" s="1184"/>
      <c r="V515" s="1184"/>
      <c r="W515" s="1184"/>
      <c r="X515" s="1184"/>
      <c r="Y515" s="1184"/>
      <c r="Z515" s="1184"/>
    </row>
    <row r="516" spans="1:26" ht="15.5">
      <c r="A516" s="1184"/>
      <c r="B516" s="1184"/>
      <c r="C516" s="1184"/>
      <c r="D516" s="1184"/>
      <c r="E516" s="1184"/>
      <c r="F516" s="1184"/>
      <c r="G516" s="1184"/>
      <c r="H516" s="1184"/>
      <c r="I516" s="1184"/>
      <c r="J516" s="1184"/>
      <c r="K516" s="1184"/>
      <c r="L516" s="1184"/>
      <c r="M516" s="1184"/>
      <c r="N516" s="1184"/>
      <c r="O516" s="1184"/>
      <c r="P516" s="1184"/>
      <c r="Q516" s="1184"/>
      <c r="R516" s="1184"/>
      <c r="S516" s="1184"/>
      <c r="T516" s="1184"/>
      <c r="U516" s="1184"/>
      <c r="V516" s="1184"/>
      <c r="W516" s="1184"/>
      <c r="X516" s="1184"/>
      <c r="Y516" s="1184"/>
      <c r="Z516" s="1184"/>
    </row>
    <row r="517" spans="1:26" ht="15.5">
      <c r="A517" s="1184"/>
      <c r="B517" s="1184"/>
      <c r="C517" s="1184"/>
      <c r="D517" s="1184"/>
      <c r="E517" s="1184"/>
      <c r="F517" s="1184"/>
      <c r="G517" s="1184"/>
      <c r="H517" s="1184"/>
      <c r="I517" s="1184"/>
      <c r="J517" s="1184"/>
      <c r="K517" s="1184"/>
      <c r="L517" s="1184"/>
      <c r="M517" s="1184"/>
      <c r="N517" s="1184"/>
      <c r="O517" s="1184"/>
      <c r="P517" s="1184"/>
      <c r="Q517" s="1184"/>
      <c r="R517" s="1184"/>
      <c r="S517" s="1184"/>
      <c r="T517" s="1184"/>
      <c r="U517" s="1184"/>
      <c r="V517" s="1184"/>
      <c r="W517" s="1184"/>
      <c r="X517" s="1184"/>
      <c r="Y517" s="1184"/>
      <c r="Z517" s="1184"/>
    </row>
    <row r="518" spans="1:26" ht="15.5">
      <c r="A518" s="1184"/>
      <c r="B518" s="1184"/>
      <c r="C518" s="1184"/>
      <c r="D518" s="1184"/>
      <c r="E518" s="1184"/>
      <c r="F518" s="1184"/>
      <c r="G518" s="1184"/>
      <c r="H518" s="1184"/>
      <c r="I518" s="1184"/>
      <c r="J518" s="1184"/>
      <c r="K518" s="1184"/>
      <c r="L518" s="1184"/>
      <c r="M518" s="1184"/>
      <c r="N518" s="1184"/>
      <c r="O518" s="1184"/>
      <c r="P518" s="1184"/>
      <c r="Q518" s="1184"/>
      <c r="R518" s="1184"/>
      <c r="S518" s="1184"/>
      <c r="T518" s="1184"/>
      <c r="U518" s="1184"/>
      <c r="V518" s="1184"/>
      <c r="W518" s="1184"/>
      <c r="X518" s="1184"/>
      <c r="Y518" s="1184"/>
      <c r="Z518" s="1184"/>
    </row>
    <row r="519" spans="1:26" ht="15.5">
      <c r="A519" s="1184"/>
      <c r="B519" s="1184"/>
      <c r="C519" s="1184"/>
      <c r="D519" s="1184"/>
      <c r="E519" s="1184"/>
      <c r="F519" s="1184"/>
      <c r="G519" s="1184"/>
      <c r="H519" s="1184"/>
      <c r="I519" s="1184"/>
      <c r="J519" s="1184"/>
      <c r="K519" s="1184"/>
      <c r="L519" s="1184"/>
      <c r="M519" s="1184"/>
      <c r="N519" s="1184"/>
      <c r="O519" s="1184"/>
      <c r="P519" s="1184"/>
      <c r="Q519" s="1184"/>
      <c r="R519" s="1184"/>
      <c r="S519" s="1184"/>
      <c r="T519" s="1184"/>
      <c r="U519" s="1184"/>
      <c r="V519" s="1184"/>
      <c r="W519" s="1184"/>
      <c r="X519" s="1184"/>
      <c r="Y519" s="1184"/>
      <c r="Z519" s="1184"/>
    </row>
    <row r="520" spans="1:26" ht="15.5">
      <c r="A520" s="1184"/>
      <c r="B520" s="1184"/>
      <c r="C520" s="1184"/>
      <c r="D520" s="1184"/>
      <c r="E520" s="1184"/>
      <c r="F520" s="1184"/>
      <c r="G520" s="1184"/>
      <c r="H520" s="1184"/>
      <c r="I520" s="1184"/>
      <c r="J520" s="1184"/>
      <c r="K520" s="1184"/>
      <c r="L520" s="1184"/>
      <c r="M520" s="1184"/>
      <c r="N520" s="1184"/>
      <c r="O520" s="1184"/>
      <c r="P520" s="1184"/>
      <c r="Q520" s="1184"/>
      <c r="R520" s="1184"/>
      <c r="S520" s="1184"/>
      <c r="T520" s="1184"/>
      <c r="U520" s="1184"/>
      <c r="V520" s="1184"/>
      <c r="W520" s="1184"/>
      <c r="X520" s="1184"/>
      <c r="Y520" s="1184"/>
      <c r="Z520" s="1184"/>
    </row>
    <row r="521" spans="1:26" ht="15.5">
      <c r="A521" s="1184"/>
      <c r="B521" s="1184"/>
      <c r="C521" s="1184"/>
      <c r="D521" s="1184"/>
      <c r="E521" s="1184"/>
      <c r="F521" s="1184"/>
      <c r="G521" s="1184"/>
      <c r="H521" s="1184"/>
      <c r="I521" s="1184"/>
      <c r="J521" s="1184"/>
      <c r="K521" s="1184"/>
      <c r="L521" s="1184"/>
      <c r="M521" s="1184"/>
      <c r="N521" s="1184"/>
      <c r="O521" s="1184"/>
      <c r="P521" s="1184"/>
      <c r="Q521" s="1184"/>
      <c r="R521" s="1184"/>
      <c r="S521" s="1184"/>
      <c r="T521" s="1184"/>
      <c r="U521" s="1184"/>
      <c r="V521" s="1184"/>
      <c r="W521" s="1184"/>
      <c r="X521" s="1184"/>
      <c r="Y521" s="1184"/>
      <c r="Z521" s="1184"/>
    </row>
    <row r="522" spans="1:26" ht="15.5">
      <c r="A522" s="1184"/>
      <c r="B522" s="1184"/>
      <c r="C522" s="1184"/>
      <c r="D522" s="1184"/>
      <c r="E522" s="1184"/>
      <c r="F522" s="1184"/>
      <c r="G522" s="1184"/>
      <c r="H522" s="1184"/>
      <c r="I522" s="1184"/>
      <c r="J522" s="1184"/>
      <c r="K522" s="1184"/>
      <c r="L522" s="1184"/>
      <c r="M522" s="1184"/>
      <c r="N522" s="1184"/>
      <c r="O522" s="1184"/>
      <c r="P522" s="1184"/>
      <c r="Q522" s="1184"/>
      <c r="R522" s="1184"/>
      <c r="S522" s="1184"/>
      <c r="T522" s="1184"/>
      <c r="U522" s="1184"/>
      <c r="V522" s="1184"/>
      <c r="W522" s="1184"/>
      <c r="X522" s="1184"/>
      <c r="Y522" s="1184"/>
      <c r="Z522" s="1184"/>
    </row>
    <row r="523" spans="1:26" ht="15.5">
      <c r="A523" s="1184"/>
      <c r="B523" s="1184"/>
      <c r="C523" s="1184"/>
      <c r="D523" s="1184"/>
      <c r="E523" s="1184"/>
      <c r="F523" s="1184"/>
      <c r="G523" s="1184"/>
      <c r="H523" s="1184"/>
      <c r="I523" s="1184"/>
      <c r="J523" s="1184"/>
      <c r="K523" s="1184"/>
      <c r="L523" s="1184"/>
      <c r="M523" s="1184"/>
      <c r="N523" s="1184"/>
      <c r="O523" s="1184"/>
      <c r="P523" s="1184"/>
      <c r="Q523" s="1184"/>
      <c r="R523" s="1184"/>
      <c r="S523" s="1184"/>
      <c r="T523" s="1184"/>
      <c r="U523" s="1184"/>
      <c r="V523" s="1184"/>
      <c r="W523" s="1184"/>
      <c r="X523" s="1184"/>
      <c r="Y523" s="1184"/>
      <c r="Z523" s="1184"/>
    </row>
    <row r="524" spans="1:26" ht="15.5">
      <c r="A524" s="1184"/>
      <c r="B524" s="1184"/>
      <c r="C524" s="1184"/>
      <c r="D524" s="1184"/>
      <c r="E524" s="1184"/>
      <c r="F524" s="1184"/>
      <c r="G524" s="1184"/>
      <c r="H524" s="1184"/>
      <c r="I524" s="1184"/>
      <c r="J524" s="1184"/>
      <c r="K524" s="1184"/>
      <c r="L524" s="1184"/>
      <c r="M524" s="1184"/>
      <c r="N524" s="1184"/>
      <c r="O524" s="1184"/>
      <c r="P524" s="1184"/>
      <c r="Q524" s="1184"/>
      <c r="R524" s="1184"/>
      <c r="S524" s="1184"/>
      <c r="T524" s="1184"/>
      <c r="U524" s="1184"/>
      <c r="V524" s="1184"/>
      <c r="W524" s="1184"/>
      <c r="X524" s="1184"/>
      <c r="Y524" s="1184"/>
      <c r="Z524" s="1184"/>
    </row>
    <row r="525" spans="1:26" ht="15.5">
      <c r="A525" s="1184"/>
      <c r="B525" s="1184"/>
      <c r="C525" s="1184"/>
      <c r="D525" s="1184"/>
      <c r="E525" s="1184"/>
      <c r="F525" s="1184"/>
      <c r="G525" s="1184"/>
      <c r="H525" s="1184"/>
      <c r="I525" s="1184"/>
      <c r="J525" s="1184"/>
      <c r="K525" s="1184"/>
      <c r="L525" s="1184"/>
      <c r="M525" s="1184"/>
      <c r="N525" s="1184"/>
      <c r="O525" s="1184"/>
      <c r="P525" s="1184"/>
      <c r="Q525" s="1184"/>
      <c r="R525" s="1184"/>
      <c r="S525" s="1184"/>
      <c r="T525" s="1184"/>
      <c r="U525" s="1184"/>
      <c r="V525" s="1184"/>
      <c r="W525" s="1184"/>
      <c r="X525" s="1184"/>
      <c r="Y525" s="1184"/>
      <c r="Z525" s="1184"/>
    </row>
    <row r="526" spans="1:26" ht="15.5">
      <c r="A526" s="1184"/>
      <c r="B526" s="1184"/>
      <c r="C526" s="1184"/>
      <c r="D526" s="1184"/>
      <c r="E526" s="1184"/>
      <c r="F526" s="1184"/>
      <c r="G526" s="1184"/>
      <c r="H526" s="1184"/>
      <c r="I526" s="1184"/>
      <c r="J526" s="1184"/>
      <c r="K526" s="1184"/>
      <c r="L526" s="1184"/>
      <c r="M526" s="1184"/>
      <c r="N526" s="1184"/>
      <c r="O526" s="1184"/>
      <c r="P526" s="1184"/>
      <c r="Q526" s="1184"/>
      <c r="R526" s="1184"/>
      <c r="S526" s="1184"/>
      <c r="T526" s="1184"/>
      <c r="U526" s="1184"/>
      <c r="V526" s="1184"/>
      <c r="W526" s="1184"/>
      <c r="X526" s="1184"/>
      <c r="Y526" s="1184"/>
      <c r="Z526" s="1184"/>
    </row>
    <row r="527" spans="1:26" ht="15.5">
      <c r="A527" s="1184"/>
      <c r="B527" s="1184"/>
      <c r="C527" s="1184"/>
      <c r="D527" s="1184"/>
      <c r="E527" s="1184"/>
      <c r="F527" s="1184"/>
      <c r="G527" s="1184"/>
      <c r="H527" s="1184"/>
      <c r="I527" s="1184"/>
      <c r="J527" s="1184"/>
      <c r="K527" s="1184"/>
      <c r="L527" s="1184"/>
      <c r="M527" s="1184"/>
      <c r="N527" s="1184"/>
      <c r="O527" s="1184"/>
      <c r="P527" s="1184"/>
      <c r="Q527" s="1184"/>
      <c r="R527" s="1184"/>
      <c r="S527" s="1184"/>
      <c r="T527" s="1184"/>
      <c r="U527" s="1184"/>
      <c r="V527" s="1184"/>
      <c r="W527" s="1184"/>
      <c r="X527" s="1184"/>
      <c r="Y527" s="1184"/>
      <c r="Z527" s="1184"/>
    </row>
    <row r="528" spans="1:26" ht="15.5">
      <c r="A528" s="1184"/>
      <c r="B528" s="1184"/>
      <c r="C528" s="1184"/>
      <c r="D528" s="1184"/>
      <c r="E528" s="1184"/>
      <c r="F528" s="1184"/>
      <c r="G528" s="1184"/>
      <c r="H528" s="1184"/>
      <c r="I528" s="1184"/>
      <c r="J528" s="1184"/>
      <c r="K528" s="1184"/>
      <c r="L528" s="1184"/>
      <c r="M528" s="1184"/>
      <c r="N528" s="1184"/>
      <c r="O528" s="1184"/>
      <c r="P528" s="1184"/>
      <c r="Q528" s="1184"/>
      <c r="R528" s="1184"/>
      <c r="S528" s="1184"/>
      <c r="T528" s="1184"/>
      <c r="U528" s="1184"/>
      <c r="V528" s="1184"/>
      <c r="W528" s="1184"/>
      <c r="X528" s="1184"/>
      <c r="Y528" s="1184"/>
      <c r="Z528" s="1184"/>
    </row>
    <row r="529" spans="1:26" ht="15.5">
      <c r="A529" s="1184"/>
      <c r="B529" s="1184"/>
      <c r="C529" s="1184"/>
      <c r="D529" s="1184"/>
      <c r="E529" s="1184"/>
      <c r="F529" s="1184"/>
      <c r="G529" s="1184"/>
      <c r="H529" s="1184"/>
      <c r="I529" s="1184"/>
      <c r="J529" s="1184"/>
      <c r="K529" s="1184"/>
      <c r="L529" s="1184"/>
      <c r="M529" s="1184"/>
      <c r="N529" s="1184"/>
      <c r="O529" s="1184"/>
      <c r="P529" s="1184"/>
      <c r="Q529" s="1184"/>
      <c r="R529" s="1184"/>
      <c r="S529" s="1184"/>
      <c r="T529" s="1184"/>
      <c r="U529" s="1184"/>
      <c r="V529" s="1184"/>
      <c r="W529" s="1184"/>
      <c r="X529" s="1184"/>
      <c r="Y529" s="1184"/>
      <c r="Z529" s="1184"/>
    </row>
    <row r="530" spans="1:26" ht="15.5">
      <c r="A530" s="1184"/>
      <c r="B530" s="1184"/>
      <c r="C530" s="1184"/>
      <c r="D530" s="1184"/>
      <c r="E530" s="1184"/>
      <c r="F530" s="1184"/>
      <c r="G530" s="1184"/>
      <c r="H530" s="1184"/>
      <c r="I530" s="1184"/>
      <c r="J530" s="1184"/>
      <c r="K530" s="1184"/>
      <c r="L530" s="1184"/>
      <c r="M530" s="1184"/>
      <c r="N530" s="1184"/>
      <c r="O530" s="1184"/>
      <c r="P530" s="1184"/>
      <c r="Q530" s="1184"/>
      <c r="R530" s="1184"/>
      <c r="S530" s="1184"/>
      <c r="T530" s="1184"/>
      <c r="U530" s="1184"/>
      <c r="V530" s="1184"/>
      <c r="W530" s="1184"/>
      <c r="X530" s="1184"/>
      <c r="Y530" s="1184"/>
      <c r="Z530" s="1184"/>
    </row>
    <row r="531" spans="1:26" ht="15.5">
      <c r="A531" s="1184"/>
      <c r="B531" s="1184"/>
      <c r="C531" s="1184"/>
      <c r="D531" s="1184"/>
      <c r="E531" s="1184"/>
      <c r="F531" s="1184"/>
      <c r="G531" s="1184"/>
      <c r="H531" s="1184"/>
      <c r="I531" s="1184"/>
      <c r="J531" s="1184"/>
      <c r="K531" s="1184"/>
      <c r="L531" s="1184"/>
      <c r="M531" s="1184"/>
      <c r="N531" s="1184"/>
      <c r="O531" s="1184"/>
      <c r="P531" s="1184"/>
      <c r="Q531" s="1184"/>
      <c r="R531" s="1184"/>
      <c r="S531" s="1184"/>
      <c r="T531" s="1184"/>
      <c r="U531" s="1184"/>
      <c r="V531" s="1184"/>
      <c r="W531" s="1184"/>
      <c r="X531" s="1184"/>
      <c r="Y531" s="1184"/>
      <c r="Z531" s="1184"/>
    </row>
    <row r="532" spans="1:26" ht="15.5">
      <c r="A532" s="1184"/>
      <c r="B532" s="1184"/>
      <c r="C532" s="1184"/>
      <c r="D532" s="1184"/>
      <c r="E532" s="1184"/>
      <c r="F532" s="1184"/>
      <c r="G532" s="1184"/>
      <c r="H532" s="1184"/>
      <c r="I532" s="1184"/>
      <c r="J532" s="1184"/>
      <c r="K532" s="1184"/>
      <c r="L532" s="1184"/>
      <c r="M532" s="1184"/>
      <c r="N532" s="1184"/>
      <c r="O532" s="1184"/>
      <c r="P532" s="1184"/>
      <c r="Q532" s="1184"/>
      <c r="R532" s="1184"/>
      <c r="S532" s="1184"/>
      <c r="T532" s="1184"/>
      <c r="U532" s="1184"/>
      <c r="V532" s="1184"/>
      <c r="W532" s="1184"/>
      <c r="X532" s="1184"/>
      <c r="Y532" s="1184"/>
      <c r="Z532" s="1184"/>
    </row>
    <row r="533" spans="1:26" ht="15.5">
      <c r="A533" s="1184"/>
      <c r="B533" s="1184"/>
      <c r="C533" s="1184"/>
      <c r="D533" s="1184"/>
      <c r="E533" s="1184"/>
      <c r="F533" s="1184"/>
      <c r="G533" s="1184"/>
      <c r="H533" s="1184"/>
      <c r="I533" s="1184"/>
      <c r="J533" s="1184"/>
      <c r="K533" s="1184"/>
      <c r="L533" s="1184"/>
      <c r="M533" s="1184"/>
      <c r="N533" s="1184"/>
      <c r="O533" s="1184"/>
      <c r="P533" s="1184"/>
      <c r="Q533" s="1184"/>
      <c r="R533" s="1184"/>
      <c r="S533" s="1184"/>
      <c r="T533" s="1184"/>
      <c r="U533" s="1184"/>
      <c r="V533" s="1184"/>
      <c r="W533" s="1184"/>
      <c r="X533" s="1184"/>
      <c r="Y533" s="1184"/>
      <c r="Z533" s="1184"/>
    </row>
    <row r="534" spans="1:26" ht="15.5">
      <c r="A534" s="1184"/>
      <c r="B534" s="1184"/>
      <c r="C534" s="1184"/>
      <c r="D534" s="1184"/>
      <c r="E534" s="1184"/>
      <c r="F534" s="1184"/>
      <c r="G534" s="1184"/>
      <c r="H534" s="1184"/>
      <c r="I534" s="1184"/>
      <c r="J534" s="1184"/>
      <c r="K534" s="1184"/>
      <c r="L534" s="1184"/>
      <c r="M534" s="1184"/>
      <c r="N534" s="1184"/>
      <c r="O534" s="1184"/>
      <c r="P534" s="1184"/>
      <c r="Q534" s="1184"/>
      <c r="R534" s="1184"/>
      <c r="S534" s="1184"/>
      <c r="T534" s="1184"/>
      <c r="U534" s="1184"/>
      <c r="V534" s="1184"/>
      <c r="W534" s="1184"/>
      <c r="X534" s="1184"/>
      <c r="Y534" s="1184"/>
      <c r="Z534" s="1184"/>
    </row>
    <row r="535" spans="1:26" ht="15.5">
      <c r="A535" s="1184"/>
      <c r="B535" s="1184"/>
      <c r="C535" s="1184"/>
      <c r="D535" s="1184"/>
      <c r="E535" s="1184"/>
      <c r="F535" s="1184"/>
      <c r="G535" s="1184"/>
      <c r="H535" s="1184"/>
      <c r="I535" s="1184"/>
      <c r="J535" s="1184"/>
      <c r="K535" s="1184"/>
      <c r="L535" s="1184"/>
      <c r="M535" s="1184"/>
      <c r="N535" s="1184"/>
      <c r="O535" s="1184"/>
      <c r="P535" s="1184"/>
      <c r="Q535" s="1184"/>
      <c r="R535" s="1184"/>
      <c r="S535" s="1184"/>
      <c r="T535" s="1184"/>
      <c r="U535" s="1184"/>
      <c r="V535" s="1184"/>
      <c r="W535" s="1184"/>
      <c r="X535" s="1184"/>
      <c r="Y535" s="1184"/>
      <c r="Z535" s="1184"/>
    </row>
    <row r="536" spans="1:26" ht="15.5">
      <c r="A536" s="1184"/>
      <c r="B536" s="1184"/>
      <c r="C536" s="1184"/>
      <c r="D536" s="1184"/>
      <c r="E536" s="1184"/>
      <c r="F536" s="1184"/>
      <c r="G536" s="1184"/>
      <c r="H536" s="1184"/>
      <c r="I536" s="1184"/>
      <c r="J536" s="1184"/>
      <c r="K536" s="1184"/>
      <c r="L536" s="1184"/>
      <c r="M536" s="1184"/>
      <c r="N536" s="1184"/>
      <c r="O536" s="1184"/>
      <c r="P536" s="1184"/>
      <c r="Q536" s="1184"/>
      <c r="R536" s="1184"/>
      <c r="S536" s="1184"/>
      <c r="T536" s="1184"/>
      <c r="U536" s="1184"/>
      <c r="V536" s="1184"/>
      <c r="W536" s="1184"/>
      <c r="X536" s="1184"/>
      <c r="Y536" s="1184"/>
      <c r="Z536" s="1184"/>
    </row>
    <row r="537" spans="1:26" ht="15.5">
      <c r="A537" s="1184"/>
      <c r="B537" s="1184"/>
      <c r="C537" s="1184"/>
      <c r="D537" s="1184"/>
      <c r="E537" s="1184"/>
      <c r="F537" s="1184"/>
      <c r="G537" s="1184"/>
      <c r="H537" s="1184"/>
      <c r="I537" s="1184"/>
      <c r="J537" s="1184"/>
      <c r="K537" s="1184"/>
      <c r="L537" s="1184"/>
      <c r="M537" s="1184"/>
      <c r="N537" s="1184"/>
      <c r="O537" s="1184"/>
      <c r="P537" s="1184"/>
      <c r="Q537" s="1184"/>
      <c r="R537" s="1184"/>
      <c r="S537" s="1184"/>
      <c r="T537" s="1184"/>
      <c r="U537" s="1184"/>
      <c r="V537" s="1184"/>
      <c r="W537" s="1184"/>
      <c r="X537" s="1184"/>
      <c r="Y537" s="1184"/>
      <c r="Z537" s="1184"/>
    </row>
    <row r="538" spans="1:26" ht="15.5">
      <c r="A538" s="1184"/>
      <c r="B538" s="1184"/>
      <c r="C538" s="1184"/>
      <c r="D538" s="1184"/>
      <c r="E538" s="1184"/>
      <c r="F538" s="1184"/>
      <c r="G538" s="1184"/>
      <c r="H538" s="1184"/>
      <c r="I538" s="1184"/>
      <c r="J538" s="1184"/>
      <c r="K538" s="1184"/>
      <c r="L538" s="1184"/>
      <c r="M538" s="1184"/>
      <c r="N538" s="1184"/>
      <c r="O538" s="1184"/>
      <c r="P538" s="1184"/>
      <c r="Q538" s="1184"/>
      <c r="R538" s="1184"/>
      <c r="S538" s="1184"/>
      <c r="T538" s="1184"/>
      <c r="U538" s="1184"/>
      <c r="V538" s="1184"/>
      <c r="W538" s="1184"/>
      <c r="X538" s="1184"/>
      <c r="Y538" s="1184"/>
      <c r="Z538" s="1184"/>
    </row>
    <row r="539" spans="1:26" ht="15.5">
      <c r="A539" s="1184"/>
      <c r="B539" s="1184"/>
      <c r="C539" s="1184"/>
      <c r="D539" s="1184"/>
      <c r="E539" s="1184"/>
      <c r="F539" s="1184"/>
      <c r="G539" s="1184"/>
      <c r="H539" s="1184"/>
      <c r="I539" s="1184"/>
      <c r="J539" s="1184"/>
      <c r="K539" s="1184"/>
      <c r="L539" s="1184"/>
      <c r="M539" s="1184"/>
      <c r="N539" s="1184"/>
      <c r="O539" s="1184"/>
      <c r="P539" s="1184"/>
      <c r="Q539" s="1184"/>
      <c r="R539" s="1184"/>
      <c r="S539" s="1184"/>
      <c r="T539" s="1184"/>
      <c r="U539" s="1184"/>
      <c r="V539" s="1184"/>
      <c r="W539" s="1184"/>
      <c r="X539" s="1184"/>
      <c r="Y539" s="1184"/>
      <c r="Z539" s="1184"/>
    </row>
    <row r="540" spans="1:26" ht="15.5">
      <c r="A540" s="1184"/>
      <c r="B540" s="1184"/>
      <c r="C540" s="1184"/>
      <c r="D540" s="1184"/>
      <c r="E540" s="1184"/>
      <c r="F540" s="1184"/>
      <c r="G540" s="1184"/>
      <c r="H540" s="1184"/>
      <c r="I540" s="1184"/>
      <c r="J540" s="1184"/>
      <c r="K540" s="1184"/>
      <c r="L540" s="1184"/>
      <c r="M540" s="1184"/>
      <c r="N540" s="1184"/>
      <c r="O540" s="1184"/>
      <c r="P540" s="1184"/>
      <c r="Q540" s="1184"/>
      <c r="R540" s="1184"/>
      <c r="S540" s="1184"/>
      <c r="T540" s="1184"/>
      <c r="U540" s="1184"/>
      <c r="V540" s="1184"/>
      <c r="W540" s="1184"/>
      <c r="X540" s="1184"/>
      <c r="Y540" s="1184"/>
      <c r="Z540" s="1184"/>
    </row>
    <row r="541" spans="1:26" ht="15.5">
      <c r="A541" s="1184"/>
      <c r="B541" s="1184"/>
      <c r="C541" s="1184"/>
      <c r="D541" s="1184"/>
      <c r="E541" s="1184"/>
      <c r="F541" s="1184"/>
      <c r="G541" s="1184"/>
      <c r="H541" s="1184"/>
      <c r="I541" s="1184"/>
      <c r="J541" s="1184"/>
      <c r="K541" s="1184"/>
      <c r="L541" s="1184"/>
      <c r="M541" s="1184"/>
      <c r="N541" s="1184"/>
      <c r="O541" s="1184"/>
      <c r="P541" s="1184"/>
      <c r="Q541" s="1184"/>
      <c r="R541" s="1184"/>
      <c r="S541" s="1184"/>
      <c r="T541" s="1184"/>
      <c r="U541" s="1184"/>
      <c r="V541" s="1184"/>
      <c r="W541" s="1184"/>
      <c r="X541" s="1184"/>
      <c r="Y541" s="1184"/>
      <c r="Z541" s="1184"/>
    </row>
    <row r="542" spans="1:26" ht="15.5">
      <c r="A542" s="1184"/>
      <c r="B542" s="1184"/>
      <c r="C542" s="1184"/>
      <c r="D542" s="1184"/>
      <c r="E542" s="1184"/>
      <c r="F542" s="1184"/>
      <c r="G542" s="1184"/>
      <c r="H542" s="1184"/>
      <c r="I542" s="1184"/>
      <c r="J542" s="1184"/>
      <c r="K542" s="1184"/>
      <c r="L542" s="1184"/>
      <c r="M542" s="1184"/>
      <c r="N542" s="1184"/>
      <c r="O542" s="1184"/>
      <c r="P542" s="1184"/>
      <c r="Q542" s="1184"/>
      <c r="R542" s="1184"/>
      <c r="S542" s="1184"/>
      <c r="T542" s="1184"/>
      <c r="U542" s="1184"/>
      <c r="V542" s="1184"/>
      <c r="W542" s="1184"/>
      <c r="X542" s="1184"/>
      <c r="Y542" s="1184"/>
      <c r="Z542" s="1184"/>
    </row>
    <row r="543" spans="1:26" ht="15.5">
      <c r="A543" s="1184"/>
      <c r="B543" s="1184"/>
      <c r="C543" s="1184"/>
      <c r="D543" s="1184"/>
      <c r="E543" s="1184"/>
      <c r="F543" s="1184"/>
      <c r="G543" s="1184"/>
      <c r="H543" s="1184"/>
      <c r="I543" s="1184"/>
      <c r="J543" s="1184"/>
      <c r="K543" s="1184"/>
      <c r="L543" s="1184"/>
      <c r="M543" s="1184"/>
      <c r="N543" s="1184"/>
      <c r="O543" s="1184"/>
      <c r="P543" s="1184"/>
      <c r="Q543" s="1184"/>
      <c r="R543" s="1184"/>
      <c r="S543" s="1184"/>
      <c r="T543" s="1184"/>
      <c r="U543" s="1184"/>
      <c r="V543" s="1184"/>
      <c r="W543" s="1184"/>
      <c r="X543" s="1184"/>
      <c r="Y543" s="1184"/>
      <c r="Z543" s="1184"/>
    </row>
    <row r="544" spans="1:26" ht="15.5">
      <c r="A544" s="1184"/>
      <c r="B544" s="1184"/>
      <c r="C544" s="1184"/>
      <c r="D544" s="1184"/>
      <c r="E544" s="1184"/>
      <c r="F544" s="1184"/>
      <c r="G544" s="1184"/>
      <c r="H544" s="1184"/>
      <c r="I544" s="1184"/>
      <c r="J544" s="1184"/>
      <c r="K544" s="1184"/>
      <c r="L544" s="1184"/>
      <c r="M544" s="1184"/>
      <c r="N544" s="1184"/>
      <c r="O544" s="1184"/>
      <c r="P544" s="1184"/>
      <c r="Q544" s="1184"/>
      <c r="R544" s="1184"/>
      <c r="S544" s="1184"/>
      <c r="T544" s="1184"/>
      <c r="U544" s="1184"/>
      <c r="V544" s="1184"/>
      <c r="W544" s="1184"/>
      <c r="X544" s="1184"/>
      <c r="Y544" s="1184"/>
      <c r="Z544" s="1184"/>
    </row>
    <row r="545" spans="1:26" ht="15.5">
      <c r="A545" s="1184"/>
      <c r="B545" s="1184"/>
      <c r="C545" s="1184"/>
      <c r="D545" s="1184"/>
      <c r="E545" s="1184"/>
      <c r="F545" s="1184"/>
      <c r="G545" s="1184"/>
      <c r="H545" s="1184"/>
      <c r="I545" s="1184"/>
      <c r="J545" s="1184"/>
      <c r="K545" s="1184"/>
      <c r="L545" s="1184"/>
      <c r="M545" s="1184"/>
      <c r="N545" s="1184"/>
      <c r="O545" s="1184"/>
      <c r="P545" s="1184"/>
      <c r="Q545" s="1184"/>
      <c r="R545" s="1184"/>
      <c r="S545" s="1184"/>
      <c r="T545" s="1184"/>
      <c r="U545" s="1184"/>
      <c r="V545" s="1184"/>
      <c r="W545" s="1184"/>
      <c r="X545" s="1184"/>
      <c r="Y545" s="1184"/>
      <c r="Z545" s="1184"/>
    </row>
    <row r="546" spans="1:26" ht="15.5">
      <c r="A546" s="1184"/>
      <c r="B546" s="1184"/>
      <c r="C546" s="1184"/>
      <c r="D546" s="1184"/>
      <c r="E546" s="1184"/>
      <c r="F546" s="1184"/>
      <c r="G546" s="1184"/>
      <c r="H546" s="1184"/>
      <c r="I546" s="1184"/>
      <c r="J546" s="1184"/>
      <c r="K546" s="1184"/>
      <c r="L546" s="1184"/>
      <c r="M546" s="1184"/>
      <c r="N546" s="1184"/>
      <c r="O546" s="1184"/>
      <c r="P546" s="1184"/>
      <c r="Q546" s="1184"/>
      <c r="R546" s="1184"/>
      <c r="S546" s="1184"/>
      <c r="T546" s="1184"/>
      <c r="U546" s="1184"/>
      <c r="V546" s="1184"/>
      <c r="W546" s="1184"/>
      <c r="X546" s="1184"/>
      <c r="Y546" s="1184"/>
      <c r="Z546" s="1184"/>
    </row>
    <row r="547" spans="1:26" ht="15.5">
      <c r="A547" s="1184"/>
      <c r="B547" s="1184"/>
      <c r="C547" s="1184"/>
      <c r="D547" s="1184"/>
      <c r="E547" s="1184"/>
      <c r="F547" s="1184"/>
      <c r="G547" s="1184"/>
      <c r="H547" s="1184"/>
      <c r="I547" s="1184"/>
      <c r="J547" s="1184"/>
      <c r="K547" s="1184"/>
      <c r="L547" s="1184"/>
      <c r="M547" s="1184"/>
      <c r="N547" s="1184"/>
      <c r="O547" s="1184"/>
      <c r="P547" s="1184"/>
      <c r="Q547" s="1184"/>
      <c r="R547" s="1184"/>
      <c r="S547" s="1184"/>
      <c r="T547" s="1184"/>
      <c r="U547" s="1184"/>
      <c r="V547" s="1184"/>
      <c r="W547" s="1184"/>
      <c r="X547" s="1184"/>
      <c r="Y547" s="1184"/>
      <c r="Z547" s="1184"/>
    </row>
    <row r="548" spans="1:26" ht="15.5">
      <c r="A548" s="1184"/>
      <c r="B548" s="1184"/>
      <c r="C548" s="1184"/>
      <c r="D548" s="1184"/>
      <c r="E548" s="1184"/>
      <c r="F548" s="1184"/>
      <c r="G548" s="1184"/>
      <c r="H548" s="1184"/>
      <c r="I548" s="1184"/>
      <c r="J548" s="1184"/>
      <c r="K548" s="1184"/>
      <c r="L548" s="1184"/>
      <c r="M548" s="1184"/>
      <c r="N548" s="1184"/>
      <c r="O548" s="1184"/>
      <c r="P548" s="1184"/>
      <c r="Q548" s="1184"/>
      <c r="R548" s="1184"/>
      <c r="S548" s="1184"/>
      <c r="T548" s="1184"/>
      <c r="U548" s="1184"/>
      <c r="V548" s="1184"/>
      <c r="W548" s="1184"/>
      <c r="X548" s="1184"/>
      <c r="Y548" s="1184"/>
      <c r="Z548" s="1184"/>
    </row>
    <row r="549" spans="1:26" ht="15.5">
      <c r="A549" s="1184"/>
      <c r="B549" s="1184"/>
      <c r="C549" s="1184"/>
      <c r="D549" s="1184"/>
      <c r="E549" s="1184"/>
      <c r="F549" s="1184"/>
      <c r="G549" s="1184"/>
      <c r="H549" s="1184"/>
      <c r="I549" s="1184"/>
      <c r="J549" s="1184"/>
      <c r="K549" s="1184"/>
      <c r="L549" s="1184"/>
      <c r="M549" s="1184"/>
      <c r="N549" s="1184"/>
      <c r="O549" s="1184"/>
      <c r="P549" s="1184"/>
      <c r="Q549" s="1184"/>
      <c r="R549" s="1184"/>
      <c r="S549" s="1184"/>
      <c r="T549" s="1184"/>
      <c r="U549" s="1184"/>
      <c r="V549" s="1184"/>
      <c r="W549" s="1184"/>
      <c r="X549" s="1184"/>
      <c r="Y549" s="1184"/>
      <c r="Z549" s="1184"/>
    </row>
    <row r="550" spans="1:26" ht="15.5">
      <c r="A550" s="1184"/>
      <c r="B550" s="1184"/>
      <c r="C550" s="1184"/>
      <c r="D550" s="1184"/>
      <c r="E550" s="1184"/>
      <c r="F550" s="1184"/>
      <c r="G550" s="1184"/>
      <c r="H550" s="1184"/>
      <c r="I550" s="1184"/>
      <c r="J550" s="1184"/>
      <c r="K550" s="1184"/>
      <c r="L550" s="1184"/>
      <c r="M550" s="1184"/>
      <c r="N550" s="1184"/>
      <c r="O550" s="1184"/>
      <c r="P550" s="1184"/>
      <c r="Q550" s="1184"/>
      <c r="R550" s="1184"/>
      <c r="S550" s="1184"/>
      <c r="T550" s="1184"/>
      <c r="U550" s="1184"/>
      <c r="V550" s="1184"/>
      <c r="W550" s="1184"/>
      <c r="X550" s="1184"/>
      <c r="Y550" s="1184"/>
      <c r="Z550" s="1184"/>
    </row>
    <row r="551" spans="1:26" ht="15.5">
      <c r="A551" s="1184"/>
      <c r="B551" s="1184"/>
      <c r="C551" s="1184"/>
      <c r="D551" s="1184"/>
      <c r="E551" s="1184"/>
      <c r="F551" s="1184"/>
      <c r="G551" s="1184"/>
      <c r="H551" s="1184"/>
      <c r="I551" s="1184"/>
      <c r="J551" s="1184"/>
      <c r="K551" s="1184"/>
      <c r="L551" s="1184"/>
      <c r="M551" s="1184"/>
      <c r="N551" s="1184"/>
      <c r="O551" s="1184"/>
      <c r="P551" s="1184"/>
      <c r="Q551" s="1184"/>
      <c r="R551" s="1184"/>
      <c r="S551" s="1184"/>
      <c r="T551" s="1184"/>
      <c r="U551" s="1184"/>
      <c r="V551" s="1184"/>
      <c r="W551" s="1184"/>
      <c r="X551" s="1184"/>
      <c r="Y551" s="1184"/>
      <c r="Z551" s="1184"/>
    </row>
    <row r="552" spans="1:26" ht="15.5">
      <c r="A552" s="1184"/>
      <c r="B552" s="1184"/>
      <c r="C552" s="1184"/>
      <c r="D552" s="1184"/>
      <c r="E552" s="1184"/>
      <c r="F552" s="1184"/>
      <c r="G552" s="1184"/>
      <c r="H552" s="1184"/>
      <c r="I552" s="1184"/>
      <c r="J552" s="1184"/>
      <c r="K552" s="1184"/>
      <c r="L552" s="1184"/>
      <c r="M552" s="1184"/>
      <c r="N552" s="1184"/>
      <c r="O552" s="1184"/>
      <c r="P552" s="1184"/>
      <c r="Q552" s="1184"/>
      <c r="R552" s="1184"/>
      <c r="S552" s="1184"/>
      <c r="T552" s="1184"/>
      <c r="U552" s="1184"/>
      <c r="V552" s="1184"/>
      <c r="W552" s="1184"/>
      <c r="X552" s="1184"/>
      <c r="Y552" s="1184"/>
      <c r="Z552" s="1184"/>
    </row>
    <row r="553" spans="1:26" ht="15.5">
      <c r="A553" s="1184"/>
      <c r="B553" s="1184"/>
      <c r="C553" s="1184"/>
      <c r="D553" s="1184"/>
      <c r="E553" s="1184"/>
      <c r="F553" s="1184"/>
      <c r="G553" s="1184"/>
      <c r="H553" s="1184"/>
      <c r="I553" s="1184"/>
      <c r="J553" s="1184"/>
      <c r="K553" s="1184"/>
      <c r="L553" s="1184"/>
      <c r="M553" s="1184"/>
      <c r="N553" s="1184"/>
      <c r="O553" s="1184"/>
      <c r="P553" s="1184"/>
      <c r="Q553" s="1184"/>
      <c r="R553" s="1184"/>
      <c r="S553" s="1184"/>
      <c r="T553" s="1184"/>
      <c r="U553" s="1184"/>
      <c r="V553" s="1184"/>
      <c r="W553" s="1184"/>
      <c r="X553" s="1184"/>
      <c r="Y553" s="1184"/>
      <c r="Z553" s="1184"/>
    </row>
    <row r="554" spans="1:26" ht="15.5">
      <c r="A554" s="1184"/>
      <c r="B554" s="1184"/>
      <c r="C554" s="1184"/>
      <c r="D554" s="1184"/>
      <c r="E554" s="1184"/>
      <c r="F554" s="1184"/>
      <c r="G554" s="1184"/>
      <c r="H554" s="1184"/>
      <c r="I554" s="1184"/>
      <c r="J554" s="1184"/>
      <c r="K554" s="1184"/>
      <c r="L554" s="1184"/>
      <c r="M554" s="1184"/>
      <c r="N554" s="1184"/>
      <c r="O554" s="1184"/>
      <c r="P554" s="1184"/>
      <c r="Q554" s="1184"/>
      <c r="R554" s="1184"/>
      <c r="S554" s="1184"/>
      <c r="T554" s="1184"/>
      <c r="U554" s="1184"/>
      <c r="V554" s="1184"/>
      <c r="W554" s="1184"/>
      <c r="X554" s="1184"/>
      <c r="Y554" s="1184"/>
      <c r="Z554" s="1184"/>
    </row>
    <row r="555" spans="1:26" ht="15.5">
      <c r="A555" s="1184"/>
      <c r="B555" s="1184"/>
      <c r="C555" s="1184"/>
      <c r="D555" s="1184"/>
      <c r="E555" s="1184"/>
      <c r="F555" s="1184"/>
      <c r="G555" s="1184"/>
      <c r="H555" s="1184"/>
      <c r="I555" s="1184"/>
      <c r="J555" s="1184"/>
      <c r="K555" s="1184"/>
      <c r="L555" s="1184"/>
      <c r="M555" s="1184"/>
      <c r="N555" s="1184"/>
      <c r="O555" s="1184"/>
      <c r="P555" s="1184"/>
      <c r="Q555" s="1184"/>
      <c r="R555" s="1184"/>
      <c r="S555" s="1184"/>
      <c r="T555" s="1184"/>
      <c r="U555" s="1184"/>
      <c r="V555" s="1184"/>
      <c r="W555" s="1184"/>
      <c r="X555" s="1184"/>
      <c r="Y555" s="1184"/>
      <c r="Z555" s="1184"/>
    </row>
    <row r="556" spans="1:26" ht="15.5">
      <c r="A556" s="1184"/>
      <c r="B556" s="1184"/>
      <c r="C556" s="1184"/>
      <c r="D556" s="1184"/>
      <c r="E556" s="1184"/>
      <c r="F556" s="1184"/>
      <c r="G556" s="1184"/>
      <c r="H556" s="1184"/>
      <c r="I556" s="1184"/>
      <c r="J556" s="1184"/>
      <c r="K556" s="1184"/>
      <c r="L556" s="1184"/>
      <c r="M556" s="1184"/>
      <c r="N556" s="1184"/>
      <c r="O556" s="1184"/>
      <c r="P556" s="1184"/>
      <c r="Q556" s="1184"/>
      <c r="R556" s="1184"/>
      <c r="S556" s="1184"/>
      <c r="T556" s="1184"/>
      <c r="U556" s="1184"/>
      <c r="V556" s="1184"/>
      <c r="W556" s="1184"/>
      <c r="X556" s="1184"/>
      <c r="Y556" s="1184"/>
      <c r="Z556" s="1184"/>
    </row>
    <row r="557" spans="1:26" ht="15.5">
      <c r="A557" s="1184"/>
      <c r="B557" s="1184"/>
      <c r="C557" s="1184"/>
      <c r="D557" s="1184"/>
      <c r="E557" s="1184"/>
      <c r="F557" s="1184"/>
      <c r="G557" s="1184"/>
      <c r="H557" s="1184"/>
      <c r="I557" s="1184"/>
      <c r="J557" s="1184"/>
      <c r="K557" s="1184"/>
      <c r="L557" s="1184"/>
      <c r="M557" s="1184"/>
      <c r="N557" s="1184"/>
      <c r="O557" s="1184"/>
      <c r="P557" s="1184"/>
      <c r="Q557" s="1184"/>
      <c r="R557" s="1184"/>
      <c r="S557" s="1184"/>
      <c r="T557" s="1184"/>
      <c r="U557" s="1184"/>
      <c r="V557" s="1184"/>
      <c r="W557" s="1184"/>
      <c r="X557" s="1184"/>
      <c r="Y557" s="1184"/>
      <c r="Z557" s="1184"/>
    </row>
    <row r="558" spans="1:26" ht="15.5">
      <c r="A558" s="1184"/>
      <c r="B558" s="1184"/>
      <c r="C558" s="1184"/>
      <c r="D558" s="1184"/>
      <c r="E558" s="1184"/>
      <c r="F558" s="1184"/>
      <c r="G558" s="1184"/>
      <c r="H558" s="1184"/>
      <c r="I558" s="1184"/>
      <c r="J558" s="1184"/>
      <c r="K558" s="1184"/>
      <c r="L558" s="1184"/>
      <c r="M558" s="1184"/>
      <c r="N558" s="1184"/>
      <c r="O558" s="1184"/>
      <c r="P558" s="1184"/>
      <c r="Q558" s="1184"/>
      <c r="R558" s="1184"/>
      <c r="S558" s="1184"/>
      <c r="T558" s="1184"/>
      <c r="U558" s="1184"/>
      <c r="V558" s="1184"/>
      <c r="W558" s="1184"/>
      <c r="X558" s="1184"/>
      <c r="Y558" s="1184"/>
      <c r="Z558" s="1184"/>
    </row>
    <row r="559" spans="1:26" ht="15.5">
      <c r="A559" s="1184"/>
      <c r="B559" s="1184"/>
      <c r="C559" s="1184"/>
      <c r="D559" s="1184"/>
      <c r="E559" s="1184"/>
      <c r="F559" s="1184"/>
      <c r="G559" s="1184"/>
      <c r="H559" s="1184"/>
      <c r="I559" s="1184"/>
      <c r="J559" s="1184"/>
      <c r="K559" s="1184"/>
      <c r="L559" s="1184"/>
      <c r="M559" s="1184"/>
      <c r="N559" s="1184"/>
      <c r="O559" s="1184"/>
      <c r="P559" s="1184"/>
      <c r="Q559" s="1184"/>
      <c r="R559" s="1184"/>
      <c r="S559" s="1184"/>
      <c r="T559" s="1184"/>
      <c r="U559" s="1184"/>
      <c r="V559" s="1184"/>
      <c r="W559" s="1184"/>
      <c r="X559" s="1184"/>
      <c r="Y559" s="1184"/>
      <c r="Z559" s="1184"/>
    </row>
    <row r="560" spans="1:26" ht="15.5">
      <c r="A560" s="1184"/>
      <c r="B560" s="1184"/>
      <c r="C560" s="1184"/>
      <c r="D560" s="1184"/>
      <c r="E560" s="1184"/>
      <c r="F560" s="1184"/>
      <c r="G560" s="1184"/>
      <c r="H560" s="1184"/>
      <c r="I560" s="1184"/>
      <c r="J560" s="1184"/>
      <c r="K560" s="1184"/>
      <c r="L560" s="1184"/>
      <c r="M560" s="1184"/>
      <c r="N560" s="1184"/>
      <c r="O560" s="1184"/>
      <c r="P560" s="1184"/>
      <c r="Q560" s="1184"/>
      <c r="R560" s="1184"/>
      <c r="S560" s="1184"/>
      <c r="T560" s="1184"/>
      <c r="U560" s="1184"/>
      <c r="V560" s="1184"/>
      <c r="W560" s="1184"/>
      <c r="X560" s="1184"/>
      <c r="Y560" s="1184"/>
      <c r="Z560" s="1184"/>
    </row>
    <row r="561" spans="1:26" ht="15.5">
      <c r="A561" s="1184"/>
      <c r="B561" s="1184"/>
      <c r="C561" s="1184"/>
      <c r="D561" s="1184"/>
      <c r="E561" s="1184"/>
      <c r="F561" s="1184"/>
      <c r="G561" s="1184"/>
      <c r="H561" s="1184"/>
      <c r="I561" s="1184"/>
      <c r="J561" s="1184"/>
      <c r="K561" s="1184"/>
      <c r="L561" s="1184"/>
      <c r="M561" s="1184"/>
      <c r="N561" s="1184"/>
      <c r="O561" s="1184"/>
      <c r="P561" s="1184"/>
      <c r="Q561" s="1184"/>
      <c r="R561" s="1184"/>
      <c r="S561" s="1184"/>
      <c r="T561" s="1184"/>
      <c r="U561" s="1184"/>
      <c r="V561" s="1184"/>
      <c r="W561" s="1184"/>
      <c r="X561" s="1184"/>
      <c r="Y561" s="1184"/>
      <c r="Z561" s="1184"/>
    </row>
    <row r="562" spans="1:26" ht="15.5">
      <c r="A562" s="1184"/>
      <c r="B562" s="1184"/>
      <c r="C562" s="1184"/>
      <c r="D562" s="1184"/>
      <c r="E562" s="1184"/>
      <c r="F562" s="1184"/>
      <c r="G562" s="1184"/>
      <c r="H562" s="1184"/>
      <c r="I562" s="1184"/>
      <c r="J562" s="1184"/>
      <c r="K562" s="1184"/>
      <c r="L562" s="1184"/>
      <c r="M562" s="1184"/>
      <c r="N562" s="1184"/>
      <c r="O562" s="1184"/>
      <c r="P562" s="1184"/>
      <c r="Q562" s="1184"/>
      <c r="R562" s="1184"/>
      <c r="S562" s="1184"/>
      <c r="T562" s="1184"/>
      <c r="U562" s="1184"/>
      <c r="V562" s="1184"/>
      <c r="W562" s="1184"/>
      <c r="X562" s="1184"/>
      <c r="Y562" s="1184"/>
      <c r="Z562" s="1184"/>
    </row>
    <row r="563" spans="1:26" ht="15.5">
      <c r="A563" s="1184"/>
      <c r="B563" s="1184"/>
      <c r="C563" s="1184"/>
      <c r="D563" s="1184"/>
      <c r="E563" s="1184"/>
      <c r="F563" s="1184"/>
      <c r="G563" s="1184"/>
      <c r="H563" s="1184"/>
      <c r="I563" s="1184"/>
      <c r="J563" s="1184"/>
      <c r="K563" s="1184"/>
      <c r="L563" s="1184"/>
      <c r="M563" s="1184"/>
      <c r="N563" s="1184"/>
      <c r="O563" s="1184"/>
      <c r="P563" s="1184"/>
      <c r="Q563" s="1184"/>
      <c r="R563" s="1184"/>
      <c r="S563" s="1184"/>
      <c r="T563" s="1184"/>
      <c r="U563" s="1184"/>
      <c r="V563" s="1184"/>
      <c r="W563" s="1184"/>
      <c r="X563" s="1184"/>
      <c r="Y563" s="1184"/>
      <c r="Z563" s="1184"/>
    </row>
    <row r="564" spans="1:26" ht="15.5">
      <c r="A564" s="1184"/>
      <c r="B564" s="1184"/>
      <c r="C564" s="1184"/>
      <c r="D564" s="1184"/>
      <c r="E564" s="1184"/>
      <c r="F564" s="1184"/>
      <c r="G564" s="1184"/>
      <c r="H564" s="1184"/>
      <c r="I564" s="1184"/>
      <c r="J564" s="1184"/>
      <c r="K564" s="1184"/>
      <c r="L564" s="1184"/>
      <c r="M564" s="1184"/>
      <c r="N564" s="1184"/>
      <c r="O564" s="1184"/>
      <c r="P564" s="1184"/>
      <c r="Q564" s="1184"/>
      <c r="R564" s="1184"/>
      <c r="S564" s="1184"/>
      <c r="T564" s="1184"/>
      <c r="U564" s="1184"/>
      <c r="V564" s="1184"/>
      <c r="W564" s="1184"/>
      <c r="X564" s="1184"/>
      <c r="Y564" s="1184"/>
      <c r="Z564" s="1184"/>
    </row>
    <row r="565" spans="1:26" ht="15.5">
      <c r="A565" s="1184"/>
      <c r="B565" s="1184"/>
      <c r="C565" s="1184"/>
      <c r="D565" s="1184"/>
      <c r="E565" s="1184"/>
      <c r="F565" s="1184"/>
      <c r="G565" s="1184"/>
      <c r="H565" s="1184"/>
      <c r="I565" s="1184"/>
      <c r="J565" s="1184"/>
      <c r="K565" s="1184"/>
      <c r="L565" s="1184"/>
      <c r="M565" s="1184"/>
      <c r="N565" s="1184"/>
      <c r="O565" s="1184"/>
      <c r="P565" s="1184"/>
      <c r="Q565" s="1184"/>
      <c r="R565" s="1184"/>
      <c r="S565" s="1184"/>
      <c r="T565" s="1184"/>
      <c r="U565" s="1184"/>
      <c r="V565" s="1184"/>
      <c r="W565" s="1184"/>
      <c r="X565" s="1184"/>
      <c r="Y565" s="1184"/>
      <c r="Z565" s="1184"/>
    </row>
    <row r="566" spans="1:26" ht="15.5">
      <c r="A566" s="1184"/>
      <c r="B566" s="1184"/>
      <c r="C566" s="1184"/>
      <c r="D566" s="1184"/>
      <c r="E566" s="1184"/>
      <c r="F566" s="1184"/>
      <c r="G566" s="1184"/>
      <c r="H566" s="1184"/>
      <c r="I566" s="1184"/>
      <c r="J566" s="1184"/>
      <c r="K566" s="1184"/>
      <c r="L566" s="1184"/>
      <c r="M566" s="1184"/>
      <c r="N566" s="1184"/>
      <c r="O566" s="1184"/>
      <c r="P566" s="1184"/>
      <c r="Q566" s="1184"/>
      <c r="R566" s="1184"/>
      <c r="S566" s="1184"/>
      <c r="T566" s="1184"/>
      <c r="U566" s="1184"/>
      <c r="V566" s="1184"/>
      <c r="W566" s="1184"/>
      <c r="X566" s="1184"/>
      <c r="Y566" s="1184"/>
      <c r="Z566" s="1184"/>
    </row>
    <row r="567" spans="1:26" ht="15.5">
      <c r="A567" s="1184"/>
      <c r="B567" s="1184"/>
      <c r="C567" s="1184"/>
      <c r="D567" s="1184"/>
      <c r="E567" s="1184"/>
      <c r="F567" s="1184"/>
      <c r="G567" s="1184"/>
      <c r="H567" s="1184"/>
      <c r="I567" s="1184"/>
      <c r="J567" s="1184"/>
      <c r="K567" s="1184"/>
      <c r="L567" s="1184"/>
      <c r="M567" s="1184"/>
      <c r="N567" s="1184"/>
      <c r="O567" s="1184"/>
      <c r="P567" s="1184"/>
      <c r="Q567" s="1184"/>
      <c r="R567" s="1184"/>
      <c r="S567" s="1184"/>
      <c r="T567" s="1184"/>
      <c r="U567" s="1184"/>
      <c r="V567" s="1184"/>
      <c r="W567" s="1184"/>
      <c r="X567" s="1184"/>
      <c r="Y567" s="1184"/>
      <c r="Z567" s="1184"/>
    </row>
    <row r="568" spans="1:26" ht="15.5">
      <c r="A568" s="1184"/>
      <c r="B568" s="1184"/>
      <c r="C568" s="1184"/>
      <c r="D568" s="1184"/>
      <c r="E568" s="1184"/>
      <c r="F568" s="1184"/>
      <c r="G568" s="1184"/>
      <c r="H568" s="1184"/>
      <c r="I568" s="1184"/>
      <c r="J568" s="1184"/>
      <c r="K568" s="1184"/>
      <c r="L568" s="1184"/>
      <c r="M568" s="1184"/>
      <c r="N568" s="1184"/>
      <c r="O568" s="1184"/>
      <c r="P568" s="1184"/>
      <c r="Q568" s="1184"/>
      <c r="R568" s="1184"/>
      <c r="S568" s="1184"/>
      <c r="T568" s="1184"/>
      <c r="U568" s="1184"/>
      <c r="V568" s="1184"/>
      <c r="W568" s="1184"/>
      <c r="X568" s="1184"/>
      <c r="Y568" s="1184"/>
      <c r="Z568" s="1184"/>
    </row>
    <row r="569" spans="1:26" ht="15.5">
      <c r="A569" s="1184"/>
      <c r="B569" s="1184"/>
      <c r="C569" s="1184"/>
      <c r="D569" s="1184"/>
      <c r="E569" s="1184"/>
      <c r="F569" s="1184"/>
      <c r="G569" s="1184"/>
      <c r="H569" s="1184"/>
      <c r="I569" s="1184"/>
      <c r="J569" s="1184"/>
      <c r="K569" s="1184"/>
      <c r="L569" s="1184"/>
      <c r="M569" s="1184"/>
      <c r="N569" s="1184"/>
      <c r="O569" s="1184"/>
      <c r="P569" s="1184"/>
      <c r="Q569" s="1184"/>
      <c r="R569" s="1184"/>
      <c r="S569" s="1184"/>
      <c r="T569" s="1184"/>
      <c r="U569" s="1184"/>
      <c r="V569" s="1184"/>
      <c r="W569" s="1184"/>
      <c r="X569" s="1184"/>
      <c r="Y569" s="1184"/>
      <c r="Z569" s="1184"/>
    </row>
    <row r="570" spans="1:26" ht="15.5">
      <c r="A570" s="1184"/>
      <c r="B570" s="1184"/>
      <c r="C570" s="1184"/>
      <c r="D570" s="1184"/>
      <c r="E570" s="1184"/>
      <c r="F570" s="1184"/>
      <c r="G570" s="1184"/>
      <c r="H570" s="1184"/>
      <c r="I570" s="1184"/>
      <c r="J570" s="1184"/>
      <c r="K570" s="1184"/>
      <c r="L570" s="1184"/>
      <c r="M570" s="1184"/>
      <c r="N570" s="1184"/>
      <c r="O570" s="1184"/>
      <c r="P570" s="1184"/>
      <c r="Q570" s="1184"/>
      <c r="R570" s="1184"/>
      <c r="S570" s="1184"/>
      <c r="T570" s="1184"/>
      <c r="U570" s="1184"/>
      <c r="V570" s="1184"/>
      <c r="W570" s="1184"/>
      <c r="X570" s="1184"/>
      <c r="Y570" s="1184"/>
      <c r="Z570" s="1184"/>
    </row>
    <row r="571" spans="1:26" ht="15.5">
      <c r="A571" s="1184"/>
      <c r="B571" s="1184"/>
      <c r="C571" s="1184"/>
      <c r="D571" s="1184"/>
      <c r="E571" s="1184"/>
      <c r="F571" s="1184"/>
      <c r="G571" s="1184"/>
      <c r="H571" s="1184"/>
      <c r="I571" s="1184"/>
      <c r="J571" s="1184"/>
      <c r="K571" s="1184"/>
      <c r="L571" s="1184"/>
      <c r="M571" s="1184"/>
      <c r="N571" s="1184"/>
      <c r="O571" s="1184"/>
      <c r="P571" s="1184"/>
      <c r="Q571" s="1184"/>
      <c r="R571" s="1184"/>
      <c r="S571" s="1184"/>
      <c r="T571" s="1184"/>
      <c r="U571" s="1184"/>
      <c r="V571" s="1184"/>
      <c r="W571" s="1184"/>
      <c r="X571" s="1184"/>
      <c r="Y571" s="1184"/>
      <c r="Z571" s="1184"/>
    </row>
    <row r="572" spans="1:26" ht="15.5">
      <c r="A572" s="1184"/>
      <c r="B572" s="1184"/>
      <c r="C572" s="1184"/>
      <c r="D572" s="1184"/>
      <c r="E572" s="1184"/>
      <c r="F572" s="1184"/>
      <c r="G572" s="1184"/>
      <c r="H572" s="1184"/>
      <c r="I572" s="1184"/>
      <c r="J572" s="1184"/>
      <c r="K572" s="1184"/>
      <c r="L572" s="1184"/>
      <c r="M572" s="1184"/>
      <c r="N572" s="1184"/>
      <c r="O572" s="1184"/>
      <c r="P572" s="1184"/>
      <c r="Q572" s="1184"/>
      <c r="R572" s="1184"/>
      <c r="S572" s="1184"/>
      <c r="T572" s="1184"/>
      <c r="U572" s="1184"/>
      <c r="V572" s="1184"/>
      <c r="W572" s="1184"/>
      <c r="X572" s="1184"/>
      <c r="Y572" s="1184"/>
      <c r="Z572" s="1184"/>
    </row>
    <row r="573" spans="1:26" ht="15.5">
      <c r="A573" s="1184"/>
      <c r="B573" s="1184"/>
      <c r="C573" s="1184"/>
      <c r="D573" s="1184"/>
      <c r="E573" s="1184"/>
      <c r="F573" s="1184"/>
      <c r="G573" s="1184"/>
      <c r="H573" s="1184"/>
      <c r="I573" s="1184"/>
      <c r="J573" s="1184"/>
      <c r="K573" s="1184"/>
      <c r="L573" s="1184"/>
      <c r="M573" s="1184"/>
      <c r="N573" s="1184"/>
      <c r="O573" s="1184"/>
      <c r="P573" s="1184"/>
      <c r="Q573" s="1184"/>
      <c r="R573" s="1184"/>
      <c r="S573" s="1184"/>
      <c r="T573" s="1184"/>
      <c r="U573" s="1184"/>
      <c r="V573" s="1184"/>
      <c r="W573" s="1184"/>
      <c r="X573" s="1184"/>
      <c r="Y573" s="1184"/>
      <c r="Z573" s="1184"/>
    </row>
    <row r="574" spans="1:26" ht="15.5">
      <c r="A574" s="1184"/>
      <c r="B574" s="1184"/>
      <c r="C574" s="1184"/>
      <c r="D574" s="1184"/>
      <c r="E574" s="1184"/>
      <c r="F574" s="1184"/>
      <c r="G574" s="1184"/>
      <c r="H574" s="1184"/>
      <c r="I574" s="1184"/>
      <c r="J574" s="1184"/>
      <c r="K574" s="1184"/>
      <c r="L574" s="1184"/>
      <c r="M574" s="1184"/>
      <c r="N574" s="1184"/>
      <c r="O574" s="1184"/>
      <c r="P574" s="1184"/>
      <c r="Q574" s="1184"/>
      <c r="R574" s="1184"/>
      <c r="S574" s="1184"/>
      <c r="T574" s="1184"/>
      <c r="U574" s="1184"/>
      <c r="V574" s="1184"/>
      <c r="W574" s="1184"/>
      <c r="X574" s="1184"/>
      <c r="Y574" s="1184"/>
      <c r="Z574" s="1184"/>
    </row>
    <row r="575" spans="1:26" ht="15.5">
      <c r="A575" s="1184"/>
      <c r="B575" s="1184"/>
      <c r="C575" s="1184"/>
      <c r="D575" s="1184"/>
      <c r="E575" s="1184"/>
      <c r="F575" s="1184"/>
      <c r="G575" s="1184"/>
      <c r="H575" s="1184"/>
      <c r="I575" s="1184"/>
      <c r="J575" s="1184"/>
      <c r="K575" s="1184"/>
      <c r="L575" s="1184"/>
      <c r="M575" s="1184"/>
      <c r="N575" s="1184"/>
      <c r="O575" s="1184"/>
      <c r="P575" s="1184"/>
      <c r="Q575" s="1184"/>
      <c r="R575" s="1184"/>
      <c r="S575" s="1184"/>
      <c r="T575" s="1184"/>
      <c r="U575" s="1184"/>
      <c r="V575" s="1184"/>
      <c r="W575" s="1184"/>
      <c r="X575" s="1184"/>
      <c r="Y575" s="1184"/>
      <c r="Z575" s="1184"/>
    </row>
    <row r="576" spans="1:26" ht="15.5">
      <c r="A576" s="1184"/>
      <c r="B576" s="1184"/>
      <c r="C576" s="1184"/>
      <c r="D576" s="1184"/>
      <c r="E576" s="1184"/>
      <c r="F576" s="1184"/>
      <c r="G576" s="1184"/>
      <c r="H576" s="1184"/>
      <c r="I576" s="1184"/>
      <c r="J576" s="1184"/>
      <c r="K576" s="1184"/>
      <c r="L576" s="1184"/>
      <c r="M576" s="1184"/>
      <c r="N576" s="1184"/>
      <c r="O576" s="1184"/>
      <c r="P576" s="1184"/>
      <c r="Q576" s="1184"/>
      <c r="R576" s="1184"/>
      <c r="S576" s="1184"/>
      <c r="T576" s="1184"/>
      <c r="U576" s="1184"/>
      <c r="V576" s="1184"/>
      <c r="W576" s="1184"/>
      <c r="X576" s="1184"/>
      <c r="Y576" s="1184"/>
      <c r="Z576" s="1184"/>
    </row>
    <row r="577" spans="1:26" ht="15.5">
      <c r="A577" s="1184"/>
      <c r="B577" s="1184"/>
      <c r="C577" s="1184"/>
      <c r="D577" s="1184"/>
      <c r="E577" s="1184"/>
      <c r="F577" s="1184"/>
      <c r="G577" s="1184"/>
      <c r="H577" s="1184"/>
      <c r="I577" s="1184"/>
      <c r="J577" s="1184"/>
      <c r="K577" s="1184"/>
      <c r="L577" s="1184"/>
      <c r="M577" s="1184"/>
      <c r="N577" s="1184"/>
      <c r="O577" s="1184"/>
      <c r="P577" s="1184"/>
      <c r="Q577" s="1184"/>
      <c r="R577" s="1184"/>
      <c r="S577" s="1184"/>
      <c r="T577" s="1184"/>
      <c r="U577" s="1184"/>
      <c r="V577" s="1184"/>
      <c r="W577" s="1184"/>
      <c r="X577" s="1184"/>
      <c r="Y577" s="1184"/>
      <c r="Z577" s="1184"/>
    </row>
    <row r="578" spans="1:26" ht="15.5">
      <c r="A578" s="1184"/>
      <c r="B578" s="1184"/>
      <c r="C578" s="1184"/>
      <c r="D578" s="1184"/>
      <c r="E578" s="1184"/>
      <c r="F578" s="1184"/>
      <c r="G578" s="1184"/>
      <c r="H578" s="1184"/>
      <c r="I578" s="1184"/>
      <c r="J578" s="1184"/>
      <c r="K578" s="1184"/>
      <c r="L578" s="1184"/>
      <c r="M578" s="1184"/>
      <c r="N578" s="1184"/>
      <c r="O578" s="1184"/>
      <c r="P578" s="1184"/>
      <c r="Q578" s="1184"/>
      <c r="R578" s="1184"/>
      <c r="S578" s="1184"/>
      <c r="T578" s="1184"/>
      <c r="U578" s="1184"/>
      <c r="V578" s="1184"/>
      <c r="W578" s="1184"/>
      <c r="X578" s="1184"/>
      <c r="Y578" s="1184"/>
      <c r="Z578" s="1184"/>
    </row>
    <row r="579" spans="1:26" ht="15.5">
      <c r="A579" s="1184"/>
      <c r="B579" s="1184"/>
      <c r="C579" s="1184"/>
      <c r="D579" s="1184"/>
      <c r="E579" s="1184"/>
      <c r="F579" s="1184"/>
      <c r="G579" s="1184"/>
      <c r="H579" s="1184"/>
      <c r="I579" s="1184"/>
      <c r="J579" s="1184"/>
      <c r="K579" s="1184"/>
      <c r="L579" s="1184"/>
      <c r="M579" s="1184"/>
      <c r="N579" s="1184"/>
      <c r="O579" s="1184"/>
      <c r="P579" s="1184"/>
      <c r="Q579" s="1184"/>
      <c r="R579" s="1184"/>
      <c r="S579" s="1184"/>
      <c r="T579" s="1184"/>
      <c r="U579" s="1184"/>
      <c r="V579" s="1184"/>
      <c r="W579" s="1184"/>
      <c r="X579" s="1184"/>
      <c r="Y579" s="1184"/>
      <c r="Z579" s="1184"/>
    </row>
    <row r="580" spans="1:26" ht="15.5">
      <c r="A580" s="1184"/>
      <c r="B580" s="1184"/>
      <c r="C580" s="1184"/>
      <c r="D580" s="1184"/>
      <c r="E580" s="1184"/>
      <c r="F580" s="1184"/>
      <c r="G580" s="1184"/>
      <c r="H580" s="1184"/>
      <c r="I580" s="1184"/>
      <c r="J580" s="1184"/>
      <c r="K580" s="1184"/>
      <c r="L580" s="1184"/>
      <c r="M580" s="1184"/>
      <c r="N580" s="1184"/>
      <c r="O580" s="1184"/>
      <c r="P580" s="1184"/>
      <c r="Q580" s="1184"/>
      <c r="R580" s="1184"/>
      <c r="S580" s="1184"/>
      <c r="T580" s="1184"/>
      <c r="U580" s="1184"/>
      <c r="V580" s="1184"/>
      <c r="W580" s="1184"/>
      <c r="X580" s="1184"/>
      <c r="Y580" s="1184"/>
      <c r="Z580" s="1184"/>
    </row>
    <row r="581" spans="1:26" ht="15.5">
      <c r="A581" s="1184"/>
      <c r="B581" s="1184"/>
      <c r="C581" s="1184"/>
      <c r="D581" s="1184"/>
      <c r="E581" s="1184"/>
      <c r="F581" s="1184"/>
      <c r="G581" s="1184"/>
      <c r="H581" s="1184"/>
      <c r="I581" s="1184"/>
      <c r="J581" s="1184"/>
      <c r="K581" s="1184"/>
      <c r="L581" s="1184"/>
      <c r="M581" s="1184"/>
      <c r="N581" s="1184"/>
      <c r="O581" s="1184"/>
      <c r="P581" s="1184"/>
      <c r="Q581" s="1184"/>
      <c r="R581" s="1184"/>
      <c r="S581" s="1184"/>
      <c r="T581" s="1184"/>
      <c r="U581" s="1184"/>
      <c r="V581" s="1184"/>
      <c r="W581" s="1184"/>
      <c r="X581" s="1184"/>
      <c r="Y581" s="1184"/>
      <c r="Z581" s="1184"/>
    </row>
    <row r="582" spans="1:26" ht="15.5">
      <c r="A582" s="1184"/>
      <c r="B582" s="1184"/>
      <c r="C582" s="1184"/>
      <c r="D582" s="1184"/>
      <c r="E582" s="1184"/>
      <c r="F582" s="1184"/>
      <c r="G582" s="1184"/>
      <c r="H582" s="1184"/>
      <c r="I582" s="1184"/>
      <c r="J582" s="1184"/>
      <c r="K582" s="1184"/>
      <c r="L582" s="1184"/>
      <c r="M582" s="1184"/>
      <c r="N582" s="1184"/>
      <c r="O582" s="1184"/>
      <c r="P582" s="1184"/>
      <c r="Q582" s="1184"/>
      <c r="R582" s="1184"/>
      <c r="S582" s="1184"/>
      <c r="T582" s="1184"/>
      <c r="U582" s="1184"/>
      <c r="V582" s="1184"/>
      <c r="W582" s="1184"/>
      <c r="X582" s="1184"/>
      <c r="Y582" s="1184"/>
      <c r="Z582" s="1184"/>
    </row>
    <row r="583" spans="1:26" ht="15.5">
      <c r="A583" s="1184"/>
      <c r="B583" s="1184"/>
      <c r="C583" s="1184"/>
      <c r="D583" s="1184"/>
      <c r="E583" s="1184"/>
      <c r="F583" s="1184"/>
      <c r="G583" s="1184"/>
      <c r="H583" s="1184"/>
      <c r="I583" s="1184"/>
      <c r="J583" s="1184"/>
      <c r="K583" s="1184"/>
      <c r="L583" s="1184"/>
      <c r="M583" s="1184"/>
      <c r="N583" s="1184"/>
      <c r="O583" s="1184"/>
      <c r="P583" s="1184"/>
      <c r="Q583" s="1184"/>
      <c r="R583" s="1184"/>
      <c r="S583" s="1184"/>
      <c r="T583" s="1184"/>
      <c r="U583" s="1184"/>
      <c r="V583" s="1184"/>
      <c r="W583" s="1184"/>
      <c r="X583" s="1184"/>
      <c r="Y583" s="1184"/>
      <c r="Z583" s="1184"/>
    </row>
    <row r="584" spans="1:26" ht="15.5">
      <c r="A584" s="1184"/>
      <c r="B584" s="1184"/>
      <c r="C584" s="1184"/>
      <c r="D584" s="1184"/>
      <c r="E584" s="1184"/>
      <c r="F584" s="1184"/>
      <c r="G584" s="1184"/>
      <c r="H584" s="1184"/>
      <c r="I584" s="1184"/>
      <c r="J584" s="1184"/>
      <c r="K584" s="1184"/>
      <c r="L584" s="1184"/>
      <c r="M584" s="1184"/>
      <c r="N584" s="1184"/>
      <c r="O584" s="1184"/>
      <c r="P584" s="1184"/>
      <c r="Q584" s="1184"/>
      <c r="R584" s="1184"/>
      <c r="S584" s="1184"/>
      <c r="T584" s="1184"/>
      <c r="U584" s="1184"/>
      <c r="V584" s="1184"/>
      <c r="W584" s="1184"/>
      <c r="X584" s="1184"/>
      <c r="Y584" s="1184"/>
      <c r="Z584" s="1184"/>
    </row>
    <row r="585" spans="1:26" ht="15.5">
      <c r="A585" s="1184"/>
      <c r="B585" s="1184"/>
      <c r="C585" s="1184"/>
      <c r="D585" s="1184"/>
      <c r="E585" s="1184"/>
      <c r="F585" s="1184"/>
      <c r="G585" s="1184"/>
      <c r="H585" s="1184"/>
      <c r="I585" s="1184"/>
      <c r="J585" s="1184"/>
      <c r="K585" s="1184"/>
      <c r="L585" s="1184"/>
      <c r="M585" s="1184"/>
      <c r="N585" s="1184"/>
      <c r="O585" s="1184"/>
      <c r="P585" s="1184"/>
      <c r="Q585" s="1184"/>
      <c r="R585" s="1184"/>
      <c r="S585" s="1184"/>
      <c r="T585" s="1184"/>
      <c r="U585" s="1184"/>
      <c r="V585" s="1184"/>
      <c r="W585" s="1184"/>
      <c r="X585" s="1184"/>
      <c r="Y585" s="1184"/>
      <c r="Z585" s="1184"/>
    </row>
    <row r="586" spans="1:26" ht="15.5">
      <c r="A586" s="1184"/>
      <c r="B586" s="1184"/>
      <c r="C586" s="1184"/>
      <c r="D586" s="1184"/>
      <c r="E586" s="1184"/>
      <c r="F586" s="1184"/>
      <c r="G586" s="1184"/>
      <c r="H586" s="1184"/>
      <c r="I586" s="1184"/>
      <c r="J586" s="1184"/>
      <c r="K586" s="1184"/>
      <c r="L586" s="1184"/>
      <c r="M586" s="1184"/>
      <c r="N586" s="1184"/>
      <c r="O586" s="1184"/>
      <c r="P586" s="1184"/>
      <c r="Q586" s="1184"/>
      <c r="R586" s="1184"/>
      <c r="S586" s="1184"/>
      <c r="T586" s="1184"/>
      <c r="U586" s="1184"/>
      <c r="V586" s="1184"/>
      <c r="W586" s="1184"/>
      <c r="X586" s="1184"/>
      <c r="Y586" s="1184"/>
      <c r="Z586" s="1184"/>
    </row>
    <row r="587" spans="1:26" ht="15.5">
      <c r="A587" s="1184"/>
      <c r="B587" s="1184"/>
      <c r="C587" s="1184"/>
      <c r="D587" s="1184"/>
      <c r="E587" s="1184"/>
      <c r="F587" s="1184"/>
      <c r="G587" s="1184"/>
      <c r="H587" s="1184"/>
      <c r="I587" s="1184"/>
      <c r="J587" s="1184"/>
      <c r="K587" s="1184"/>
      <c r="L587" s="1184"/>
      <c r="M587" s="1184"/>
      <c r="N587" s="1184"/>
      <c r="O587" s="1184"/>
      <c r="P587" s="1184"/>
      <c r="Q587" s="1184"/>
      <c r="R587" s="1184"/>
      <c r="S587" s="1184"/>
      <c r="T587" s="1184"/>
      <c r="U587" s="1184"/>
      <c r="V587" s="1184"/>
      <c r="W587" s="1184"/>
      <c r="X587" s="1184"/>
      <c r="Y587" s="1184"/>
      <c r="Z587" s="1184"/>
    </row>
    <row r="588" spans="1:26" ht="15.5">
      <c r="A588" s="1184"/>
      <c r="B588" s="1184"/>
      <c r="C588" s="1184"/>
      <c r="D588" s="1184"/>
      <c r="E588" s="1184"/>
      <c r="F588" s="1184"/>
      <c r="G588" s="1184"/>
      <c r="H588" s="1184"/>
      <c r="I588" s="1184"/>
      <c r="J588" s="1184"/>
      <c r="K588" s="1184"/>
      <c r="L588" s="1184"/>
      <c r="M588" s="1184"/>
      <c r="N588" s="1184"/>
      <c r="O588" s="1184"/>
      <c r="P588" s="1184"/>
      <c r="Q588" s="1184"/>
      <c r="R588" s="1184"/>
      <c r="S588" s="1184"/>
      <c r="T588" s="1184"/>
      <c r="U588" s="1184"/>
      <c r="V588" s="1184"/>
      <c r="W588" s="1184"/>
      <c r="X588" s="1184"/>
      <c r="Y588" s="1184"/>
      <c r="Z588" s="1184"/>
    </row>
    <row r="589" spans="1:26" ht="15.5">
      <c r="A589" s="1184"/>
      <c r="B589" s="1184"/>
      <c r="C589" s="1184"/>
      <c r="D589" s="1184"/>
      <c r="E589" s="1184"/>
      <c r="F589" s="1184"/>
      <c r="G589" s="1184"/>
      <c r="H589" s="1184"/>
      <c r="I589" s="1184"/>
      <c r="J589" s="1184"/>
      <c r="K589" s="1184"/>
      <c r="L589" s="1184"/>
      <c r="M589" s="1184"/>
      <c r="N589" s="1184"/>
      <c r="O589" s="1184"/>
      <c r="P589" s="1184"/>
      <c r="Q589" s="1184"/>
      <c r="R589" s="1184"/>
      <c r="S589" s="1184"/>
      <c r="T589" s="1184"/>
      <c r="U589" s="1184"/>
      <c r="V589" s="1184"/>
      <c r="W589" s="1184"/>
      <c r="X589" s="1184"/>
      <c r="Y589" s="1184"/>
      <c r="Z589" s="1184"/>
    </row>
    <row r="590" spans="1:26" ht="15.5">
      <c r="A590" s="1184"/>
      <c r="B590" s="1184"/>
      <c r="C590" s="1184"/>
      <c r="D590" s="1184"/>
      <c r="E590" s="1184"/>
      <c r="F590" s="1184"/>
      <c r="G590" s="1184"/>
      <c r="H590" s="1184"/>
      <c r="I590" s="1184"/>
      <c r="J590" s="1184"/>
      <c r="K590" s="1184"/>
      <c r="L590" s="1184"/>
      <c r="M590" s="1184"/>
      <c r="N590" s="1184"/>
      <c r="O590" s="1184"/>
      <c r="P590" s="1184"/>
      <c r="Q590" s="1184"/>
      <c r="R590" s="1184"/>
      <c r="S590" s="1184"/>
      <c r="T590" s="1184"/>
      <c r="U590" s="1184"/>
      <c r="V590" s="1184"/>
      <c r="W590" s="1184"/>
      <c r="X590" s="1184"/>
      <c r="Y590" s="1184"/>
      <c r="Z590" s="1184"/>
    </row>
    <row r="591" spans="1:26" ht="15.5">
      <c r="A591" s="1184"/>
      <c r="B591" s="1184"/>
      <c r="C591" s="1184"/>
      <c r="D591" s="1184"/>
      <c r="E591" s="1184"/>
      <c r="F591" s="1184"/>
      <c r="G591" s="1184"/>
      <c r="H591" s="1184"/>
      <c r="I591" s="1184"/>
      <c r="J591" s="1184"/>
      <c r="K591" s="1184"/>
      <c r="L591" s="1184"/>
      <c r="M591" s="1184"/>
      <c r="N591" s="1184"/>
      <c r="O591" s="1184"/>
      <c r="P591" s="1184"/>
      <c r="Q591" s="1184"/>
      <c r="R591" s="1184"/>
      <c r="S591" s="1184"/>
      <c r="T591" s="1184"/>
      <c r="U591" s="1184"/>
      <c r="V591" s="1184"/>
      <c r="W591" s="1184"/>
      <c r="X591" s="1184"/>
      <c r="Y591" s="1184"/>
      <c r="Z591" s="1184"/>
    </row>
    <row r="592" spans="1:26" ht="15.5">
      <c r="A592" s="1184"/>
      <c r="B592" s="1184"/>
      <c r="C592" s="1184"/>
      <c r="D592" s="1184"/>
      <c r="E592" s="1184"/>
      <c r="F592" s="1184"/>
      <c r="G592" s="1184"/>
      <c r="H592" s="1184"/>
      <c r="I592" s="1184"/>
      <c r="J592" s="1184"/>
      <c r="K592" s="1184"/>
      <c r="L592" s="1184"/>
      <c r="M592" s="1184"/>
      <c r="N592" s="1184"/>
      <c r="O592" s="1184"/>
      <c r="P592" s="1184"/>
      <c r="Q592" s="1184"/>
      <c r="R592" s="1184"/>
      <c r="S592" s="1184"/>
      <c r="T592" s="1184"/>
      <c r="U592" s="1184"/>
      <c r="V592" s="1184"/>
      <c r="W592" s="1184"/>
      <c r="X592" s="1184"/>
      <c r="Y592" s="1184"/>
      <c r="Z592" s="1184"/>
    </row>
    <row r="593" spans="1:26" ht="15.5">
      <c r="A593" s="1184"/>
      <c r="B593" s="1184"/>
      <c r="C593" s="1184"/>
      <c r="D593" s="1184"/>
      <c r="E593" s="1184"/>
      <c r="F593" s="1184"/>
      <c r="G593" s="1184"/>
      <c r="H593" s="1184"/>
      <c r="I593" s="1184"/>
      <c r="J593" s="1184"/>
      <c r="K593" s="1184"/>
      <c r="L593" s="1184"/>
      <c r="M593" s="1184"/>
      <c r="N593" s="1184"/>
      <c r="O593" s="1184"/>
      <c r="P593" s="1184"/>
      <c r="Q593" s="1184"/>
      <c r="R593" s="1184"/>
      <c r="S593" s="1184"/>
      <c r="T593" s="1184"/>
      <c r="U593" s="1184"/>
      <c r="V593" s="1184"/>
      <c r="W593" s="1184"/>
      <c r="X593" s="1184"/>
      <c r="Y593" s="1184"/>
      <c r="Z593" s="1184"/>
    </row>
    <row r="594" spans="1:26" ht="15.5">
      <c r="A594" s="1184"/>
      <c r="B594" s="1184"/>
      <c r="C594" s="1184"/>
      <c r="D594" s="1184"/>
      <c r="E594" s="1184"/>
      <c r="F594" s="1184"/>
      <c r="G594" s="1184"/>
      <c r="H594" s="1184"/>
      <c r="I594" s="1184"/>
      <c r="J594" s="1184"/>
      <c r="K594" s="1184"/>
      <c r="L594" s="1184"/>
      <c r="M594" s="1184"/>
      <c r="N594" s="1184"/>
      <c r="O594" s="1184"/>
      <c r="P594" s="1184"/>
      <c r="Q594" s="1184"/>
      <c r="R594" s="1184"/>
      <c r="S594" s="1184"/>
      <c r="T594" s="1184"/>
      <c r="U594" s="1184"/>
      <c r="V594" s="1184"/>
      <c r="W594" s="1184"/>
      <c r="X594" s="1184"/>
      <c r="Y594" s="1184"/>
      <c r="Z594" s="1184"/>
    </row>
    <row r="595" spans="1:26" ht="15.5">
      <c r="A595" s="1184"/>
      <c r="B595" s="1184"/>
      <c r="C595" s="1184"/>
      <c r="D595" s="1184"/>
      <c r="E595" s="1184"/>
      <c r="F595" s="1184"/>
      <c r="G595" s="1184"/>
      <c r="H595" s="1184"/>
      <c r="I595" s="1184"/>
      <c r="J595" s="1184"/>
      <c r="K595" s="1184"/>
      <c r="L595" s="1184"/>
      <c r="M595" s="1184"/>
      <c r="N595" s="1184"/>
      <c r="O595" s="1184"/>
      <c r="P595" s="1184"/>
      <c r="Q595" s="1184"/>
      <c r="R595" s="1184"/>
      <c r="S595" s="1184"/>
      <c r="T595" s="1184"/>
      <c r="U595" s="1184"/>
      <c r="V595" s="1184"/>
      <c r="W595" s="1184"/>
      <c r="X595" s="1184"/>
      <c r="Y595" s="1184"/>
      <c r="Z595" s="1184"/>
    </row>
    <row r="596" spans="1:26" ht="15.5">
      <c r="A596" s="1184"/>
      <c r="B596" s="1184"/>
      <c r="C596" s="1184"/>
      <c r="D596" s="1184"/>
      <c r="E596" s="1184"/>
      <c r="F596" s="1184"/>
      <c r="G596" s="1184"/>
      <c r="H596" s="1184"/>
      <c r="I596" s="1184"/>
      <c r="J596" s="1184"/>
      <c r="K596" s="1184"/>
      <c r="L596" s="1184"/>
      <c r="M596" s="1184"/>
      <c r="N596" s="1184"/>
      <c r="O596" s="1184"/>
      <c r="P596" s="1184"/>
      <c r="Q596" s="1184"/>
      <c r="R596" s="1184"/>
      <c r="S596" s="1184"/>
      <c r="T596" s="1184"/>
      <c r="U596" s="1184"/>
      <c r="V596" s="1184"/>
      <c r="W596" s="1184"/>
      <c r="X596" s="1184"/>
      <c r="Y596" s="1184"/>
      <c r="Z596" s="1184"/>
    </row>
    <row r="597" spans="1:26" ht="15.5">
      <c r="A597" s="1184"/>
      <c r="B597" s="1184"/>
      <c r="C597" s="1184"/>
      <c r="D597" s="1184"/>
      <c r="E597" s="1184"/>
      <c r="F597" s="1184"/>
      <c r="G597" s="1184"/>
      <c r="H597" s="1184"/>
      <c r="I597" s="1184"/>
      <c r="J597" s="1184"/>
      <c r="K597" s="1184"/>
      <c r="L597" s="1184"/>
      <c r="M597" s="1184"/>
      <c r="N597" s="1184"/>
      <c r="O597" s="1184"/>
      <c r="P597" s="1184"/>
      <c r="Q597" s="1184"/>
      <c r="R597" s="1184"/>
      <c r="S597" s="1184"/>
      <c r="T597" s="1184"/>
      <c r="U597" s="1184"/>
      <c r="V597" s="1184"/>
      <c r="W597" s="1184"/>
      <c r="X597" s="1184"/>
      <c r="Y597" s="1184"/>
      <c r="Z597" s="1184"/>
    </row>
    <row r="598" spans="1:26" ht="15.5">
      <c r="A598" s="1184"/>
      <c r="B598" s="1184"/>
      <c r="C598" s="1184"/>
      <c r="D598" s="1184"/>
      <c r="E598" s="1184"/>
      <c r="F598" s="1184"/>
      <c r="G598" s="1184"/>
      <c r="H598" s="1184"/>
      <c r="I598" s="1184"/>
      <c r="J598" s="1184"/>
      <c r="K598" s="1184"/>
      <c r="L598" s="1184"/>
      <c r="M598" s="1184"/>
      <c r="N598" s="1184"/>
      <c r="O598" s="1184"/>
      <c r="P598" s="1184"/>
      <c r="Q598" s="1184"/>
      <c r="R598" s="1184"/>
      <c r="S598" s="1184"/>
      <c r="T598" s="1184"/>
      <c r="U598" s="1184"/>
      <c r="V598" s="1184"/>
      <c r="W598" s="1184"/>
      <c r="X598" s="1184"/>
      <c r="Y598" s="1184"/>
      <c r="Z598" s="1184"/>
    </row>
    <row r="599" spans="1:26" ht="15.5">
      <c r="A599" s="1184"/>
      <c r="B599" s="1184"/>
      <c r="C599" s="1184"/>
      <c r="D599" s="1184"/>
      <c r="E599" s="1184"/>
      <c r="F599" s="1184"/>
      <c r="G599" s="1184"/>
      <c r="H599" s="1184"/>
      <c r="I599" s="1184"/>
      <c r="J599" s="1184"/>
      <c r="K599" s="1184"/>
      <c r="L599" s="1184"/>
      <c r="M599" s="1184"/>
      <c r="N599" s="1184"/>
      <c r="O599" s="1184"/>
      <c r="P599" s="1184"/>
      <c r="Q599" s="1184"/>
      <c r="R599" s="1184"/>
      <c r="S599" s="1184"/>
      <c r="T599" s="1184"/>
      <c r="U599" s="1184"/>
      <c r="V599" s="1184"/>
      <c r="W599" s="1184"/>
      <c r="X599" s="1184"/>
      <c r="Y599" s="1184"/>
      <c r="Z599" s="1184"/>
    </row>
    <row r="600" spans="1:26" ht="15.5">
      <c r="A600" s="1184"/>
      <c r="B600" s="1184"/>
      <c r="C600" s="1184"/>
      <c r="D600" s="1184"/>
      <c r="E600" s="1184"/>
      <c r="F600" s="1184"/>
      <c r="G600" s="1184"/>
      <c r="H600" s="1184"/>
      <c r="I600" s="1184"/>
      <c r="J600" s="1184"/>
      <c r="K600" s="1184"/>
      <c r="L600" s="1184"/>
      <c r="M600" s="1184"/>
      <c r="N600" s="1184"/>
      <c r="O600" s="1184"/>
      <c r="P600" s="1184"/>
      <c r="Q600" s="1184"/>
      <c r="R600" s="1184"/>
      <c r="S600" s="1184"/>
      <c r="T600" s="1184"/>
      <c r="U600" s="1184"/>
      <c r="V600" s="1184"/>
      <c r="W600" s="1184"/>
      <c r="X600" s="1184"/>
      <c r="Y600" s="1184"/>
      <c r="Z600" s="1184"/>
    </row>
    <row r="601" spans="1:26" ht="15.5">
      <c r="A601" s="1184"/>
      <c r="B601" s="1184"/>
      <c r="C601" s="1184"/>
      <c r="D601" s="1184"/>
      <c r="E601" s="1184"/>
      <c r="F601" s="1184"/>
      <c r="G601" s="1184"/>
      <c r="H601" s="1184"/>
      <c r="I601" s="1184"/>
      <c r="J601" s="1184"/>
      <c r="K601" s="1184"/>
      <c r="L601" s="1184"/>
      <c r="M601" s="1184"/>
      <c r="N601" s="1184"/>
      <c r="O601" s="1184"/>
      <c r="P601" s="1184"/>
      <c r="Q601" s="1184"/>
      <c r="R601" s="1184"/>
      <c r="S601" s="1184"/>
      <c r="T601" s="1184"/>
      <c r="U601" s="1184"/>
      <c r="V601" s="1184"/>
      <c r="W601" s="1184"/>
      <c r="X601" s="1184"/>
      <c r="Y601" s="1184"/>
      <c r="Z601" s="1184"/>
    </row>
    <row r="602" spans="1:26" ht="15.5">
      <c r="A602" s="1184"/>
      <c r="B602" s="1184"/>
      <c r="C602" s="1184"/>
      <c r="D602" s="1184"/>
      <c r="E602" s="1184"/>
      <c r="F602" s="1184"/>
      <c r="G602" s="1184"/>
      <c r="H602" s="1184"/>
      <c r="I602" s="1184"/>
      <c r="J602" s="1184"/>
      <c r="K602" s="1184"/>
      <c r="L602" s="1184"/>
      <c r="M602" s="1184"/>
      <c r="N602" s="1184"/>
      <c r="O602" s="1184"/>
      <c r="P602" s="1184"/>
      <c r="Q602" s="1184"/>
      <c r="R602" s="1184"/>
      <c r="S602" s="1184"/>
      <c r="T602" s="1184"/>
      <c r="U602" s="1184"/>
      <c r="V602" s="1184"/>
      <c r="W602" s="1184"/>
      <c r="X602" s="1184"/>
      <c r="Y602" s="1184"/>
      <c r="Z602" s="1184"/>
    </row>
    <row r="603" spans="1:26" ht="15.5">
      <c r="A603" s="1184"/>
      <c r="B603" s="1184"/>
      <c r="C603" s="1184"/>
      <c r="D603" s="1184"/>
      <c r="E603" s="1184"/>
      <c r="F603" s="1184"/>
      <c r="G603" s="1184"/>
      <c r="H603" s="1184"/>
      <c r="I603" s="1184"/>
      <c r="J603" s="1184"/>
      <c r="K603" s="1184"/>
      <c r="L603" s="1184"/>
      <c r="M603" s="1184"/>
      <c r="N603" s="1184"/>
      <c r="O603" s="1184"/>
      <c r="P603" s="1184"/>
      <c r="Q603" s="1184"/>
      <c r="R603" s="1184"/>
      <c r="S603" s="1184"/>
      <c r="T603" s="1184"/>
      <c r="U603" s="1184"/>
      <c r="V603" s="1184"/>
      <c r="W603" s="1184"/>
      <c r="X603" s="1184"/>
      <c r="Y603" s="1184"/>
      <c r="Z603" s="1184"/>
    </row>
    <row r="604" spans="1:26" ht="15.5">
      <c r="A604" s="1184"/>
      <c r="B604" s="1184"/>
      <c r="C604" s="1184"/>
      <c r="D604" s="1184"/>
      <c r="E604" s="1184"/>
      <c r="F604" s="1184"/>
      <c r="G604" s="1184"/>
      <c r="H604" s="1184"/>
      <c r="I604" s="1184"/>
      <c r="J604" s="1184"/>
      <c r="K604" s="1184"/>
      <c r="L604" s="1184"/>
      <c r="M604" s="1184"/>
      <c r="N604" s="1184"/>
      <c r="O604" s="1184"/>
      <c r="P604" s="1184"/>
      <c r="Q604" s="1184"/>
      <c r="R604" s="1184"/>
      <c r="S604" s="1184"/>
      <c r="T604" s="1184"/>
      <c r="U604" s="1184"/>
      <c r="V604" s="1184"/>
      <c r="W604" s="1184"/>
      <c r="X604" s="1184"/>
      <c r="Y604" s="1184"/>
      <c r="Z604" s="1184"/>
    </row>
    <row r="605" spans="1:26" ht="15.5">
      <c r="A605" s="1184"/>
      <c r="B605" s="1184"/>
      <c r="C605" s="1184"/>
      <c r="D605" s="1184"/>
      <c r="E605" s="1184"/>
      <c r="F605" s="1184"/>
      <c r="G605" s="1184"/>
      <c r="H605" s="1184"/>
      <c r="I605" s="1184"/>
      <c r="J605" s="1184"/>
      <c r="K605" s="1184"/>
      <c r="L605" s="1184"/>
      <c r="M605" s="1184"/>
      <c r="N605" s="1184"/>
      <c r="O605" s="1184"/>
      <c r="P605" s="1184"/>
      <c r="Q605" s="1184"/>
      <c r="R605" s="1184"/>
      <c r="S605" s="1184"/>
      <c r="T605" s="1184"/>
      <c r="U605" s="1184"/>
      <c r="V605" s="1184"/>
      <c r="W605" s="1184"/>
      <c r="X605" s="1184"/>
      <c r="Y605" s="1184"/>
      <c r="Z605" s="1184"/>
    </row>
    <row r="606" spans="1:26" ht="15.5">
      <c r="A606" s="1184"/>
      <c r="B606" s="1184"/>
      <c r="C606" s="1184"/>
      <c r="D606" s="1184"/>
      <c r="E606" s="1184"/>
      <c r="F606" s="1184"/>
      <c r="G606" s="1184"/>
      <c r="H606" s="1184"/>
      <c r="I606" s="1184"/>
      <c r="J606" s="1184"/>
      <c r="K606" s="1184"/>
      <c r="L606" s="1184"/>
      <c r="M606" s="1184"/>
      <c r="N606" s="1184"/>
      <c r="O606" s="1184"/>
      <c r="P606" s="1184"/>
      <c r="Q606" s="1184"/>
      <c r="R606" s="1184"/>
      <c r="S606" s="1184"/>
      <c r="T606" s="1184"/>
      <c r="U606" s="1184"/>
      <c r="V606" s="1184"/>
      <c r="W606" s="1184"/>
      <c r="X606" s="1184"/>
      <c r="Y606" s="1184"/>
      <c r="Z606" s="1184"/>
    </row>
    <row r="607" spans="1:26" ht="15.5">
      <c r="A607" s="1184"/>
      <c r="B607" s="1184"/>
      <c r="C607" s="1184"/>
      <c r="D607" s="1184"/>
      <c r="E607" s="1184"/>
      <c r="F607" s="1184"/>
      <c r="G607" s="1184"/>
      <c r="H607" s="1184"/>
      <c r="I607" s="1184"/>
      <c r="J607" s="1184"/>
      <c r="K607" s="1184"/>
      <c r="L607" s="1184"/>
      <c r="M607" s="1184"/>
      <c r="N607" s="1184"/>
      <c r="O607" s="1184"/>
      <c r="P607" s="1184"/>
      <c r="Q607" s="1184"/>
      <c r="R607" s="1184"/>
      <c r="S607" s="1184"/>
      <c r="T607" s="1184"/>
      <c r="U607" s="1184"/>
      <c r="V607" s="1184"/>
      <c r="W607" s="1184"/>
      <c r="X607" s="1184"/>
      <c r="Y607" s="1184"/>
      <c r="Z607" s="1184"/>
    </row>
    <row r="608" spans="1:26" ht="15.5">
      <c r="A608" s="1184"/>
      <c r="B608" s="1184"/>
      <c r="C608" s="1184"/>
      <c r="D608" s="1184"/>
      <c r="E608" s="1184"/>
      <c r="F608" s="1184"/>
      <c r="G608" s="1184"/>
      <c r="H608" s="1184"/>
      <c r="I608" s="1184"/>
      <c r="J608" s="1184"/>
      <c r="K608" s="1184"/>
      <c r="L608" s="1184"/>
      <c r="M608" s="1184"/>
      <c r="N608" s="1184"/>
      <c r="O608" s="1184"/>
      <c r="P608" s="1184"/>
      <c r="Q608" s="1184"/>
      <c r="R608" s="1184"/>
      <c r="S608" s="1184"/>
      <c r="T608" s="1184"/>
      <c r="U608" s="1184"/>
      <c r="V608" s="1184"/>
      <c r="W608" s="1184"/>
      <c r="X608" s="1184"/>
      <c r="Y608" s="1184"/>
      <c r="Z608" s="1184"/>
    </row>
    <row r="609" spans="1:26" ht="15.5">
      <c r="A609" s="1184"/>
      <c r="B609" s="1184"/>
      <c r="C609" s="1184"/>
      <c r="D609" s="1184"/>
      <c r="E609" s="1184"/>
      <c r="F609" s="1184"/>
      <c r="G609" s="1184"/>
      <c r="H609" s="1184"/>
      <c r="I609" s="1184"/>
      <c r="J609" s="1184"/>
      <c r="K609" s="1184"/>
      <c r="L609" s="1184"/>
      <c r="M609" s="1184"/>
      <c r="N609" s="1184"/>
      <c r="O609" s="1184"/>
      <c r="P609" s="1184"/>
      <c r="Q609" s="1184"/>
      <c r="R609" s="1184"/>
      <c r="S609" s="1184"/>
      <c r="T609" s="1184"/>
      <c r="U609" s="1184"/>
      <c r="V609" s="1184"/>
      <c r="W609" s="1184"/>
      <c r="X609" s="1184"/>
      <c r="Y609" s="1184"/>
      <c r="Z609" s="1184"/>
    </row>
    <row r="610" spans="1:26" ht="15.5">
      <c r="A610" s="1184"/>
      <c r="B610" s="1184"/>
      <c r="C610" s="1184"/>
      <c r="D610" s="1184"/>
      <c r="E610" s="1184"/>
      <c r="F610" s="1184"/>
      <c r="G610" s="1184"/>
      <c r="H610" s="1184"/>
      <c r="I610" s="1184"/>
      <c r="J610" s="1184"/>
      <c r="K610" s="1184"/>
      <c r="L610" s="1184"/>
      <c r="M610" s="1184"/>
      <c r="N610" s="1184"/>
      <c r="O610" s="1184"/>
      <c r="P610" s="1184"/>
      <c r="Q610" s="1184"/>
      <c r="R610" s="1184"/>
      <c r="S610" s="1184"/>
      <c r="T610" s="1184"/>
      <c r="U610" s="1184"/>
      <c r="V610" s="1184"/>
      <c r="W610" s="1184"/>
      <c r="X610" s="1184"/>
      <c r="Y610" s="1184"/>
      <c r="Z610" s="1184"/>
    </row>
    <row r="611" spans="1:26" ht="15.5">
      <c r="A611" s="1184"/>
      <c r="B611" s="1184"/>
      <c r="C611" s="1184"/>
      <c r="D611" s="1184"/>
      <c r="E611" s="1184"/>
      <c r="F611" s="1184"/>
      <c r="G611" s="1184"/>
      <c r="H611" s="1184"/>
      <c r="I611" s="1184"/>
      <c r="J611" s="1184"/>
      <c r="K611" s="1184"/>
      <c r="L611" s="1184"/>
      <c r="M611" s="1184"/>
      <c r="N611" s="1184"/>
      <c r="O611" s="1184"/>
      <c r="P611" s="1184"/>
      <c r="Q611" s="1184"/>
      <c r="R611" s="1184"/>
      <c r="S611" s="1184"/>
      <c r="T611" s="1184"/>
      <c r="U611" s="1184"/>
      <c r="V611" s="1184"/>
      <c r="W611" s="1184"/>
      <c r="X611" s="1184"/>
      <c r="Y611" s="1184"/>
      <c r="Z611" s="1184"/>
    </row>
    <row r="612" spans="1:26" ht="15.5">
      <c r="A612" s="1184"/>
      <c r="B612" s="1184"/>
      <c r="C612" s="1184"/>
      <c r="D612" s="1184"/>
      <c r="E612" s="1184"/>
      <c r="F612" s="1184"/>
      <c r="G612" s="1184"/>
      <c r="H612" s="1184"/>
      <c r="I612" s="1184"/>
      <c r="J612" s="1184"/>
      <c r="K612" s="1184"/>
      <c r="L612" s="1184"/>
      <c r="M612" s="1184"/>
      <c r="N612" s="1184"/>
      <c r="O612" s="1184"/>
      <c r="P612" s="1184"/>
      <c r="Q612" s="1184"/>
      <c r="R612" s="1184"/>
      <c r="S612" s="1184"/>
      <c r="T612" s="1184"/>
      <c r="U612" s="1184"/>
      <c r="V612" s="1184"/>
      <c r="W612" s="1184"/>
      <c r="X612" s="1184"/>
      <c r="Y612" s="1184"/>
      <c r="Z612" s="1184"/>
    </row>
    <row r="613" spans="1:26" ht="15.5">
      <c r="A613" s="1184"/>
      <c r="B613" s="1184"/>
      <c r="C613" s="1184"/>
      <c r="D613" s="1184"/>
      <c r="E613" s="1184"/>
      <c r="F613" s="1184"/>
      <c r="G613" s="1184"/>
      <c r="H613" s="1184"/>
      <c r="I613" s="1184"/>
      <c r="J613" s="1184"/>
      <c r="K613" s="1184"/>
      <c r="L613" s="1184"/>
      <c r="M613" s="1184"/>
      <c r="N613" s="1184"/>
      <c r="O613" s="1184"/>
      <c r="P613" s="1184"/>
      <c r="Q613" s="1184"/>
      <c r="R613" s="1184"/>
      <c r="S613" s="1184"/>
      <c r="T613" s="1184"/>
      <c r="U613" s="1184"/>
      <c r="V613" s="1184"/>
      <c r="W613" s="1184"/>
      <c r="X613" s="1184"/>
      <c r="Y613" s="1184"/>
      <c r="Z613" s="1184"/>
    </row>
    <row r="614" spans="1:26" ht="15.5">
      <c r="A614" s="1184"/>
      <c r="B614" s="1184"/>
      <c r="C614" s="1184"/>
      <c r="D614" s="1184"/>
      <c r="E614" s="1184"/>
      <c r="F614" s="1184"/>
      <c r="G614" s="1184"/>
      <c r="H614" s="1184"/>
      <c r="I614" s="1184"/>
      <c r="J614" s="1184"/>
      <c r="K614" s="1184"/>
      <c r="L614" s="1184"/>
      <c r="M614" s="1184"/>
      <c r="N614" s="1184"/>
      <c r="O614" s="1184"/>
      <c r="P614" s="1184"/>
      <c r="Q614" s="1184"/>
      <c r="R614" s="1184"/>
      <c r="S614" s="1184"/>
      <c r="T614" s="1184"/>
      <c r="U614" s="1184"/>
      <c r="V614" s="1184"/>
      <c r="W614" s="1184"/>
      <c r="X614" s="1184"/>
      <c r="Y614" s="1184"/>
      <c r="Z614" s="1184"/>
    </row>
    <row r="615" spans="1:26" ht="15.5">
      <c r="A615" s="1184"/>
      <c r="B615" s="1184"/>
      <c r="C615" s="1184"/>
      <c r="D615" s="1184"/>
      <c r="E615" s="1184"/>
      <c r="F615" s="1184"/>
      <c r="G615" s="1184"/>
      <c r="H615" s="1184"/>
      <c r="I615" s="1184"/>
      <c r="J615" s="1184"/>
      <c r="K615" s="1184"/>
      <c r="L615" s="1184"/>
      <c r="M615" s="1184"/>
      <c r="N615" s="1184"/>
      <c r="O615" s="1184"/>
      <c r="P615" s="1184"/>
      <c r="Q615" s="1184"/>
      <c r="R615" s="1184"/>
      <c r="S615" s="1184"/>
      <c r="T615" s="1184"/>
      <c r="U615" s="1184"/>
      <c r="V615" s="1184"/>
      <c r="W615" s="1184"/>
      <c r="X615" s="1184"/>
      <c r="Y615" s="1184"/>
      <c r="Z615" s="1184"/>
    </row>
    <row r="616" spans="1:26" ht="15.5">
      <c r="A616" s="1184"/>
      <c r="B616" s="1184"/>
      <c r="C616" s="1184"/>
      <c r="D616" s="1184"/>
      <c r="E616" s="1184"/>
      <c r="F616" s="1184"/>
      <c r="G616" s="1184"/>
      <c r="H616" s="1184"/>
      <c r="I616" s="1184"/>
      <c r="J616" s="1184"/>
      <c r="K616" s="1184"/>
      <c r="L616" s="1184"/>
      <c r="M616" s="1184"/>
      <c r="N616" s="1184"/>
      <c r="O616" s="1184"/>
      <c r="P616" s="1184"/>
      <c r="Q616" s="1184"/>
      <c r="R616" s="1184"/>
      <c r="S616" s="1184"/>
      <c r="T616" s="1184"/>
      <c r="U616" s="1184"/>
      <c r="V616" s="1184"/>
      <c r="W616" s="1184"/>
      <c r="X616" s="1184"/>
      <c r="Y616" s="1184"/>
      <c r="Z616" s="1184"/>
    </row>
    <row r="617" spans="1:26" ht="15.5">
      <c r="A617" s="1184"/>
      <c r="B617" s="1184"/>
      <c r="C617" s="1184"/>
      <c r="D617" s="1184"/>
      <c r="E617" s="1184"/>
      <c r="F617" s="1184"/>
      <c r="G617" s="1184"/>
      <c r="H617" s="1184"/>
      <c r="I617" s="1184"/>
      <c r="J617" s="1184"/>
      <c r="K617" s="1184"/>
      <c r="L617" s="1184"/>
      <c r="M617" s="1184"/>
      <c r="N617" s="1184"/>
      <c r="O617" s="1184"/>
      <c r="P617" s="1184"/>
      <c r="Q617" s="1184"/>
      <c r="R617" s="1184"/>
      <c r="S617" s="1184"/>
      <c r="T617" s="1184"/>
      <c r="U617" s="1184"/>
      <c r="V617" s="1184"/>
      <c r="W617" s="1184"/>
      <c r="X617" s="1184"/>
      <c r="Y617" s="1184"/>
      <c r="Z617" s="1184"/>
    </row>
    <row r="618" spans="1:26" ht="15.5">
      <c r="A618" s="1184"/>
      <c r="B618" s="1184"/>
      <c r="C618" s="1184"/>
      <c r="D618" s="1184"/>
      <c r="E618" s="1184"/>
      <c r="F618" s="1184"/>
      <c r="G618" s="1184"/>
      <c r="H618" s="1184"/>
      <c r="I618" s="1184"/>
      <c r="J618" s="1184"/>
      <c r="K618" s="1184"/>
      <c r="L618" s="1184"/>
      <c r="M618" s="1184"/>
      <c r="N618" s="1184"/>
      <c r="O618" s="1184"/>
      <c r="P618" s="1184"/>
      <c r="Q618" s="1184"/>
      <c r="R618" s="1184"/>
      <c r="S618" s="1184"/>
      <c r="T618" s="1184"/>
      <c r="U618" s="1184"/>
      <c r="V618" s="1184"/>
      <c r="W618" s="1184"/>
      <c r="X618" s="1184"/>
      <c r="Y618" s="1184"/>
      <c r="Z618" s="1184"/>
    </row>
    <row r="619" spans="1:26" ht="15.5">
      <c r="A619" s="1184"/>
      <c r="B619" s="1184"/>
      <c r="C619" s="1184"/>
      <c r="D619" s="1184"/>
      <c r="E619" s="1184"/>
      <c r="F619" s="1184"/>
      <c r="G619" s="1184"/>
      <c r="H619" s="1184"/>
      <c r="I619" s="1184"/>
      <c r="J619" s="1184"/>
      <c r="K619" s="1184"/>
      <c r="L619" s="1184"/>
      <c r="M619" s="1184"/>
      <c r="N619" s="1184"/>
      <c r="O619" s="1184"/>
      <c r="P619" s="1184"/>
      <c r="Q619" s="1184"/>
      <c r="R619" s="1184"/>
      <c r="S619" s="1184"/>
      <c r="T619" s="1184"/>
      <c r="U619" s="1184"/>
      <c r="V619" s="1184"/>
      <c r="W619" s="1184"/>
      <c r="X619" s="1184"/>
      <c r="Y619" s="1184"/>
      <c r="Z619" s="1184"/>
    </row>
    <row r="620" spans="1:26" ht="15.5">
      <c r="A620" s="1184"/>
      <c r="B620" s="1184"/>
      <c r="C620" s="1184"/>
      <c r="D620" s="1184"/>
      <c r="E620" s="1184"/>
      <c r="F620" s="1184"/>
      <c r="G620" s="1184"/>
      <c r="H620" s="1184"/>
      <c r="I620" s="1184"/>
      <c r="J620" s="1184"/>
      <c r="K620" s="1184"/>
      <c r="L620" s="1184"/>
      <c r="M620" s="1184"/>
      <c r="N620" s="1184"/>
      <c r="O620" s="1184"/>
      <c r="P620" s="1184"/>
      <c r="Q620" s="1184"/>
      <c r="R620" s="1184"/>
      <c r="S620" s="1184"/>
      <c r="T620" s="1184"/>
      <c r="U620" s="1184"/>
      <c r="V620" s="1184"/>
      <c r="W620" s="1184"/>
      <c r="X620" s="1184"/>
      <c r="Y620" s="1184"/>
      <c r="Z620" s="1184"/>
    </row>
    <row r="621" spans="1:26" ht="15.5">
      <c r="A621" s="1184"/>
      <c r="B621" s="1184"/>
      <c r="C621" s="1184"/>
      <c r="D621" s="1184"/>
      <c r="E621" s="1184"/>
      <c r="F621" s="1184"/>
      <c r="G621" s="1184"/>
      <c r="H621" s="1184"/>
      <c r="I621" s="1184"/>
      <c r="J621" s="1184"/>
      <c r="K621" s="1184"/>
      <c r="L621" s="1184"/>
      <c r="M621" s="1184"/>
      <c r="N621" s="1184"/>
      <c r="O621" s="1184"/>
      <c r="P621" s="1184"/>
      <c r="Q621" s="1184"/>
      <c r="R621" s="1184"/>
      <c r="S621" s="1184"/>
      <c r="T621" s="1184"/>
      <c r="U621" s="1184"/>
      <c r="V621" s="1184"/>
      <c r="W621" s="1184"/>
      <c r="X621" s="1184"/>
      <c r="Y621" s="1184"/>
      <c r="Z621" s="1184"/>
    </row>
    <row r="622" spans="1:26" ht="15.5">
      <c r="A622" s="1184"/>
      <c r="B622" s="1184"/>
      <c r="C622" s="1184"/>
      <c r="D622" s="1184"/>
      <c r="E622" s="1184"/>
      <c r="F622" s="1184"/>
      <c r="G622" s="1184"/>
      <c r="H622" s="1184"/>
      <c r="I622" s="1184"/>
      <c r="J622" s="1184"/>
      <c r="K622" s="1184"/>
      <c r="L622" s="1184"/>
      <c r="M622" s="1184"/>
      <c r="N622" s="1184"/>
      <c r="O622" s="1184"/>
      <c r="P622" s="1184"/>
      <c r="Q622" s="1184"/>
      <c r="R622" s="1184"/>
      <c r="S622" s="1184"/>
      <c r="T622" s="1184"/>
      <c r="U622" s="1184"/>
      <c r="V622" s="1184"/>
      <c r="W622" s="1184"/>
      <c r="X622" s="1184"/>
      <c r="Y622" s="1184"/>
      <c r="Z622" s="1184"/>
    </row>
    <row r="623" spans="1:26" ht="15.5">
      <c r="A623" s="1184"/>
      <c r="B623" s="1184"/>
      <c r="C623" s="1184"/>
      <c r="D623" s="1184"/>
      <c r="E623" s="1184"/>
      <c r="F623" s="1184"/>
      <c r="G623" s="1184"/>
      <c r="H623" s="1184"/>
      <c r="I623" s="1184"/>
      <c r="J623" s="1184"/>
      <c r="K623" s="1184"/>
      <c r="L623" s="1184"/>
      <c r="M623" s="1184"/>
      <c r="N623" s="1184"/>
      <c r="O623" s="1184"/>
      <c r="P623" s="1184"/>
      <c r="Q623" s="1184"/>
      <c r="R623" s="1184"/>
      <c r="S623" s="1184"/>
      <c r="T623" s="1184"/>
      <c r="U623" s="1184"/>
      <c r="V623" s="1184"/>
      <c r="W623" s="1184"/>
      <c r="X623" s="1184"/>
      <c r="Y623" s="1184"/>
      <c r="Z623" s="1184"/>
    </row>
    <row r="624" spans="1:26" ht="15.5">
      <c r="A624" s="1184"/>
      <c r="B624" s="1184"/>
      <c r="C624" s="1184"/>
      <c r="D624" s="1184"/>
      <c r="E624" s="1184"/>
      <c r="F624" s="1184"/>
      <c r="G624" s="1184"/>
      <c r="H624" s="1184"/>
      <c r="I624" s="1184"/>
      <c r="J624" s="1184"/>
      <c r="K624" s="1184"/>
      <c r="L624" s="1184"/>
      <c r="M624" s="1184"/>
      <c r="N624" s="1184"/>
      <c r="O624" s="1184"/>
      <c r="P624" s="1184"/>
      <c r="Q624" s="1184"/>
      <c r="R624" s="1184"/>
      <c r="S624" s="1184"/>
      <c r="T624" s="1184"/>
      <c r="U624" s="1184"/>
      <c r="V624" s="1184"/>
      <c r="W624" s="1184"/>
      <c r="X624" s="1184"/>
      <c r="Y624" s="1184"/>
      <c r="Z624" s="1184"/>
    </row>
    <row r="625" spans="1:26" ht="15.5">
      <c r="A625" s="1184"/>
      <c r="B625" s="1184"/>
      <c r="C625" s="1184"/>
      <c r="D625" s="1184"/>
      <c r="E625" s="1184"/>
      <c r="F625" s="1184"/>
      <c r="G625" s="1184"/>
      <c r="H625" s="1184"/>
      <c r="I625" s="1184"/>
      <c r="J625" s="1184"/>
      <c r="K625" s="1184"/>
      <c r="L625" s="1184"/>
      <c r="M625" s="1184"/>
      <c r="N625" s="1184"/>
      <c r="O625" s="1184"/>
      <c r="P625" s="1184"/>
      <c r="Q625" s="1184"/>
      <c r="R625" s="1184"/>
      <c r="S625" s="1184"/>
      <c r="T625" s="1184"/>
      <c r="U625" s="1184"/>
      <c r="V625" s="1184"/>
      <c r="W625" s="1184"/>
      <c r="X625" s="1184"/>
      <c r="Y625" s="1184"/>
      <c r="Z625" s="1184"/>
    </row>
    <row r="626" spans="1:26" ht="15.5">
      <c r="A626" s="1184"/>
      <c r="B626" s="1184"/>
      <c r="C626" s="1184"/>
      <c r="D626" s="1184"/>
      <c r="E626" s="1184"/>
      <c r="F626" s="1184"/>
      <c r="G626" s="1184"/>
      <c r="H626" s="1184"/>
      <c r="I626" s="1184"/>
      <c r="J626" s="1184"/>
      <c r="K626" s="1184"/>
      <c r="L626" s="1184"/>
      <c r="M626" s="1184"/>
      <c r="N626" s="1184"/>
      <c r="O626" s="1184"/>
      <c r="P626" s="1184"/>
      <c r="Q626" s="1184"/>
      <c r="R626" s="1184"/>
      <c r="S626" s="1184"/>
      <c r="T626" s="1184"/>
      <c r="U626" s="1184"/>
      <c r="V626" s="1184"/>
      <c r="W626" s="1184"/>
      <c r="X626" s="1184"/>
      <c r="Y626" s="1184"/>
      <c r="Z626" s="1184"/>
    </row>
    <row r="627" spans="1:26" ht="15.5">
      <c r="A627" s="1184"/>
      <c r="B627" s="1184"/>
      <c r="C627" s="1184"/>
      <c r="D627" s="1184"/>
      <c r="E627" s="1184"/>
      <c r="F627" s="1184"/>
      <c r="G627" s="1184"/>
      <c r="H627" s="1184"/>
      <c r="I627" s="1184"/>
      <c r="J627" s="1184"/>
      <c r="K627" s="1184"/>
      <c r="L627" s="1184"/>
      <c r="M627" s="1184"/>
      <c r="N627" s="1184"/>
      <c r="O627" s="1184"/>
      <c r="P627" s="1184"/>
      <c r="Q627" s="1184"/>
      <c r="R627" s="1184"/>
      <c r="S627" s="1184"/>
      <c r="T627" s="1184"/>
      <c r="U627" s="1184"/>
      <c r="V627" s="1184"/>
      <c r="W627" s="1184"/>
      <c r="X627" s="1184"/>
      <c r="Y627" s="1184"/>
      <c r="Z627" s="1184"/>
    </row>
    <row r="628" spans="1:26" ht="15.5">
      <c r="A628" s="1184"/>
      <c r="B628" s="1184"/>
      <c r="C628" s="1184"/>
      <c r="D628" s="1184"/>
      <c r="E628" s="1184"/>
      <c r="F628" s="1184"/>
      <c r="G628" s="1184"/>
      <c r="H628" s="1184"/>
      <c r="I628" s="1184"/>
      <c r="J628" s="1184"/>
      <c r="K628" s="1184"/>
      <c r="L628" s="1184"/>
      <c r="M628" s="1184"/>
      <c r="N628" s="1184"/>
      <c r="O628" s="1184"/>
      <c r="P628" s="1184"/>
      <c r="Q628" s="1184"/>
      <c r="R628" s="1184"/>
      <c r="S628" s="1184"/>
      <c r="T628" s="1184"/>
      <c r="U628" s="1184"/>
      <c r="V628" s="1184"/>
      <c r="W628" s="1184"/>
      <c r="X628" s="1184"/>
      <c r="Y628" s="1184"/>
      <c r="Z628" s="1184"/>
    </row>
    <row r="629" spans="1:26" ht="15.5">
      <c r="A629" s="1184"/>
      <c r="B629" s="1184"/>
      <c r="C629" s="1184"/>
      <c r="D629" s="1184"/>
      <c r="E629" s="1184"/>
      <c r="F629" s="1184"/>
      <c r="G629" s="1184"/>
      <c r="H629" s="1184"/>
      <c r="I629" s="1184"/>
      <c r="J629" s="1184"/>
      <c r="K629" s="1184"/>
      <c r="L629" s="1184"/>
      <c r="M629" s="1184"/>
      <c r="N629" s="1184"/>
      <c r="O629" s="1184"/>
      <c r="P629" s="1184"/>
      <c r="Q629" s="1184"/>
      <c r="R629" s="1184"/>
      <c r="S629" s="1184"/>
      <c r="T629" s="1184"/>
      <c r="U629" s="1184"/>
      <c r="V629" s="1184"/>
      <c r="W629" s="1184"/>
      <c r="X629" s="1184"/>
      <c r="Y629" s="1184"/>
      <c r="Z629" s="1184"/>
    </row>
    <row r="630" spans="1:26" ht="15.5">
      <c r="A630" s="1184"/>
      <c r="B630" s="1184"/>
      <c r="C630" s="1184"/>
      <c r="D630" s="1184"/>
      <c r="E630" s="1184"/>
      <c r="F630" s="1184"/>
      <c r="G630" s="1184"/>
      <c r="H630" s="1184"/>
      <c r="I630" s="1184"/>
      <c r="J630" s="1184"/>
      <c r="K630" s="1184"/>
      <c r="L630" s="1184"/>
      <c r="M630" s="1184"/>
      <c r="N630" s="1184"/>
      <c r="O630" s="1184"/>
      <c r="P630" s="1184"/>
      <c r="Q630" s="1184"/>
      <c r="R630" s="1184"/>
      <c r="S630" s="1184"/>
      <c r="T630" s="1184"/>
      <c r="U630" s="1184"/>
      <c r="V630" s="1184"/>
      <c r="W630" s="1184"/>
      <c r="X630" s="1184"/>
      <c r="Y630" s="1184"/>
      <c r="Z630" s="1184"/>
    </row>
    <row r="631" spans="1:26" ht="15.5">
      <c r="A631" s="1184"/>
      <c r="B631" s="1184"/>
      <c r="C631" s="1184"/>
      <c r="D631" s="1184"/>
      <c r="E631" s="1184"/>
      <c r="F631" s="1184"/>
      <c r="G631" s="1184"/>
      <c r="H631" s="1184"/>
      <c r="I631" s="1184"/>
      <c r="J631" s="1184"/>
      <c r="K631" s="1184"/>
      <c r="L631" s="1184"/>
      <c r="M631" s="1184"/>
      <c r="N631" s="1184"/>
      <c r="O631" s="1184"/>
      <c r="P631" s="1184"/>
      <c r="Q631" s="1184"/>
      <c r="R631" s="1184"/>
      <c r="S631" s="1184"/>
      <c r="T631" s="1184"/>
      <c r="U631" s="1184"/>
      <c r="V631" s="1184"/>
      <c r="W631" s="1184"/>
      <c r="X631" s="1184"/>
      <c r="Y631" s="1184"/>
      <c r="Z631" s="1184"/>
    </row>
    <row r="632" spans="1:26" ht="15.5">
      <c r="A632" s="1184"/>
      <c r="B632" s="1184"/>
      <c r="C632" s="1184"/>
      <c r="D632" s="1184"/>
      <c r="E632" s="1184"/>
      <c r="F632" s="1184"/>
      <c r="G632" s="1184"/>
      <c r="H632" s="1184"/>
      <c r="I632" s="1184"/>
      <c r="J632" s="1184"/>
      <c r="K632" s="1184"/>
      <c r="L632" s="1184"/>
      <c r="M632" s="1184"/>
      <c r="N632" s="1184"/>
      <c r="O632" s="1184"/>
      <c r="P632" s="1184"/>
      <c r="Q632" s="1184"/>
      <c r="R632" s="1184"/>
      <c r="S632" s="1184"/>
      <c r="T632" s="1184"/>
      <c r="U632" s="1184"/>
      <c r="V632" s="1184"/>
      <c r="W632" s="1184"/>
      <c r="X632" s="1184"/>
      <c r="Y632" s="1184"/>
      <c r="Z632" s="1184"/>
    </row>
    <row r="633" spans="1:26" ht="15.5">
      <c r="A633" s="1184"/>
      <c r="B633" s="1184"/>
      <c r="C633" s="1184"/>
      <c r="D633" s="1184"/>
      <c r="E633" s="1184"/>
      <c r="F633" s="1184"/>
      <c r="G633" s="1184"/>
      <c r="H633" s="1184"/>
      <c r="I633" s="1184"/>
      <c r="J633" s="1184"/>
      <c r="K633" s="1184"/>
      <c r="L633" s="1184"/>
      <c r="M633" s="1184"/>
      <c r="N633" s="1184"/>
      <c r="O633" s="1184"/>
      <c r="P633" s="1184"/>
      <c r="Q633" s="1184"/>
      <c r="R633" s="1184"/>
      <c r="S633" s="1184"/>
      <c r="T633" s="1184"/>
      <c r="U633" s="1184"/>
      <c r="V633" s="1184"/>
      <c r="W633" s="1184"/>
      <c r="X633" s="1184"/>
      <c r="Y633" s="1184"/>
      <c r="Z633" s="1184"/>
    </row>
    <row r="634" spans="1:26" ht="15.5">
      <c r="A634" s="1184"/>
      <c r="B634" s="1184"/>
      <c r="C634" s="1184"/>
      <c r="D634" s="1184"/>
      <c r="E634" s="1184"/>
      <c r="F634" s="1184"/>
      <c r="G634" s="1184"/>
      <c r="H634" s="1184"/>
      <c r="I634" s="1184"/>
      <c r="J634" s="1184"/>
      <c r="K634" s="1184"/>
      <c r="L634" s="1184"/>
      <c r="M634" s="1184"/>
      <c r="N634" s="1184"/>
      <c r="O634" s="1184"/>
      <c r="P634" s="1184"/>
      <c r="Q634" s="1184"/>
      <c r="R634" s="1184"/>
      <c r="S634" s="1184"/>
      <c r="T634" s="1184"/>
      <c r="U634" s="1184"/>
      <c r="V634" s="1184"/>
      <c r="W634" s="1184"/>
      <c r="X634" s="1184"/>
      <c r="Y634" s="1184"/>
      <c r="Z634" s="1184"/>
    </row>
    <row r="635" spans="1:26" ht="15.5">
      <c r="A635" s="1184"/>
      <c r="B635" s="1184"/>
      <c r="C635" s="1184"/>
      <c r="D635" s="1184"/>
      <c r="E635" s="1184"/>
      <c r="F635" s="1184"/>
      <c r="G635" s="1184"/>
      <c r="H635" s="1184"/>
      <c r="I635" s="1184"/>
      <c r="J635" s="1184"/>
      <c r="K635" s="1184"/>
      <c r="L635" s="1184"/>
      <c r="M635" s="1184"/>
      <c r="N635" s="1184"/>
      <c r="O635" s="1184"/>
      <c r="P635" s="1184"/>
      <c r="Q635" s="1184"/>
      <c r="R635" s="1184"/>
      <c r="S635" s="1184"/>
      <c r="T635" s="1184"/>
      <c r="U635" s="1184"/>
      <c r="V635" s="1184"/>
      <c r="W635" s="1184"/>
      <c r="X635" s="1184"/>
      <c r="Y635" s="1184"/>
      <c r="Z635" s="1184"/>
    </row>
    <row r="636" spans="1:26" ht="15.5">
      <c r="A636" s="1184"/>
      <c r="B636" s="1184"/>
      <c r="C636" s="1184"/>
      <c r="D636" s="1184"/>
      <c r="E636" s="1184"/>
      <c r="F636" s="1184"/>
      <c r="G636" s="1184"/>
      <c r="H636" s="1184"/>
      <c r="I636" s="1184"/>
      <c r="J636" s="1184"/>
      <c r="K636" s="1184"/>
      <c r="L636" s="1184"/>
      <c r="M636" s="1184"/>
      <c r="N636" s="1184"/>
      <c r="O636" s="1184"/>
      <c r="P636" s="1184"/>
      <c r="Q636" s="1184"/>
      <c r="R636" s="1184"/>
      <c r="S636" s="1184"/>
      <c r="T636" s="1184"/>
      <c r="U636" s="1184"/>
      <c r="V636" s="1184"/>
      <c r="W636" s="1184"/>
      <c r="X636" s="1184"/>
      <c r="Y636" s="1184"/>
      <c r="Z636" s="1184"/>
    </row>
    <row r="637" spans="1:26" ht="15.5">
      <c r="A637" s="1184"/>
      <c r="B637" s="1184"/>
      <c r="C637" s="1184"/>
      <c r="D637" s="1184"/>
      <c r="E637" s="1184"/>
      <c r="F637" s="1184"/>
      <c r="G637" s="1184"/>
      <c r="H637" s="1184"/>
      <c r="I637" s="1184"/>
      <c r="J637" s="1184"/>
      <c r="K637" s="1184"/>
      <c r="L637" s="1184"/>
      <c r="M637" s="1184"/>
      <c r="N637" s="1184"/>
      <c r="O637" s="1184"/>
      <c r="P637" s="1184"/>
      <c r="Q637" s="1184"/>
      <c r="R637" s="1184"/>
      <c r="S637" s="1184"/>
      <c r="T637" s="1184"/>
      <c r="U637" s="1184"/>
      <c r="V637" s="1184"/>
      <c r="W637" s="1184"/>
      <c r="X637" s="1184"/>
      <c r="Y637" s="1184"/>
      <c r="Z637" s="1184"/>
    </row>
    <row r="638" spans="1:26" ht="15.5">
      <c r="A638" s="1184"/>
      <c r="B638" s="1184"/>
      <c r="C638" s="1184"/>
      <c r="D638" s="1184"/>
      <c r="E638" s="1184"/>
      <c r="F638" s="1184"/>
      <c r="G638" s="1184"/>
      <c r="H638" s="1184"/>
      <c r="I638" s="1184"/>
      <c r="J638" s="1184"/>
      <c r="K638" s="1184"/>
      <c r="L638" s="1184"/>
      <c r="M638" s="1184"/>
      <c r="N638" s="1184"/>
      <c r="O638" s="1184"/>
      <c r="P638" s="1184"/>
      <c r="Q638" s="1184"/>
      <c r="R638" s="1184"/>
      <c r="S638" s="1184"/>
      <c r="T638" s="1184"/>
      <c r="U638" s="1184"/>
      <c r="V638" s="1184"/>
      <c r="W638" s="1184"/>
      <c r="X638" s="1184"/>
      <c r="Y638" s="1184"/>
      <c r="Z638" s="1184"/>
    </row>
    <row r="639" spans="1:26" ht="15.5">
      <c r="A639" s="1184"/>
      <c r="B639" s="1184"/>
      <c r="C639" s="1184"/>
      <c r="D639" s="1184"/>
      <c r="E639" s="1184"/>
      <c r="F639" s="1184"/>
      <c r="G639" s="1184"/>
      <c r="H639" s="1184"/>
      <c r="I639" s="1184"/>
      <c r="J639" s="1184"/>
      <c r="K639" s="1184"/>
      <c r="L639" s="1184"/>
      <c r="M639" s="1184"/>
      <c r="N639" s="1184"/>
      <c r="O639" s="1184"/>
      <c r="P639" s="1184"/>
      <c r="Q639" s="1184"/>
      <c r="R639" s="1184"/>
      <c r="S639" s="1184"/>
      <c r="T639" s="1184"/>
      <c r="U639" s="1184"/>
      <c r="V639" s="1184"/>
      <c r="W639" s="1184"/>
      <c r="X639" s="1184"/>
      <c r="Y639" s="1184"/>
      <c r="Z639" s="1184"/>
    </row>
    <row r="640" spans="1:26" ht="15.5">
      <c r="A640" s="1184"/>
      <c r="B640" s="1184"/>
      <c r="C640" s="1184"/>
      <c r="D640" s="1184"/>
      <c r="E640" s="1184"/>
      <c r="F640" s="1184"/>
      <c r="G640" s="1184"/>
      <c r="H640" s="1184"/>
      <c r="I640" s="1184"/>
      <c r="J640" s="1184"/>
      <c r="K640" s="1184"/>
      <c r="L640" s="1184"/>
      <c r="M640" s="1184"/>
      <c r="N640" s="1184"/>
      <c r="O640" s="1184"/>
      <c r="P640" s="1184"/>
      <c r="Q640" s="1184"/>
      <c r="R640" s="1184"/>
      <c r="S640" s="1184"/>
      <c r="T640" s="1184"/>
      <c r="U640" s="1184"/>
      <c r="V640" s="1184"/>
      <c r="W640" s="1184"/>
      <c r="X640" s="1184"/>
      <c r="Y640" s="1184"/>
      <c r="Z640" s="1184"/>
    </row>
    <row r="641" spans="1:26" ht="15.5">
      <c r="A641" s="1184"/>
      <c r="B641" s="1184"/>
      <c r="C641" s="1184"/>
      <c r="D641" s="1184"/>
      <c r="E641" s="1184"/>
      <c r="F641" s="1184"/>
      <c r="G641" s="1184"/>
      <c r="H641" s="1184"/>
      <c r="I641" s="1184"/>
      <c r="J641" s="1184"/>
      <c r="K641" s="1184"/>
      <c r="L641" s="1184"/>
      <c r="M641" s="1184"/>
      <c r="N641" s="1184"/>
      <c r="O641" s="1184"/>
      <c r="P641" s="1184"/>
      <c r="Q641" s="1184"/>
      <c r="R641" s="1184"/>
      <c r="S641" s="1184"/>
      <c r="T641" s="1184"/>
      <c r="U641" s="1184"/>
      <c r="V641" s="1184"/>
      <c r="W641" s="1184"/>
      <c r="X641" s="1184"/>
      <c r="Y641" s="1184"/>
      <c r="Z641" s="1184"/>
    </row>
    <row r="642" spans="1:26" ht="15.5">
      <c r="A642" s="1184"/>
      <c r="B642" s="1184"/>
      <c r="C642" s="1184"/>
      <c r="D642" s="1184"/>
      <c r="E642" s="1184"/>
      <c r="F642" s="1184"/>
      <c r="G642" s="1184"/>
      <c r="H642" s="1184"/>
      <c r="I642" s="1184"/>
      <c r="J642" s="1184"/>
      <c r="K642" s="1184"/>
      <c r="L642" s="1184"/>
      <c r="M642" s="1184"/>
      <c r="N642" s="1184"/>
      <c r="O642" s="1184"/>
      <c r="P642" s="1184"/>
      <c r="Q642" s="1184"/>
      <c r="R642" s="1184"/>
      <c r="S642" s="1184"/>
      <c r="T642" s="1184"/>
      <c r="U642" s="1184"/>
      <c r="V642" s="1184"/>
      <c r="W642" s="1184"/>
      <c r="X642" s="1184"/>
      <c r="Y642" s="1184"/>
      <c r="Z642" s="1184"/>
    </row>
    <row r="643" spans="1:26" ht="15.5">
      <c r="A643" s="1184"/>
      <c r="B643" s="1184"/>
      <c r="C643" s="1184"/>
      <c r="D643" s="1184"/>
      <c r="E643" s="1184"/>
      <c r="F643" s="1184"/>
      <c r="G643" s="1184"/>
      <c r="H643" s="1184"/>
      <c r="I643" s="1184"/>
      <c r="J643" s="1184"/>
      <c r="K643" s="1184"/>
      <c r="L643" s="1184"/>
      <c r="M643" s="1184"/>
      <c r="N643" s="1184"/>
      <c r="O643" s="1184"/>
      <c r="P643" s="1184"/>
      <c r="Q643" s="1184"/>
      <c r="R643" s="1184"/>
      <c r="S643" s="1184"/>
      <c r="T643" s="1184"/>
      <c r="U643" s="1184"/>
      <c r="V643" s="1184"/>
      <c r="W643" s="1184"/>
      <c r="X643" s="1184"/>
      <c r="Y643" s="1184"/>
      <c r="Z643" s="1184"/>
    </row>
    <row r="644" spans="1:26" ht="15.5">
      <c r="A644" s="1184"/>
      <c r="B644" s="1184"/>
      <c r="C644" s="1184"/>
      <c r="D644" s="1184"/>
      <c r="E644" s="1184"/>
      <c r="F644" s="1184"/>
      <c r="G644" s="1184"/>
      <c r="H644" s="1184"/>
      <c r="I644" s="1184"/>
      <c r="J644" s="1184"/>
      <c r="K644" s="1184"/>
      <c r="L644" s="1184"/>
      <c r="M644" s="1184"/>
      <c r="N644" s="1184"/>
      <c r="O644" s="1184"/>
      <c r="P644" s="1184"/>
      <c r="Q644" s="1184"/>
      <c r="R644" s="1184"/>
      <c r="S644" s="1184"/>
      <c r="T644" s="1184"/>
      <c r="U644" s="1184"/>
      <c r="V644" s="1184"/>
      <c r="W644" s="1184"/>
      <c r="X644" s="1184"/>
      <c r="Y644" s="1184"/>
      <c r="Z644" s="1184"/>
    </row>
    <row r="645" spans="1:26" ht="15.5">
      <c r="A645" s="1184"/>
      <c r="B645" s="1184"/>
      <c r="C645" s="1184"/>
      <c r="D645" s="1184"/>
      <c r="E645" s="1184"/>
      <c r="F645" s="1184"/>
      <c r="G645" s="1184"/>
      <c r="H645" s="1184"/>
      <c r="I645" s="1184"/>
      <c r="J645" s="1184"/>
      <c r="K645" s="1184"/>
      <c r="L645" s="1184"/>
      <c r="M645" s="1184"/>
      <c r="N645" s="1184"/>
      <c r="O645" s="1184"/>
      <c r="P645" s="1184"/>
      <c r="Q645" s="1184"/>
      <c r="R645" s="1184"/>
      <c r="S645" s="1184"/>
      <c r="T645" s="1184"/>
      <c r="U645" s="1184"/>
      <c r="V645" s="1184"/>
      <c r="W645" s="1184"/>
      <c r="X645" s="1184"/>
      <c r="Y645" s="1184"/>
      <c r="Z645" s="1184"/>
    </row>
    <row r="646" spans="1:26" ht="15.5">
      <c r="A646" s="1184"/>
      <c r="B646" s="1184"/>
      <c r="C646" s="1184"/>
      <c r="D646" s="1184"/>
      <c r="E646" s="1184"/>
      <c r="F646" s="1184"/>
      <c r="G646" s="1184"/>
      <c r="H646" s="1184"/>
      <c r="I646" s="1184"/>
      <c r="J646" s="1184"/>
      <c r="K646" s="1184"/>
      <c r="L646" s="1184"/>
      <c r="M646" s="1184"/>
      <c r="N646" s="1184"/>
      <c r="O646" s="1184"/>
      <c r="P646" s="1184"/>
      <c r="Q646" s="1184"/>
      <c r="R646" s="1184"/>
      <c r="S646" s="1184"/>
      <c r="T646" s="1184"/>
      <c r="U646" s="1184"/>
      <c r="V646" s="1184"/>
      <c r="W646" s="1184"/>
      <c r="X646" s="1184"/>
      <c r="Y646" s="1184"/>
      <c r="Z646" s="1184"/>
    </row>
    <row r="647" spans="1:26" ht="15.5">
      <c r="A647" s="1184"/>
      <c r="B647" s="1184"/>
      <c r="C647" s="1184"/>
      <c r="D647" s="1184"/>
      <c r="E647" s="1184"/>
      <c r="F647" s="1184"/>
      <c r="G647" s="1184"/>
      <c r="H647" s="1184"/>
      <c r="I647" s="1184"/>
      <c r="J647" s="1184"/>
      <c r="K647" s="1184"/>
      <c r="L647" s="1184"/>
      <c r="M647" s="1184"/>
      <c r="N647" s="1184"/>
      <c r="O647" s="1184"/>
      <c r="P647" s="1184"/>
      <c r="Q647" s="1184"/>
      <c r="R647" s="1184"/>
      <c r="S647" s="1184"/>
      <c r="T647" s="1184"/>
      <c r="U647" s="1184"/>
      <c r="V647" s="1184"/>
      <c r="W647" s="1184"/>
      <c r="X647" s="1184"/>
      <c r="Y647" s="1184"/>
      <c r="Z647" s="1184"/>
    </row>
    <row r="648" spans="1:26" ht="15.5">
      <c r="A648" s="1184"/>
      <c r="B648" s="1184"/>
      <c r="C648" s="1184"/>
      <c r="D648" s="1184"/>
      <c r="E648" s="1184"/>
      <c r="F648" s="1184"/>
      <c r="G648" s="1184"/>
      <c r="H648" s="1184"/>
      <c r="I648" s="1184"/>
      <c r="J648" s="1184"/>
      <c r="K648" s="1184"/>
      <c r="L648" s="1184"/>
      <c r="M648" s="1184"/>
      <c r="N648" s="1184"/>
      <c r="O648" s="1184"/>
      <c r="P648" s="1184"/>
      <c r="Q648" s="1184"/>
      <c r="R648" s="1184"/>
      <c r="S648" s="1184"/>
      <c r="T648" s="1184"/>
      <c r="U648" s="1184"/>
      <c r="V648" s="1184"/>
      <c r="W648" s="1184"/>
      <c r="X648" s="1184"/>
      <c r="Y648" s="1184"/>
      <c r="Z648" s="1184"/>
    </row>
    <row r="649" spans="1:26" ht="15.5">
      <c r="A649" s="1184"/>
      <c r="B649" s="1184"/>
      <c r="C649" s="1184"/>
      <c r="D649" s="1184"/>
      <c r="E649" s="1184"/>
      <c r="F649" s="1184"/>
      <c r="G649" s="1184"/>
      <c r="H649" s="1184"/>
      <c r="I649" s="1184"/>
      <c r="J649" s="1184"/>
      <c r="K649" s="1184"/>
      <c r="L649" s="1184"/>
      <c r="M649" s="1184"/>
      <c r="N649" s="1184"/>
      <c r="O649" s="1184"/>
      <c r="P649" s="1184"/>
      <c r="Q649" s="1184"/>
      <c r="R649" s="1184"/>
      <c r="S649" s="1184"/>
      <c r="T649" s="1184"/>
      <c r="U649" s="1184"/>
      <c r="V649" s="1184"/>
      <c r="W649" s="1184"/>
      <c r="X649" s="1184"/>
      <c r="Y649" s="1184"/>
      <c r="Z649" s="1184"/>
    </row>
    <row r="650" spans="1:26" ht="15.5">
      <c r="A650" s="1184"/>
      <c r="B650" s="1184"/>
      <c r="C650" s="1184"/>
      <c r="D650" s="1184"/>
      <c r="E650" s="1184"/>
      <c r="F650" s="1184"/>
      <c r="G650" s="1184"/>
      <c r="H650" s="1184"/>
      <c r="I650" s="1184"/>
      <c r="J650" s="1184"/>
      <c r="K650" s="1184"/>
      <c r="L650" s="1184"/>
      <c r="M650" s="1184"/>
      <c r="N650" s="1184"/>
      <c r="O650" s="1184"/>
      <c r="P650" s="1184"/>
      <c r="Q650" s="1184"/>
      <c r="R650" s="1184"/>
      <c r="S650" s="1184"/>
      <c r="T650" s="1184"/>
      <c r="U650" s="1184"/>
      <c r="V650" s="1184"/>
      <c r="W650" s="1184"/>
      <c r="X650" s="1184"/>
      <c r="Y650" s="1184"/>
      <c r="Z650" s="1184"/>
    </row>
    <row r="651" spans="1:26" ht="15.5">
      <c r="A651" s="1184"/>
      <c r="B651" s="1184"/>
      <c r="C651" s="1184"/>
      <c r="D651" s="1184"/>
      <c r="E651" s="1184"/>
      <c r="F651" s="1184"/>
      <c r="G651" s="1184"/>
      <c r="H651" s="1184"/>
      <c r="I651" s="1184"/>
      <c r="J651" s="1184"/>
      <c r="K651" s="1184"/>
      <c r="L651" s="1184"/>
      <c r="M651" s="1184"/>
      <c r="N651" s="1184"/>
      <c r="O651" s="1184"/>
      <c r="P651" s="1184"/>
      <c r="Q651" s="1184"/>
      <c r="R651" s="1184"/>
      <c r="S651" s="1184"/>
      <c r="T651" s="1184"/>
      <c r="U651" s="1184"/>
      <c r="V651" s="1184"/>
      <c r="W651" s="1184"/>
      <c r="X651" s="1184"/>
      <c r="Y651" s="1184"/>
      <c r="Z651" s="1184"/>
    </row>
    <row r="652" spans="1:26" ht="15.5">
      <c r="A652" s="1184"/>
      <c r="B652" s="1184"/>
      <c r="C652" s="1184"/>
      <c r="D652" s="1184"/>
      <c r="E652" s="1184"/>
      <c r="F652" s="1184"/>
      <c r="G652" s="1184"/>
      <c r="H652" s="1184"/>
      <c r="I652" s="1184"/>
      <c r="J652" s="1184"/>
      <c r="K652" s="1184"/>
      <c r="L652" s="1184"/>
      <c r="M652" s="1184"/>
      <c r="N652" s="1184"/>
      <c r="O652" s="1184"/>
      <c r="P652" s="1184"/>
      <c r="Q652" s="1184"/>
      <c r="R652" s="1184"/>
      <c r="S652" s="1184"/>
      <c r="T652" s="1184"/>
      <c r="U652" s="1184"/>
      <c r="V652" s="1184"/>
      <c r="W652" s="1184"/>
      <c r="X652" s="1184"/>
      <c r="Y652" s="1184"/>
      <c r="Z652" s="1184"/>
    </row>
    <row r="653" spans="1:26" ht="15.5">
      <c r="A653" s="1184"/>
      <c r="B653" s="1184"/>
      <c r="C653" s="1184"/>
      <c r="D653" s="1184"/>
      <c r="E653" s="1184"/>
      <c r="F653" s="1184"/>
      <c r="G653" s="1184"/>
      <c r="H653" s="1184"/>
      <c r="I653" s="1184"/>
      <c r="J653" s="1184"/>
      <c r="K653" s="1184"/>
      <c r="L653" s="1184"/>
      <c r="M653" s="1184"/>
      <c r="N653" s="1184"/>
      <c r="O653" s="1184"/>
      <c r="P653" s="1184"/>
      <c r="Q653" s="1184"/>
      <c r="R653" s="1184"/>
      <c r="S653" s="1184"/>
      <c r="T653" s="1184"/>
      <c r="U653" s="1184"/>
      <c r="V653" s="1184"/>
      <c r="W653" s="1184"/>
      <c r="X653" s="1184"/>
      <c r="Y653" s="1184"/>
      <c r="Z653" s="1184"/>
    </row>
    <row r="654" spans="1:26" ht="15.5">
      <c r="A654" s="1184"/>
      <c r="B654" s="1184"/>
      <c r="C654" s="1184"/>
      <c r="D654" s="1184"/>
      <c r="E654" s="1184"/>
      <c r="F654" s="1184"/>
      <c r="G654" s="1184"/>
      <c r="H654" s="1184"/>
      <c r="I654" s="1184"/>
      <c r="J654" s="1184"/>
      <c r="K654" s="1184"/>
      <c r="L654" s="1184"/>
      <c r="M654" s="1184"/>
      <c r="N654" s="1184"/>
      <c r="O654" s="1184"/>
      <c r="P654" s="1184"/>
      <c r="Q654" s="1184"/>
      <c r="R654" s="1184"/>
      <c r="S654" s="1184"/>
      <c r="T654" s="1184"/>
      <c r="U654" s="1184"/>
      <c r="V654" s="1184"/>
      <c r="W654" s="1184"/>
      <c r="X654" s="1184"/>
      <c r="Y654" s="1184"/>
      <c r="Z654" s="1184"/>
    </row>
    <row r="655" spans="1:26" ht="15.5">
      <c r="A655" s="1184"/>
      <c r="B655" s="1184"/>
      <c r="C655" s="1184"/>
      <c r="D655" s="1184"/>
      <c r="E655" s="1184"/>
      <c r="F655" s="1184"/>
      <c r="G655" s="1184"/>
      <c r="H655" s="1184"/>
      <c r="I655" s="1184"/>
      <c r="J655" s="1184"/>
      <c r="K655" s="1184"/>
      <c r="L655" s="1184"/>
      <c r="M655" s="1184"/>
      <c r="N655" s="1184"/>
      <c r="O655" s="1184"/>
      <c r="P655" s="1184"/>
      <c r="Q655" s="1184"/>
      <c r="R655" s="1184"/>
      <c r="S655" s="1184"/>
      <c r="T655" s="1184"/>
      <c r="U655" s="1184"/>
      <c r="V655" s="1184"/>
      <c r="W655" s="1184"/>
      <c r="X655" s="1184"/>
      <c r="Y655" s="1184"/>
      <c r="Z655" s="1184"/>
    </row>
    <row r="656" spans="1:26" ht="15.5">
      <c r="A656" s="1184"/>
      <c r="B656" s="1184"/>
      <c r="C656" s="1184"/>
      <c r="D656" s="1184"/>
      <c r="E656" s="1184"/>
      <c r="F656" s="1184"/>
      <c r="G656" s="1184"/>
      <c r="H656" s="1184"/>
      <c r="I656" s="1184"/>
      <c r="J656" s="1184"/>
      <c r="K656" s="1184"/>
      <c r="L656" s="1184"/>
      <c r="M656" s="1184"/>
      <c r="N656" s="1184"/>
      <c r="O656" s="1184"/>
      <c r="P656" s="1184"/>
      <c r="Q656" s="1184"/>
      <c r="R656" s="1184"/>
      <c r="S656" s="1184"/>
      <c r="T656" s="1184"/>
      <c r="U656" s="1184"/>
      <c r="V656" s="1184"/>
      <c r="W656" s="1184"/>
      <c r="X656" s="1184"/>
      <c r="Y656" s="1184"/>
      <c r="Z656" s="1184"/>
    </row>
    <row r="657" spans="1:26" ht="15.5">
      <c r="A657" s="1184"/>
      <c r="B657" s="1184"/>
      <c r="C657" s="1184"/>
      <c r="D657" s="1184"/>
      <c r="E657" s="1184"/>
      <c r="F657" s="1184"/>
      <c r="G657" s="1184"/>
      <c r="H657" s="1184"/>
      <c r="I657" s="1184"/>
      <c r="J657" s="1184"/>
      <c r="K657" s="1184"/>
      <c r="L657" s="1184"/>
      <c r="M657" s="1184"/>
      <c r="N657" s="1184"/>
      <c r="O657" s="1184"/>
      <c r="P657" s="1184"/>
      <c r="Q657" s="1184"/>
      <c r="R657" s="1184"/>
      <c r="S657" s="1184"/>
      <c r="T657" s="1184"/>
      <c r="U657" s="1184"/>
      <c r="V657" s="1184"/>
      <c r="W657" s="1184"/>
      <c r="X657" s="1184"/>
      <c r="Y657" s="1184"/>
      <c r="Z657" s="1184"/>
    </row>
    <row r="658" spans="1:26" ht="15.5">
      <c r="A658" s="1184"/>
      <c r="B658" s="1184"/>
      <c r="C658" s="1184"/>
      <c r="D658" s="1184"/>
      <c r="E658" s="1184"/>
      <c r="F658" s="1184"/>
      <c r="G658" s="1184"/>
      <c r="H658" s="1184"/>
      <c r="I658" s="1184"/>
      <c r="J658" s="1184"/>
      <c r="K658" s="1184"/>
      <c r="L658" s="1184"/>
      <c r="M658" s="1184"/>
      <c r="N658" s="1184"/>
      <c r="O658" s="1184"/>
      <c r="P658" s="1184"/>
      <c r="Q658" s="1184"/>
      <c r="R658" s="1184"/>
      <c r="S658" s="1184"/>
      <c r="T658" s="1184"/>
      <c r="U658" s="1184"/>
      <c r="V658" s="1184"/>
      <c r="W658" s="1184"/>
      <c r="X658" s="1184"/>
      <c r="Y658" s="1184"/>
      <c r="Z658" s="1184"/>
    </row>
    <row r="659" spans="1:26" ht="15.5">
      <c r="A659" s="1184"/>
      <c r="B659" s="1184"/>
      <c r="C659" s="1184"/>
      <c r="D659" s="1184"/>
      <c r="E659" s="1184"/>
      <c r="F659" s="1184"/>
      <c r="G659" s="1184"/>
      <c r="H659" s="1184"/>
      <c r="I659" s="1184"/>
      <c r="J659" s="1184"/>
      <c r="K659" s="1184"/>
      <c r="L659" s="1184"/>
      <c r="M659" s="1184"/>
      <c r="N659" s="1184"/>
      <c r="O659" s="1184"/>
      <c r="P659" s="1184"/>
      <c r="Q659" s="1184"/>
      <c r="R659" s="1184"/>
      <c r="S659" s="1184"/>
      <c r="T659" s="1184"/>
      <c r="U659" s="1184"/>
      <c r="V659" s="1184"/>
      <c r="W659" s="1184"/>
      <c r="X659" s="1184"/>
      <c r="Y659" s="1184"/>
      <c r="Z659" s="1184"/>
    </row>
    <row r="660" spans="1:26" ht="15.5">
      <c r="A660" s="1184"/>
      <c r="B660" s="1184"/>
      <c r="C660" s="1184"/>
      <c r="D660" s="1184"/>
      <c r="E660" s="1184"/>
      <c r="F660" s="1184"/>
      <c r="G660" s="1184"/>
      <c r="H660" s="1184"/>
      <c r="I660" s="1184"/>
      <c r="J660" s="1184"/>
      <c r="K660" s="1184"/>
      <c r="L660" s="1184"/>
      <c r="M660" s="1184"/>
      <c r="N660" s="1184"/>
      <c r="O660" s="1184"/>
      <c r="P660" s="1184"/>
      <c r="Q660" s="1184"/>
      <c r="R660" s="1184"/>
      <c r="S660" s="1184"/>
      <c r="T660" s="1184"/>
      <c r="U660" s="1184"/>
      <c r="V660" s="1184"/>
      <c r="W660" s="1184"/>
      <c r="X660" s="1184"/>
      <c r="Y660" s="1184"/>
      <c r="Z660" s="1184"/>
    </row>
    <row r="661" spans="1:26" ht="15.5">
      <c r="A661" s="1184"/>
      <c r="B661" s="1184"/>
      <c r="C661" s="1184"/>
      <c r="D661" s="1184"/>
      <c r="E661" s="1184"/>
      <c r="F661" s="1184"/>
      <c r="G661" s="1184"/>
      <c r="H661" s="1184"/>
      <c r="I661" s="1184"/>
      <c r="J661" s="1184"/>
      <c r="K661" s="1184"/>
      <c r="L661" s="1184"/>
      <c r="M661" s="1184"/>
      <c r="N661" s="1184"/>
      <c r="O661" s="1184"/>
      <c r="P661" s="1184"/>
      <c r="Q661" s="1184"/>
      <c r="R661" s="1184"/>
      <c r="S661" s="1184"/>
      <c r="T661" s="1184"/>
      <c r="U661" s="1184"/>
      <c r="V661" s="1184"/>
      <c r="W661" s="1184"/>
      <c r="X661" s="1184"/>
      <c r="Y661" s="1184"/>
      <c r="Z661" s="1184"/>
    </row>
    <row r="662" spans="1:26" ht="15.5">
      <c r="A662" s="1184"/>
      <c r="B662" s="1184"/>
      <c r="C662" s="1184"/>
      <c r="D662" s="1184"/>
      <c r="E662" s="1184"/>
      <c r="F662" s="1184"/>
      <c r="G662" s="1184"/>
      <c r="H662" s="1184"/>
      <c r="I662" s="1184"/>
      <c r="J662" s="1184"/>
      <c r="K662" s="1184"/>
      <c r="L662" s="1184"/>
      <c r="M662" s="1184"/>
      <c r="N662" s="1184"/>
      <c r="O662" s="1184"/>
      <c r="P662" s="1184"/>
      <c r="Q662" s="1184"/>
      <c r="R662" s="1184"/>
      <c r="S662" s="1184"/>
      <c r="T662" s="1184"/>
      <c r="U662" s="1184"/>
      <c r="V662" s="1184"/>
      <c r="W662" s="1184"/>
      <c r="X662" s="1184"/>
      <c r="Y662" s="1184"/>
      <c r="Z662" s="1184"/>
    </row>
    <row r="663" spans="1:26" ht="15.5">
      <c r="A663" s="1184"/>
      <c r="B663" s="1184"/>
      <c r="C663" s="1184"/>
      <c r="D663" s="1184"/>
      <c r="E663" s="1184"/>
      <c r="F663" s="1184"/>
      <c r="G663" s="1184"/>
      <c r="H663" s="1184"/>
      <c r="I663" s="1184"/>
      <c r="J663" s="1184"/>
      <c r="K663" s="1184"/>
      <c r="L663" s="1184"/>
      <c r="M663" s="1184"/>
      <c r="N663" s="1184"/>
      <c r="O663" s="1184"/>
      <c r="P663" s="1184"/>
      <c r="Q663" s="1184"/>
      <c r="R663" s="1184"/>
      <c r="S663" s="1184"/>
      <c r="T663" s="1184"/>
      <c r="U663" s="1184"/>
      <c r="V663" s="1184"/>
      <c r="W663" s="1184"/>
      <c r="X663" s="1184"/>
      <c r="Y663" s="1184"/>
      <c r="Z663" s="1184"/>
    </row>
    <row r="664" spans="1:26" ht="15.5">
      <c r="A664" s="1184"/>
      <c r="B664" s="1184"/>
      <c r="C664" s="1184"/>
      <c r="D664" s="1184"/>
      <c r="E664" s="1184"/>
      <c r="F664" s="1184"/>
      <c r="G664" s="1184"/>
      <c r="H664" s="1184"/>
      <c r="I664" s="1184"/>
      <c r="J664" s="1184"/>
      <c r="K664" s="1184"/>
      <c r="L664" s="1184"/>
      <c r="M664" s="1184"/>
      <c r="N664" s="1184"/>
      <c r="O664" s="1184"/>
      <c r="P664" s="1184"/>
      <c r="Q664" s="1184"/>
      <c r="R664" s="1184"/>
      <c r="S664" s="1184"/>
      <c r="T664" s="1184"/>
      <c r="U664" s="1184"/>
      <c r="V664" s="1184"/>
      <c r="W664" s="1184"/>
      <c r="X664" s="1184"/>
      <c r="Y664" s="1184"/>
      <c r="Z664" s="1184"/>
    </row>
    <row r="665" spans="1:26" ht="15.5">
      <c r="A665" s="1184"/>
      <c r="B665" s="1184"/>
      <c r="C665" s="1184"/>
      <c r="D665" s="1184"/>
      <c r="E665" s="1184"/>
      <c r="F665" s="1184"/>
      <c r="G665" s="1184"/>
      <c r="H665" s="1184"/>
      <c r="I665" s="1184"/>
      <c r="J665" s="1184"/>
      <c r="K665" s="1184"/>
      <c r="L665" s="1184"/>
      <c r="M665" s="1184"/>
      <c r="N665" s="1184"/>
      <c r="O665" s="1184"/>
      <c r="P665" s="1184"/>
      <c r="Q665" s="1184"/>
      <c r="R665" s="1184"/>
      <c r="S665" s="1184"/>
      <c r="T665" s="1184"/>
      <c r="U665" s="1184"/>
      <c r="V665" s="1184"/>
      <c r="W665" s="1184"/>
      <c r="X665" s="1184"/>
      <c r="Y665" s="1184"/>
      <c r="Z665" s="1184"/>
    </row>
    <row r="666" spans="1:26" ht="15.5">
      <c r="A666" s="1184"/>
      <c r="B666" s="1184"/>
      <c r="C666" s="1184"/>
      <c r="D666" s="1184"/>
      <c r="E666" s="1184"/>
      <c r="F666" s="1184"/>
      <c r="G666" s="1184"/>
      <c r="H666" s="1184"/>
      <c r="I666" s="1184"/>
      <c r="J666" s="1184"/>
      <c r="K666" s="1184"/>
      <c r="L666" s="1184"/>
      <c r="M666" s="1184"/>
      <c r="N666" s="1184"/>
      <c r="O666" s="1184"/>
      <c r="P666" s="1184"/>
      <c r="Q666" s="1184"/>
      <c r="R666" s="1184"/>
      <c r="S666" s="1184"/>
      <c r="T666" s="1184"/>
      <c r="U666" s="1184"/>
      <c r="V666" s="1184"/>
      <c r="W666" s="1184"/>
      <c r="X666" s="1184"/>
      <c r="Y666" s="1184"/>
      <c r="Z666" s="1184"/>
    </row>
    <row r="667" spans="1:26" ht="15.5">
      <c r="A667" s="1184"/>
      <c r="B667" s="1184"/>
      <c r="C667" s="1184"/>
      <c r="D667" s="1184"/>
      <c r="E667" s="1184"/>
      <c r="F667" s="1184"/>
      <c r="G667" s="1184"/>
      <c r="H667" s="1184"/>
      <c r="I667" s="1184"/>
      <c r="J667" s="1184"/>
      <c r="K667" s="1184"/>
      <c r="L667" s="1184"/>
      <c r="M667" s="1184"/>
      <c r="N667" s="1184"/>
      <c r="O667" s="1184"/>
      <c r="P667" s="1184"/>
      <c r="Q667" s="1184"/>
      <c r="R667" s="1184"/>
      <c r="S667" s="1184"/>
      <c r="T667" s="1184"/>
      <c r="U667" s="1184"/>
      <c r="V667" s="1184"/>
      <c r="W667" s="1184"/>
      <c r="X667" s="1184"/>
      <c r="Y667" s="1184"/>
      <c r="Z667" s="1184"/>
    </row>
    <row r="668" spans="1:26" ht="15.5">
      <c r="A668" s="1184"/>
      <c r="B668" s="1184"/>
      <c r="C668" s="1184"/>
      <c r="D668" s="1184"/>
      <c r="E668" s="1184"/>
      <c r="F668" s="1184"/>
      <c r="G668" s="1184"/>
      <c r="H668" s="1184"/>
      <c r="I668" s="1184"/>
      <c r="J668" s="1184"/>
      <c r="K668" s="1184"/>
      <c r="L668" s="1184"/>
      <c r="M668" s="1184"/>
      <c r="N668" s="1184"/>
      <c r="O668" s="1184"/>
      <c r="P668" s="1184"/>
      <c r="Q668" s="1184"/>
      <c r="R668" s="1184"/>
      <c r="S668" s="1184"/>
      <c r="T668" s="1184"/>
      <c r="U668" s="1184"/>
      <c r="V668" s="1184"/>
      <c r="W668" s="1184"/>
      <c r="X668" s="1184"/>
      <c r="Y668" s="1184"/>
      <c r="Z668" s="1184"/>
    </row>
    <row r="669" spans="1:26" ht="15.5">
      <c r="A669" s="1184"/>
      <c r="B669" s="1184"/>
      <c r="C669" s="1184"/>
      <c r="D669" s="1184"/>
      <c r="E669" s="1184"/>
      <c r="F669" s="1184"/>
      <c r="G669" s="1184"/>
      <c r="H669" s="1184"/>
      <c r="I669" s="1184"/>
      <c r="J669" s="1184"/>
      <c r="K669" s="1184"/>
      <c r="L669" s="1184"/>
      <c r="M669" s="1184"/>
      <c r="N669" s="1184"/>
      <c r="O669" s="1184"/>
      <c r="P669" s="1184"/>
      <c r="Q669" s="1184"/>
      <c r="R669" s="1184"/>
      <c r="S669" s="1184"/>
      <c r="T669" s="1184"/>
      <c r="U669" s="1184"/>
      <c r="V669" s="1184"/>
      <c r="W669" s="1184"/>
      <c r="X669" s="1184"/>
      <c r="Y669" s="1184"/>
      <c r="Z669" s="1184"/>
    </row>
    <row r="670" spans="1:26" ht="15.5">
      <c r="A670" s="1184"/>
      <c r="B670" s="1184"/>
      <c r="C670" s="1184"/>
      <c r="D670" s="1184"/>
      <c r="E670" s="1184"/>
      <c r="F670" s="1184"/>
      <c r="G670" s="1184"/>
      <c r="H670" s="1184"/>
      <c r="I670" s="1184"/>
      <c r="J670" s="1184"/>
      <c r="K670" s="1184"/>
      <c r="L670" s="1184"/>
      <c r="M670" s="1184"/>
      <c r="N670" s="1184"/>
      <c r="O670" s="1184"/>
      <c r="P670" s="1184"/>
      <c r="Q670" s="1184"/>
      <c r="R670" s="1184"/>
      <c r="S670" s="1184"/>
      <c r="T670" s="1184"/>
      <c r="U670" s="1184"/>
      <c r="V670" s="1184"/>
      <c r="W670" s="1184"/>
      <c r="X670" s="1184"/>
      <c r="Y670" s="1184"/>
      <c r="Z670" s="1184"/>
    </row>
    <row r="671" spans="1:26" ht="15.5">
      <c r="A671" s="1184"/>
      <c r="B671" s="1184"/>
      <c r="C671" s="1184"/>
      <c r="D671" s="1184"/>
      <c r="E671" s="1184"/>
      <c r="F671" s="1184"/>
      <c r="G671" s="1184"/>
      <c r="H671" s="1184"/>
      <c r="I671" s="1184"/>
      <c r="J671" s="1184"/>
      <c r="K671" s="1184"/>
      <c r="L671" s="1184"/>
      <c r="M671" s="1184"/>
      <c r="N671" s="1184"/>
      <c r="O671" s="1184"/>
      <c r="P671" s="1184"/>
      <c r="Q671" s="1184"/>
      <c r="R671" s="1184"/>
      <c r="S671" s="1184"/>
      <c r="T671" s="1184"/>
      <c r="U671" s="1184"/>
      <c r="V671" s="1184"/>
      <c r="W671" s="1184"/>
      <c r="X671" s="1184"/>
      <c r="Y671" s="1184"/>
      <c r="Z671" s="1184"/>
    </row>
    <row r="672" spans="1:26" ht="15.5">
      <c r="A672" s="1184"/>
      <c r="B672" s="1184"/>
      <c r="C672" s="1184"/>
      <c r="D672" s="1184"/>
      <c r="E672" s="1184"/>
      <c r="F672" s="1184"/>
      <c r="G672" s="1184"/>
      <c r="H672" s="1184"/>
      <c r="I672" s="1184"/>
      <c r="J672" s="1184"/>
      <c r="K672" s="1184"/>
      <c r="L672" s="1184"/>
      <c r="M672" s="1184"/>
      <c r="N672" s="1184"/>
      <c r="O672" s="1184"/>
      <c r="P672" s="1184"/>
      <c r="Q672" s="1184"/>
      <c r="R672" s="1184"/>
      <c r="S672" s="1184"/>
      <c r="T672" s="1184"/>
      <c r="U672" s="1184"/>
      <c r="V672" s="1184"/>
      <c r="W672" s="1184"/>
      <c r="X672" s="1184"/>
      <c r="Y672" s="1184"/>
      <c r="Z672" s="1184"/>
    </row>
    <row r="673" spans="1:26" ht="15.5">
      <c r="A673" s="1184"/>
      <c r="B673" s="1184"/>
      <c r="C673" s="1184"/>
      <c r="D673" s="1184"/>
      <c r="E673" s="1184"/>
      <c r="F673" s="1184"/>
      <c r="G673" s="1184"/>
      <c r="H673" s="1184"/>
      <c r="I673" s="1184"/>
      <c r="J673" s="1184"/>
      <c r="K673" s="1184"/>
      <c r="L673" s="1184"/>
      <c r="M673" s="1184"/>
      <c r="N673" s="1184"/>
      <c r="O673" s="1184"/>
      <c r="P673" s="1184"/>
      <c r="Q673" s="1184"/>
      <c r="R673" s="1184"/>
      <c r="S673" s="1184"/>
      <c r="T673" s="1184"/>
      <c r="U673" s="1184"/>
      <c r="V673" s="1184"/>
      <c r="W673" s="1184"/>
      <c r="X673" s="1184"/>
      <c r="Y673" s="1184"/>
      <c r="Z673" s="1184"/>
    </row>
    <row r="674" spans="1:26" ht="15.5">
      <c r="A674" s="1184"/>
      <c r="B674" s="1184"/>
      <c r="C674" s="1184"/>
      <c r="D674" s="1184"/>
      <c r="E674" s="1184"/>
      <c r="F674" s="1184"/>
      <c r="G674" s="1184"/>
      <c r="H674" s="1184"/>
      <c r="I674" s="1184"/>
      <c r="J674" s="1184"/>
      <c r="K674" s="1184"/>
      <c r="L674" s="1184"/>
      <c r="M674" s="1184"/>
      <c r="N674" s="1184"/>
      <c r="O674" s="1184"/>
      <c r="P674" s="1184"/>
      <c r="Q674" s="1184"/>
      <c r="R674" s="1184"/>
      <c r="S674" s="1184"/>
      <c r="T674" s="1184"/>
      <c r="U674" s="1184"/>
      <c r="V674" s="1184"/>
      <c r="W674" s="1184"/>
      <c r="X674" s="1184"/>
      <c r="Y674" s="1184"/>
      <c r="Z674" s="1184"/>
    </row>
    <row r="675" spans="1:26" ht="15.5">
      <c r="A675" s="1184"/>
      <c r="B675" s="1184"/>
      <c r="C675" s="1184"/>
      <c r="D675" s="1184"/>
      <c r="E675" s="1184"/>
      <c r="F675" s="1184"/>
      <c r="G675" s="1184"/>
      <c r="H675" s="1184"/>
      <c r="I675" s="1184"/>
      <c r="J675" s="1184"/>
      <c r="K675" s="1184"/>
      <c r="L675" s="1184"/>
      <c r="M675" s="1184"/>
      <c r="N675" s="1184"/>
      <c r="O675" s="1184"/>
      <c r="P675" s="1184"/>
      <c r="Q675" s="1184"/>
      <c r="R675" s="1184"/>
      <c r="S675" s="1184"/>
      <c r="T675" s="1184"/>
      <c r="U675" s="1184"/>
      <c r="V675" s="1184"/>
      <c r="W675" s="1184"/>
      <c r="X675" s="1184"/>
      <c r="Y675" s="1184"/>
      <c r="Z675" s="1184"/>
    </row>
    <row r="676" spans="1:26" ht="15.5">
      <c r="A676" s="1184"/>
      <c r="B676" s="1184"/>
      <c r="C676" s="1184"/>
      <c r="D676" s="1184"/>
      <c r="E676" s="1184"/>
      <c r="F676" s="1184"/>
      <c r="G676" s="1184"/>
      <c r="H676" s="1184"/>
      <c r="I676" s="1184"/>
      <c r="J676" s="1184"/>
      <c r="K676" s="1184"/>
      <c r="L676" s="1184"/>
      <c r="M676" s="1184"/>
      <c r="N676" s="1184"/>
      <c r="O676" s="1184"/>
      <c r="P676" s="1184"/>
      <c r="Q676" s="1184"/>
      <c r="R676" s="1184"/>
      <c r="S676" s="1184"/>
      <c r="T676" s="1184"/>
      <c r="U676" s="1184"/>
      <c r="V676" s="1184"/>
      <c r="W676" s="1184"/>
      <c r="X676" s="1184"/>
      <c r="Y676" s="1184"/>
      <c r="Z676" s="1184"/>
    </row>
    <row r="677" spans="1:26" ht="15.5">
      <c r="A677" s="1184"/>
      <c r="B677" s="1184"/>
      <c r="C677" s="1184"/>
      <c r="D677" s="1184"/>
      <c r="E677" s="1184"/>
      <c r="F677" s="1184"/>
      <c r="G677" s="1184"/>
      <c r="H677" s="1184"/>
      <c r="I677" s="1184"/>
      <c r="J677" s="1184"/>
      <c r="K677" s="1184"/>
      <c r="L677" s="1184"/>
      <c r="M677" s="1184"/>
      <c r="N677" s="1184"/>
      <c r="O677" s="1184"/>
      <c r="P677" s="1184"/>
      <c r="Q677" s="1184"/>
      <c r="R677" s="1184"/>
      <c r="S677" s="1184"/>
      <c r="T677" s="1184"/>
      <c r="U677" s="1184"/>
      <c r="V677" s="1184"/>
      <c r="W677" s="1184"/>
      <c r="X677" s="1184"/>
      <c r="Y677" s="1184"/>
      <c r="Z677" s="1184"/>
    </row>
    <row r="678" spans="1:26" ht="15.5">
      <c r="A678" s="1184"/>
      <c r="B678" s="1184"/>
      <c r="C678" s="1184"/>
      <c r="D678" s="1184"/>
      <c r="E678" s="1184"/>
      <c r="F678" s="1184"/>
      <c r="G678" s="1184"/>
      <c r="H678" s="1184"/>
      <c r="I678" s="1184"/>
      <c r="J678" s="1184"/>
      <c r="K678" s="1184"/>
      <c r="L678" s="1184"/>
      <c r="M678" s="1184"/>
      <c r="N678" s="1184"/>
      <c r="O678" s="1184"/>
      <c r="P678" s="1184"/>
      <c r="Q678" s="1184"/>
      <c r="R678" s="1184"/>
      <c r="S678" s="1184"/>
      <c r="T678" s="1184"/>
      <c r="U678" s="1184"/>
      <c r="V678" s="1184"/>
      <c r="W678" s="1184"/>
      <c r="X678" s="1184"/>
      <c r="Y678" s="1184"/>
      <c r="Z678" s="1184"/>
    </row>
    <row r="679" spans="1:26" ht="15.5">
      <c r="A679" s="1184"/>
      <c r="B679" s="1184"/>
      <c r="C679" s="1184"/>
      <c r="D679" s="1184"/>
      <c r="E679" s="1184"/>
      <c r="F679" s="1184"/>
      <c r="G679" s="1184"/>
      <c r="H679" s="1184"/>
      <c r="I679" s="1184"/>
      <c r="J679" s="1184"/>
      <c r="K679" s="1184"/>
      <c r="L679" s="1184"/>
      <c r="M679" s="1184"/>
      <c r="N679" s="1184"/>
      <c r="O679" s="1184"/>
      <c r="P679" s="1184"/>
      <c r="Q679" s="1184"/>
      <c r="R679" s="1184"/>
      <c r="S679" s="1184"/>
      <c r="T679" s="1184"/>
      <c r="U679" s="1184"/>
      <c r="V679" s="1184"/>
      <c r="W679" s="1184"/>
      <c r="X679" s="1184"/>
      <c r="Y679" s="1184"/>
      <c r="Z679" s="1184"/>
    </row>
    <row r="680" spans="1:26" ht="15.5">
      <c r="A680" s="1184"/>
      <c r="B680" s="1184"/>
      <c r="C680" s="1184"/>
      <c r="D680" s="1184"/>
      <c r="E680" s="1184"/>
      <c r="F680" s="1184"/>
      <c r="G680" s="1184"/>
      <c r="H680" s="1184"/>
      <c r="I680" s="1184"/>
      <c r="J680" s="1184"/>
      <c r="K680" s="1184"/>
      <c r="L680" s="1184"/>
      <c r="M680" s="1184"/>
      <c r="N680" s="1184"/>
      <c r="O680" s="1184"/>
      <c r="P680" s="1184"/>
      <c r="Q680" s="1184"/>
      <c r="R680" s="1184"/>
      <c r="S680" s="1184"/>
      <c r="T680" s="1184"/>
      <c r="U680" s="1184"/>
      <c r="V680" s="1184"/>
      <c r="W680" s="1184"/>
      <c r="X680" s="1184"/>
      <c r="Y680" s="1184"/>
      <c r="Z680" s="1184"/>
    </row>
    <row r="681" spans="1:26" ht="15.5">
      <c r="A681" s="1184"/>
      <c r="B681" s="1184"/>
      <c r="C681" s="1184"/>
      <c r="D681" s="1184"/>
      <c r="E681" s="1184"/>
      <c r="F681" s="1184"/>
      <c r="G681" s="1184"/>
      <c r="H681" s="1184"/>
      <c r="I681" s="1184"/>
      <c r="J681" s="1184"/>
      <c r="K681" s="1184"/>
      <c r="L681" s="1184"/>
      <c r="M681" s="1184"/>
      <c r="N681" s="1184"/>
      <c r="O681" s="1184"/>
      <c r="P681" s="1184"/>
      <c r="Q681" s="1184"/>
      <c r="R681" s="1184"/>
      <c r="S681" s="1184"/>
      <c r="T681" s="1184"/>
      <c r="U681" s="1184"/>
      <c r="V681" s="1184"/>
      <c r="W681" s="1184"/>
      <c r="X681" s="1184"/>
      <c r="Y681" s="1184"/>
      <c r="Z681" s="1184"/>
    </row>
    <row r="682" spans="1:26" ht="15.5">
      <c r="A682" s="1184"/>
      <c r="B682" s="1184"/>
      <c r="C682" s="1184"/>
      <c r="D682" s="1184"/>
      <c r="E682" s="1184"/>
      <c r="F682" s="1184"/>
      <c r="G682" s="1184"/>
      <c r="H682" s="1184"/>
      <c r="I682" s="1184"/>
      <c r="J682" s="1184"/>
      <c r="K682" s="1184"/>
      <c r="L682" s="1184"/>
      <c r="M682" s="1184"/>
      <c r="N682" s="1184"/>
      <c r="O682" s="1184"/>
      <c r="P682" s="1184"/>
      <c r="Q682" s="1184"/>
      <c r="R682" s="1184"/>
      <c r="S682" s="1184"/>
      <c r="T682" s="1184"/>
      <c r="U682" s="1184"/>
      <c r="V682" s="1184"/>
      <c r="W682" s="1184"/>
      <c r="X682" s="1184"/>
      <c r="Y682" s="1184"/>
      <c r="Z682" s="1184"/>
    </row>
    <row r="683" spans="1:26" ht="15.5">
      <c r="A683" s="1184"/>
      <c r="B683" s="1184"/>
      <c r="C683" s="1184"/>
      <c r="D683" s="1184"/>
      <c r="E683" s="1184"/>
      <c r="F683" s="1184"/>
      <c r="G683" s="1184"/>
      <c r="H683" s="1184"/>
      <c r="I683" s="1184"/>
      <c r="J683" s="1184"/>
      <c r="K683" s="1184"/>
      <c r="L683" s="1184"/>
      <c r="M683" s="1184"/>
      <c r="N683" s="1184"/>
      <c r="O683" s="1184"/>
      <c r="P683" s="1184"/>
      <c r="Q683" s="1184"/>
      <c r="R683" s="1184"/>
      <c r="S683" s="1184"/>
      <c r="T683" s="1184"/>
      <c r="U683" s="1184"/>
      <c r="V683" s="1184"/>
      <c r="W683" s="1184"/>
      <c r="X683" s="1184"/>
      <c r="Y683" s="1184"/>
      <c r="Z683" s="1184"/>
    </row>
    <row r="684" spans="1:26" ht="15.5">
      <c r="A684" s="1184"/>
      <c r="B684" s="1184"/>
      <c r="C684" s="1184"/>
      <c r="D684" s="1184"/>
      <c r="E684" s="1184"/>
      <c r="F684" s="1184"/>
      <c r="G684" s="1184"/>
      <c r="H684" s="1184"/>
      <c r="I684" s="1184"/>
      <c r="J684" s="1184"/>
      <c r="K684" s="1184"/>
      <c r="L684" s="1184"/>
      <c r="M684" s="1184"/>
      <c r="N684" s="1184"/>
      <c r="O684" s="1184"/>
      <c r="P684" s="1184"/>
      <c r="Q684" s="1184"/>
      <c r="R684" s="1184"/>
      <c r="S684" s="1184"/>
      <c r="T684" s="1184"/>
      <c r="U684" s="1184"/>
      <c r="V684" s="1184"/>
      <c r="W684" s="1184"/>
      <c r="X684" s="1184"/>
      <c r="Y684" s="1184"/>
      <c r="Z684" s="1184"/>
    </row>
    <row r="685" spans="1:26" ht="15.5">
      <c r="A685" s="1184"/>
      <c r="B685" s="1184"/>
      <c r="C685" s="1184"/>
      <c r="D685" s="1184"/>
      <c r="E685" s="1184"/>
      <c r="F685" s="1184"/>
      <c r="G685" s="1184"/>
      <c r="H685" s="1184"/>
      <c r="I685" s="1184"/>
      <c r="J685" s="1184"/>
      <c r="K685" s="1184"/>
      <c r="L685" s="1184"/>
      <c r="M685" s="1184"/>
      <c r="N685" s="1184"/>
      <c r="O685" s="1184"/>
      <c r="P685" s="1184"/>
      <c r="Q685" s="1184"/>
      <c r="R685" s="1184"/>
      <c r="S685" s="1184"/>
      <c r="T685" s="1184"/>
      <c r="U685" s="1184"/>
      <c r="V685" s="1184"/>
      <c r="W685" s="1184"/>
      <c r="X685" s="1184"/>
      <c r="Y685" s="1184"/>
      <c r="Z685" s="1184"/>
    </row>
    <row r="686" spans="1:26" ht="15.5">
      <c r="A686" s="1184"/>
      <c r="B686" s="1184"/>
      <c r="C686" s="1184"/>
      <c r="D686" s="1184"/>
      <c r="E686" s="1184"/>
      <c r="F686" s="1184"/>
      <c r="G686" s="1184"/>
      <c r="H686" s="1184"/>
      <c r="I686" s="1184"/>
      <c r="J686" s="1184"/>
      <c r="K686" s="1184"/>
      <c r="L686" s="1184"/>
      <c r="M686" s="1184"/>
      <c r="N686" s="1184"/>
      <c r="O686" s="1184"/>
      <c r="P686" s="1184"/>
      <c r="Q686" s="1184"/>
      <c r="R686" s="1184"/>
      <c r="S686" s="1184"/>
      <c r="T686" s="1184"/>
      <c r="U686" s="1184"/>
      <c r="V686" s="1184"/>
      <c r="W686" s="1184"/>
      <c r="X686" s="1184"/>
      <c r="Y686" s="1184"/>
      <c r="Z686" s="1184"/>
    </row>
    <row r="687" spans="1:26" ht="15.5">
      <c r="A687" s="1184"/>
      <c r="B687" s="1184"/>
      <c r="C687" s="1184"/>
      <c r="D687" s="1184"/>
      <c r="E687" s="1184"/>
      <c r="F687" s="1184"/>
      <c r="G687" s="1184"/>
      <c r="H687" s="1184"/>
      <c r="I687" s="1184"/>
      <c r="J687" s="1184"/>
      <c r="K687" s="1184"/>
      <c r="L687" s="1184"/>
      <c r="M687" s="1184"/>
      <c r="N687" s="1184"/>
      <c r="O687" s="1184"/>
      <c r="P687" s="1184"/>
      <c r="Q687" s="1184"/>
      <c r="R687" s="1184"/>
      <c r="S687" s="1184"/>
      <c r="T687" s="1184"/>
      <c r="U687" s="1184"/>
      <c r="V687" s="1184"/>
      <c r="W687" s="1184"/>
      <c r="X687" s="1184"/>
      <c r="Y687" s="1184"/>
      <c r="Z687" s="1184"/>
    </row>
    <row r="688" spans="1:26" ht="15.5">
      <c r="A688" s="1184"/>
      <c r="B688" s="1184"/>
      <c r="C688" s="1184"/>
      <c r="D688" s="1184"/>
      <c r="E688" s="1184"/>
      <c r="F688" s="1184"/>
      <c r="G688" s="1184"/>
      <c r="H688" s="1184"/>
      <c r="I688" s="1184"/>
      <c r="J688" s="1184"/>
      <c r="K688" s="1184"/>
      <c r="L688" s="1184"/>
      <c r="M688" s="1184"/>
      <c r="N688" s="1184"/>
      <c r="O688" s="1184"/>
      <c r="P688" s="1184"/>
      <c r="Q688" s="1184"/>
      <c r="R688" s="1184"/>
      <c r="S688" s="1184"/>
      <c r="T688" s="1184"/>
      <c r="U688" s="1184"/>
      <c r="V688" s="1184"/>
      <c r="W688" s="1184"/>
      <c r="X688" s="1184"/>
      <c r="Y688" s="1184"/>
      <c r="Z688" s="1184"/>
    </row>
    <row r="689" spans="1:26" ht="15.5">
      <c r="A689" s="1184"/>
      <c r="B689" s="1184"/>
      <c r="C689" s="1184"/>
      <c r="D689" s="1184"/>
      <c r="E689" s="1184"/>
      <c r="F689" s="1184"/>
      <c r="G689" s="1184"/>
      <c r="H689" s="1184"/>
      <c r="I689" s="1184"/>
      <c r="J689" s="1184"/>
      <c r="K689" s="1184"/>
      <c r="L689" s="1184"/>
      <c r="M689" s="1184"/>
      <c r="N689" s="1184"/>
      <c r="O689" s="1184"/>
      <c r="P689" s="1184"/>
      <c r="Q689" s="1184"/>
      <c r="R689" s="1184"/>
      <c r="S689" s="1184"/>
      <c r="T689" s="1184"/>
      <c r="U689" s="1184"/>
      <c r="V689" s="1184"/>
      <c r="W689" s="1184"/>
      <c r="X689" s="1184"/>
      <c r="Y689" s="1184"/>
      <c r="Z689" s="1184"/>
    </row>
    <row r="690" spans="1:26" ht="15.5">
      <c r="A690" s="1184"/>
      <c r="B690" s="1184"/>
      <c r="C690" s="1184"/>
      <c r="D690" s="1184"/>
      <c r="E690" s="1184"/>
      <c r="F690" s="1184"/>
      <c r="G690" s="1184"/>
      <c r="H690" s="1184"/>
      <c r="I690" s="1184"/>
      <c r="J690" s="1184"/>
      <c r="K690" s="1184"/>
      <c r="L690" s="1184"/>
      <c r="M690" s="1184"/>
      <c r="N690" s="1184"/>
      <c r="O690" s="1184"/>
      <c r="P690" s="1184"/>
      <c r="Q690" s="1184"/>
      <c r="R690" s="1184"/>
      <c r="S690" s="1184"/>
      <c r="T690" s="1184"/>
      <c r="U690" s="1184"/>
      <c r="V690" s="1184"/>
      <c r="W690" s="1184"/>
      <c r="X690" s="1184"/>
      <c r="Y690" s="1184"/>
      <c r="Z690" s="1184"/>
    </row>
    <row r="691" spans="1:26" ht="15.5">
      <c r="A691" s="1184"/>
      <c r="B691" s="1184"/>
      <c r="C691" s="1184"/>
      <c r="D691" s="1184"/>
      <c r="E691" s="1184"/>
      <c r="F691" s="1184"/>
      <c r="G691" s="1184"/>
      <c r="H691" s="1184"/>
      <c r="I691" s="1184"/>
      <c r="J691" s="1184"/>
      <c r="K691" s="1184"/>
      <c r="L691" s="1184"/>
      <c r="M691" s="1184"/>
      <c r="N691" s="1184"/>
      <c r="O691" s="1184"/>
      <c r="P691" s="1184"/>
      <c r="Q691" s="1184"/>
      <c r="R691" s="1184"/>
      <c r="S691" s="1184"/>
      <c r="T691" s="1184"/>
      <c r="U691" s="1184"/>
      <c r="V691" s="1184"/>
      <c r="W691" s="1184"/>
      <c r="X691" s="1184"/>
      <c r="Y691" s="1184"/>
      <c r="Z691" s="1184"/>
    </row>
    <row r="692" spans="1:26" ht="15.5">
      <c r="A692" s="1184"/>
      <c r="B692" s="1184"/>
      <c r="C692" s="1184"/>
      <c r="D692" s="1184"/>
      <c r="E692" s="1184"/>
      <c r="F692" s="1184"/>
      <c r="G692" s="1184"/>
      <c r="H692" s="1184"/>
      <c r="I692" s="1184"/>
      <c r="J692" s="1184"/>
      <c r="K692" s="1184"/>
      <c r="L692" s="1184"/>
      <c r="M692" s="1184"/>
      <c r="N692" s="1184"/>
      <c r="O692" s="1184"/>
      <c r="P692" s="1184"/>
      <c r="Q692" s="1184"/>
      <c r="R692" s="1184"/>
      <c r="S692" s="1184"/>
      <c r="T692" s="1184"/>
      <c r="U692" s="1184"/>
      <c r="V692" s="1184"/>
      <c r="W692" s="1184"/>
      <c r="X692" s="1184"/>
      <c r="Y692" s="1184"/>
      <c r="Z692" s="1184"/>
    </row>
    <row r="693" spans="1:26" ht="15.5">
      <c r="A693" s="1184"/>
      <c r="B693" s="1184"/>
      <c r="C693" s="1184"/>
      <c r="D693" s="1184"/>
      <c r="E693" s="1184"/>
      <c r="F693" s="1184"/>
      <c r="G693" s="1184"/>
      <c r="H693" s="1184"/>
      <c r="I693" s="1184"/>
      <c r="J693" s="1184"/>
      <c r="K693" s="1184"/>
      <c r="L693" s="1184"/>
      <c r="M693" s="1184"/>
      <c r="N693" s="1184"/>
      <c r="O693" s="1184"/>
      <c r="P693" s="1184"/>
      <c r="Q693" s="1184"/>
      <c r="R693" s="1184"/>
      <c r="S693" s="1184"/>
      <c r="T693" s="1184"/>
      <c r="U693" s="1184"/>
      <c r="V693" s="1184"/>
      <c r="W693" s="1184"/>
      <c r="X693" s="1184"/>
      <c r="Y693" s="1184"/>
      <c r="Z693" s="1184"/>
    </row>
    <row r="694" spans="1:26" ht="15.5">
      <c r="A694" s="1184"/>
      <c r="B694" s="1184"/>
      <c r="C694" s="1184"/>
      <c r="D694" s="1184"/>
      <c r="E694" s="1184"/>
      <c r="F694" s="1184"/>
      <c r="G694" s="1184"/>
      <c r="H694" s="1184"/>
      <c r="I694" s="1184"/>
      <c r="J694" s="1184"/>
      <c r="K694" s="1184"/>
      <c r="L694" s="1184"/>
      <c r="M694" s="1184"/>
      <c r="N694" s="1184"/>
      <c r="O694" s="1184"/>
      <c r="P694" s="1184"/>
      <c r="Q694" s="1184"/>
      <c r="R694" s="1184"/>
      <c r="S694" s="1184"/>
      <c r="T694" s="1184"/>
      <c r="U694" s="1184"/>
      <c r="V694" s="1184"/>
      <c r="W694" s="1184"/>
      <c r="X694" s="1184"/>
      <c r="Y694" s="1184"/>
      <c r="Z694" s="1184"/>
    </row>
    <row r="695" spans="1:26" ht="15.5">
      <c r="A695" s="1184"/>
      <c r="B695" s="1184"/>
      <c r="C695" s="1184"/>
      <c r="D695" s="1184"/>
      <c r="E695" s="1184"/>
      <c r="F695" s="1184"/>
      <c r="G695" s="1184"/>
      <c r="H695" s="1184"/>
      <c r="I695" s="1184"/>
      <c r="J695" s="1184"/>
      <c r="K695" s="1184"/>
      <c r="L695" s="1184"/>
      <c r="M695" s="1184"/>
      <c r="N695" s="1184"/>
      <c r="O695" s="1184"/>
      <c r="P695" s="1184"/>
      <c r="Q695" s="1184"/>
      <c r="R695" s="1184"/>
      <c r="S695" s="1184"/>
      <c r="T695" s="1184"/>
      <c r="U695" s="1184"/>
      <c r="V695" s="1184"/>
      <c r="W695" s="1184"/>
      <c r="X695" s="1184"/>
      <c r="Y695" s="1184"/>
      <c r="Z695" s="1184"/>
    </row>
    <row r="696" spans="1:26" ht="15.5">
      <c r="A696" s="1184"/>
      <c r="B696" s="1184"/>
      <c r="C696" s="1184"/>
      <c r="D696" s="1184"/>
      <c r="E696" s="1184"/>
      <c r="F696" s="1184"/>
      <c r="G696" s="1184"/>
      <c r="H696" s="1184"/>
      <c r="I696" s="1184"/>
      <c r="J696" s="1184"/>
      <c r="K696" s="1184"/>
      <c r="L696" s="1184"/>
      <c r="M696" s="1184"/>
      <c r="N696" s="1184"/>
      <c r="O696" s="1184"/>
      <c r="P696" s="1184"/>
      <c r="Q696" s="1184"/>
      <c r="R696" s="1184"/>
      <c r="S696" s="1184"/>
      <c r="T696" s="1184"/>
      <c r="U696" s="1184"/>
      <c r="V696" s="1184"/>
      <c r="W696" s="1184"/>
      <c r="X696" s="1184"/>
      <c r="Y696" s="1184"/>
      <c r="Z696" s="1184"/>
    </row>
    <row r="697" spans="1:26" ht="15.5">
      <c r="A697" s="1184"/>
      <c r="B697" s="1184"/>
      <c r="C697" s="1184"/>
      <c r="D697" s="1184"/>
      <c r="E697" s="1184"/>
      <c r="F697" s="1184"/>
      <c r="G697" s="1184"/>
      <c r="H697" s="1184"/>
      <c r="I697" s="1184"/>
      <c r="J697" s="1184"/>
      <c r="K697" s="1184"/>
      <c r="L697" s="1184"/>
      <c r="M697" s="1184"/>
      <c r="N697" s="1184"/>
      <c r="O697" s="1184"/>
      <c r="P697" s="1184"/>
      <c r="Q697" s="1184"/>
      <c r="R697" s="1184"/>
      <c r="S697" s="1184"/>
      <c r="T697" s="1184"/>
      <c r="U697" s="1184"/>
      <c r="V697" s="1184"/>
      <c r="W697" s="1184"/>
      <c r="X697" s="1184"/>
      <c r="Y697" s="1184"/>
      <c r="Z697" s="1184"/>
    </row>
    <row r="698" spans="1:26" ht="15.5">
      <c r="A698" s="1184"/>
      <c r="B698" s="1184"/>
      <c r="C698" s="1184"/>
      <c r="D698" s="1184"/>
      <c r="E698" s="1184"/>
      <c r="F698" s="1184"/>
      <c r="G698" s="1184"/>
      <c r="H698" s="1184"/>
      <c r="I698" s="1184"/>
      <c r="J698" s="1184"/>
      <c r="K698" s="1184"/>
      <c r="L698" s="1184"/>
      <c r="M698" s="1184"/>
      <c r="N698" s="1184"/>
      <c r="O698" s="1184"/>
      <c r="P698" s="1184"/>
      <c r="Q698" s="1184"/>
      <c r="R698" s="1184"/>
      <c r="S698" s="1184"/>
      <c r="T698" s="1184"/>
      <c r="U698" s="1184"/>
      <c r="V698" s="1184"/>
      <c r="W698" s="1184"/>
      <c r="X698" s="1184"/>
      <c r="Y698" s="1184"/>
      <c r="Z698" s="1184"/>
    </row>
    <row r="699" spans="1:26" ht="15.5">
      <c r="A699" s="1184"/>
      <c r="B699" s="1184"/>
      <c r="C699" s="1184"/>
      <c r="D699" s="1184"/>
      <c r="E699" s="1184"/>
      <c r="F699" s="1184"/>
      <c r="G699" s="1184"/>
      <c r="H699" s="1184"/>
      <c r="I699" s="1184"/>
      <c r="J699" s="1184"/>
      <c r="K699" s="1184"/>
      <c r="L699" s="1184"/>
      <c r="M699" s="1184"/>
      <c r="N699" s="1184"/>
      <c r="O699" s="1184"/>
      <c r="P699" s="1184"/>
      <c r="Q699" s="1184"/>
      <c r="R699" s="1184"/>
      <c r="S699" s="1184"/>
      <c r="T699" s="1184"/>
      <c r="U699" s="1184"/>
      <c r="V699" s="1184"/>
      <c r="W699" s="1184"/>
      <c r="X699" s="1184"/>
      <c r="Y699" s="1184"/>
      <c r="Z699" s="1184"/>
    </row>
    <row r="700" spans="1:26" ht="15.5">
      <c r="A700" s="1184"/>
      <c r="B700" s="1184"/>
      <c r="C700" s="1184"/>
      <c r="D700" s="1184"/>
      <c r="E700" s="1184"/>
      <c r="F700" s="1184"/>
      <c r="G700" s="1184"/>
      <c r="H700" s="1184"/>
      <c r="I700" s="1184"/>
      <c r="J700" s="1184"/>
      <c r="K700" s="1184"/>
      <c r="L700" s="1184"/>
      <c r="M700" s="1184"/>
      <c r="N700" s="1184"/>
      <c r="O700" s="1184"/>
      <c r="P700" s="1184"/>
      <c r="Q700" s="1184"/>
      <c r="R700" s="1184"/>
      <c r="S700" s="1184"/>
      <c r="T700" s="1184"/>
      <c r="U700" s="1184"/>
      <c r="V700" s="1184"/>
      <c r="W700" s="1184"/>
      <c r="X700" s="1184"/>
      <c r="Y700" s="1184"/>
      <c r="Z700" s="1184"/>
    </row>
    <row r="701" spans="1:26" ht="15.5">
      <c r="A701" s="1184"/>
      <c r="B701" s="1184"/>
      <c r="C701" s="1184"/>
      <c r="D701" s="1184"/>
      <c r="E701" s="1184"/>
      <c r="F701" s="1184"/>
      <c r="G701" s="1184"/>
      <c r="H701" s="1184"/>
      <c r="I701" s="1184"/>
      <c r="J701" s="1184"/>
      <c r="K701" s="1184"/>
      <c r="L701" s="1184"/>
      <c r="M701" s="1184"/>
      <c r="N701" s="1184"/>
      <c r="O701" s="1184"/>
      <c r="P701" s="1184"/>
      <c r="Q701" s="1184"/>
      <c r="R701" s="1184"/>
      <c r="S701" s="1184"/>
      <c r="T701" s="1184"/>
      <c r="U701" s="1184"/>
      <c r="V701" s="1184"/>
      <c r="W701" s="1184"/>
      <c r="X701" s="1184"/>
      <c r="Y701" s="1184"/>
      <c r="Z701" s="1184"/>
    </row>
    <row r="702" spans="1:26" ht="15.5">
      <c r="A702" s="1184"/>
      <c r="B702" s="1184"/>
      <c r="C702" s="1184"/>
      <c r="D702" s="1184"/>
      <c r="E702" s="1184"/>
      <c r="F702" s="1184"/>
      <c r="G702" s="1184"/>
      <c r="H702" s="1184"/>
      <c r="I702" s="1184"/>
      <c r="J702" s="1184"/>
      <c r="K702" s="1184"/>
      <c r="L702" s="1184"/>
      <c r="M702" s="1184"/>
      <c r="N702" s="1184"/>
      <c r="O702" s="1184"/>
      <c r="P702" s="1184"/>
      <c r="Q702" s="1184"/>
      <c r="R702" s="1184"/>
      <c r="S702" s="1184"/>
      <c r="T702" s="1184"/>
      <c r="U702" s="1184"/>
      <c r="V702" s="1184"/>
      <c r="W702" s="1184"/>
      <c r="X702" s="1184"/>
      <c r="Y702" s="1184"/>
      <c r="Z702" s="1184"/>
    </row>
    <row r="703" spans="1:26" ht="15.5">
      <c r="A703" s="1184"/>
      <c r="B703" s="1184"/>
      <c r="C703" s="1184"/>
      <c r="D703" s="1184"/>
      <c r="E703" s="1184"/>
      <c r="F703" s="1184"/>
      <c r="G703" s="1184"/>
      <c r="H703" s="1184"/>
      <c r="I703" s="1184"/>
      <c r="J703" s="1184"/>
      <c r="K703" s="1184"/>
      <c r="L703" s="1184"/>
      <c r="M703" s="1184"/>
      <c r="N703" s="1184"/>
      <c r="O703" s="1184"/>
      <c r="P703" s="1184"/>
      <c r="Q703" s="1184"/>
      <c r="R703" s="1184"/>
      <c r="S703" s="1184"/>
      <c r="T703" s="1184"/>
      <c r="U703" s="1184"/>
      <c r="V703" s="1184"/>
      <c r="W703" s="1184"/>
      <c r="X703" s="1184"/>
      <c r="Y703" s="1184"/>
      <c r="Z703" s="1184"/>
    </row>
    <row r="704" spans="1:26" ht="15.5">
      <c r="A704" s="1184"/>
      <c r="B704" s="1184"/>
      <c r="C704" s="1184"/>
      <c r="D704" s="1184"/>
      <c r="E704" s="1184"/>
      <c r="F704" s="1184"/>
      <c r="G704" s="1184"/>
      <c r="H704" s="1184"/>
      <c r="I704" s="1184"/>
      <c r="J704" s="1184"/>
      <c r="K704" s="1184"/>
      <c r="L704" s="1184"/>
      <c r="M704" s="1184"/>
      <c r="N704" s="1184"/>
      <c r="O704" s="1184"/>
      <c r="P704" s="1184"/>
      <c r="Q704" s="1184"/>
      <c r="R704" s="1184"/>
      <c r="S704" s="1184"/>
      <c r="T704" s="1184"/>
      <c r="U704" s="1184"/>
      <c r="V704" s="1184"/>
      <c r="W704" s="1184"/>
      <c r="X704" s="1184"/>
      <c r="Y704" s="1184"/>
      <c r="Z704" s="1184"/>
    </row>
    <row r="705" spans="1:26" ht="15.5">
      <c r="A705" s="1184"/>
      <c r="B705" s="1184"/>
      <c r="C705" s="1184"/>
      <c r="D705" s="1184"/>
      <c r="E705" s="1184"/>
      <c r="F705" s="1184"/>
      <c r="G705" s="1184"/>
      <c r="H705" s="1184"/>
      <c r="I705" s="1184"/>
      <c r="J705" s="1184"/>
      <c r="K705" s="1184"/>
      <c r="L705" s="1184"/>
      <c r="M705" s="1184"/>
      <c r="N705" s="1184"/>
      <c r="O705" s="1184"/>
      <c r="P705" s="1184"/>
      <c r="Q705" s="1184"/>
      <c r="R705" s="1184"/>
      <c r="S705" s="1184"/>
      <c r="T705" s="1184"/>
      <c r="U705" s="1184"/>
      <c r="V705" s="1184"/>
      <c r="W705" s="1184"/>
      <c r="X705" s="1184"/>
      <c r="Y705" s="1184"/>
      <c r="Z705" s="1184"/>
    </row>
    <row r="706" spans="1:26" ht="15.5">
      <c r="A706" s="1184"/>
      <c r="B706" s="1184"/>
      <c r="C706" s="1184"/>
      <c r="D706" s="1184"/>
      <c r="E706" s="1184"/>
      <c r="F706" s="1184"/>
      <c r="G706" s="1184"/>
      <c r="H706" s="1184"/>
      <c r="I706" s="1184"/>
      <c r="J706" s="1184"/>
      <c r="K706" s="1184"/>
      <c r="L706" s="1184"/>
      <c r="M706" s="1184"/>
      <c r="N706" s="1184"/>
      <c r="O706" s="1184"/>
      <c r="P706" s="1184"/>
      <c r="Q706" s="1184"/>
      <c r="R706" s="1184"/>
      <c r="S706" s="1184"/>
      <c r="T706" s="1184"/>
      <c r="U706" s="1184"/>
      <c r="V706" s="1184"/>
      <c r="W706" s="1184"/>
      <c r="X706" s="1184"/>
      <c r="Y706" s="1184"/>
      <c r="Z706" s="1184"/>
    </row>
    <row r="707" spans="1:26" ht="15.5">
      <c r="A707" s="1184"/>
      <c r="B707" s="1184"/>
      <c r="C707" s="1184"/>
      <c r="D707" s="1184"/>
      <c r="E707" s="1184"/>
      <c r="F707" s="1184"/>
      <c r="G707" s="1184"/>
      <c r="H707" s="1184"/>
      <c r="I707" s="1184"/>
      <c r="J707" s="1184"/>
      <c r="K707" s="1184"/>
      <c r="L707" s="1184"/>
      <c r="M707" s="1184"/>
      <c r="N707" s="1184"/>
      <c r="O707" s="1184"/>
      <c r="P707" s="1184"/>
      <c r="Q707" s="1184"/>
      <c r="R707" s="1184"/>
      <c r="S707" s="1184"/>
      <c r="T707" s="1184"/>
      <c r="U707" s="1184"/>
      <c r="V707" s="1184"/>
      <c r="W707" s="1184"/>
      <c r="X707" s="1184"/>
      <c r="Y707" s="1184"/>
      <c r="Z707" s="1184"/>
    </row>
    <row r="708" spans="1:26" ht="15.5">
      <c r="A708" s="1184"/>
      <c r="B708" s="1184"/>
      <c r="C708" s="1184"/>
      <c r="D708" s="1184"/>
      <c r="E708" s="1184"/>
      <c r="F708" s="1184"/>
      <c r="G708" s="1184"/>
      <c r="H708" s="1184"/>
      <c r="I708" s="1184"/>
      <c r="J708" s="1184"/>
      <c r="K708" s="1184"/>
      <c r="L708" s="1184"/>
      <c r="M708" s="1184"/>
      <c r="N708" s="1184"/>
      <c r="O708" s="1184"/>
      <c r="P708" s="1184"/>
      <c r="Q708" s="1184"/>
      <c r="R708" s="1184"/>
      <c r="S708" s="1184"/>
      <c r="T708" s="1184"/>
      <c r="U708" s="1184"/>
      <c r="V708" s="1184"/>
      <c r="W708" s="1184"/>
      <c r="X708" s="1184"/>
      <c r="Y708" s="1184"/>
      <c r="Z708" s="1184"/>
    </row>
    <row r="709" spans="1:26" ht="15.5">
      <c r="A709" s="1184"/>
      <c r="B709" s="1184"/>
      <c r="C709" s="1184"/>
      <c r="D709" s="1184"/>
      <c r="E709" s="1184"/>
      <c r="F709" s="1184"/>
      <c r="G709" s="1184"/>
      <c r="H709" s="1184"/>
      <c r="I709" s="1184"/>
      <c r="J709" s="1184"/>
      <c r="K709" s="1184"/>
      <c r="L709" s="1184"/>
      <c r="M709" s="1184"/>
      <c r="N709" s="1184"/>
      <c r="O709" s="1184"/>
      <c r="P709" s="1184"/>
      <c r="Q709" s="1184"/>
      <c r="R709" s="1184"/>
      <c r="S709" s="1184"/>
      <c r="T709" s="1184"/>
      <c r="U709" s="1184"/>
      <c r="V709" s="1184"/>
      <c r="W709" s="1184"/>
      <c r="X709" s="1184"/>
      <c r="Y709" s="1184"/>
      <c r="Z709" s="1184"/>
    </row>
    <row r="710" spans="1:26" ht="15.5">
      <c r="A710" s="1184"/>
      <c r="B710" s="1184"/>
      <c r="C710" s="1184"/>
      <c r="D710" s="1184"/>
      <c r="E710" s="1184"/>
      <c r="F710" s="1184"/>
      <c r="G710" s="1184"/>
      <c r="H710" s="1184"/>
      <c r="I710" s="1184"/>
      <c r="J710" s="1184"/>
      <c r="K710" s="1184"/>
      <c r="L710" s="1184"/>
      <c r="M710" s="1184"/>
      <c r="N710" s="1184"/>
      <c r="O710" s="1184"/>
      <c r="P710" s="1184"/>
      <c r="Q710" s="1184"/>
      <c r="R710" s="1184"/>
      <c r="S710" s="1184"/>
      <c r="T710" s="1184"/>
      <c r="U710" s="1184"/>
      <c r="V710" s="1184"/>
      <c r="W710" s="1184"/>
      <c r="X710" s="1184"/>
      <c r="Y710" s="1184"/>
      <c r="Z710" s="1184"/>
    </row>
    <row r="711" spans="1:26" ht="15.5">
      <c r="A711" s="1184"/>
      <c r="B711" s="1184"/>
      <c r="C711" s="1184"/>
      <c r="D711" s="1184"/>
      <c r="E711" s="1184"/>
      <c r="F711" s="1184"/>
      <c r="G711" s="1184"/>
      <c r="H711" s="1184"/>
      <c r="I711" s="1184"/>
      <c r="J711" s="1184"/>
      <c r="K711" s="1184"/>
      <c r="L711" s="1184"/>
      <c r="M711" s="1184"/>
      <c r="N711" s="1184"/>
      <c r="O711" s="1184"/>
      <c r="P711" s="1184"/>
      <c r="Q711" s="1184"/>
      <c r="R711" s="1184"/>
      <c r="S711" s="1184"/>
      <c r="T711" s="1184"/>
      <c r="U711" s="1184"/>
      <c r="V711" s="1184"/>
      <c r="W711" s="1184"/>
      <c r="X711" s="1184"/>
      <c r="Y711" s="1184"/>
      <c r="Z711" s="1184"/>
    </row>
    <row r="712" spans="1:26" ht="15.5">
      <c r="A712" s="1184"/>
      <c r="B712" s="1184"/>
      <c r="C712" s="1184"/>
      <c r="D712" s="1184"/>
      <c r="E712" s="1184"/>
      <c r="F712" s="1184"/>
      <c r="G712" s="1184"/>
      <c r="H712" s="1184"/>
      <c r="I712" s="1184"/>
      <c r="J712" s="1184"/>
      <c r="K712" s="1184"/>
      <c r="L712" s="1184"/>
      <c r="M712" s="1184"/>
      <c r="N712" s="1184"/>
      <c r="O712" s="1184"/>
      <c r="P712" s="1184"/>
      <c r="Q712" s="1184"/>
      <c r="R712" s="1184"/>
      <c r="S712" s="1184"/>
      <c r="T712" s="1184"/>
      <c r="U712" s="1184"/>
      <c r="V712" s="1184"/>
      <c r="W712" s="1184"/>
      <c r="X712" s="1184"/>
      <c r="Y712" s="1184"/>
      <c r="Z712" s="1184"/>
    </row>
    <row r="713" spans="1:26" ht="15.5">
      <c r="A713" s="1184"/>
      <c r="B713" s="1184"/>
      <c r="C713" s="1184"/>
      <c r="D713" s="1184"/>
      <c r="E713" s="1184"/>
      <c r="F713" s="1184"/>
      <c r="G713" s="1184"/>
      <c r="H713" s="1184"/>
      <c r="I713" s="1184"/>
      <c r="J713" s="1184"/>
      <c r="K713" s="1184"/>
      <c r="L713" s="1184"/>
      <c r="M713" s="1184"/>
      <c r="N713" s="1184"/>
      <c r="O713" s="1184"/>
      <c r="P713" s="1184"/>
      <c r="Q713" s="1184"/>
      <c r="R713" s="1184"/>
      <c r="S713" s="1184"/>
      <c r="T713" s="1184"/>
      <c r="U713" s="1184"/>
      <c r="V713" s="1184"/>
      <c r="W713" s="1184"/>
      <c r="X713" s="1184"/>
      <c r="Y713" s="1184"/>
      <c r="Z713" s="1184"/>
    </row>
    <row r="714" spans="1:26" ht="15.5">
      <c r="A714" s="1184"/>
      <c r="B714" s="1184"/>
      <c r="C714" s="1184"/>
      <c r="D714" s="1184"/>
      <c r="E714" s="1184"/>
      <c r="F714" s="1184"/>
      <c r="G714" s="1184"/>
      <c r="H714" s="1184"/>
      <c r="I714" s="1184"/>
      <c r="J714" s="1184"/>
      <c r="K714" s="1184"/>
      <c r="L714" s="1184"/>
      <c r="M714" s="1184"/>
      <c r="N714" s="1184"/>
      <c r="O714" s="1184"/>
      <c r="P714" s="1184"/>
      <c r="Q714" s="1184"/>
      <c r="R714" s="1184"/>
      <c r="S714" s="1184"/>
      <c r="T714" s="1184"/>
      <c r="U714" s="1184"/>
      <c r="V714" s="1184"/>
      <c r="W714" s="1184"/>
      <c r="X714" s="1184"/>
      <c r="Y714" s="1184"/>
      <c r="Z714" s="1184"/>
    </row>
    <row r="715" spans="1:26" ht="15.5">
      <c r="A715" s="1184"/>
      <c r="B715" s="1184"/>
      <c r="C715" s="1184"/>
      <c r="D715" s="1184"/>
      <c r="E715" s="1184"/>
      <c r="F715" s="1184"/>
      <c r="G715" s="1184"/>
      <c r="H715" s="1184"/>
      <c r="I715" s="1184"/>
      <c r="J715" s="1184"/>
      <c r="K715" s="1184"/>
      <c r="L715" s="1184"/>
      <c r="M715" s="1184"/>
      <c r="N715" s="1184"/>
      <c r="O715" s="1184"/>
      <c r="P715" s="1184"/>
      <c r="Q715" s="1184"/>
      <c r="R715" s="1184"/>
      <c r="S715" s="1184"/>
      <c r="T715" s="1184"/>
      <c r="U715" s="1184"/>
      <c r="V715" s="1184"/>
      <c r="W715" s="1184"/>
      <c r="X715" s="1184"/>
      <c r="Y715" s="1184"/>
      <c r="Z715" s="1184"/>
    </row>
    <row r="716" spans="1:26" ht="15.5">
      <c r="A716" s="1184"/>
      <c r="B716" s="1184"/>
      <c r="C716" s="1184"/>
      <c r="D716" s="1184"/>
      <c r="E716" s="1184"/>
      <c r="F716" s="1184"/>
      <c r="G716" s="1184"/>
      <c r="H716" s="1184"/>
      <c r="I716" s="1184"/>
      <c r="J716" s="1184"/>
      <c r="K716" s="1184"/>
      <c r="L716" s="1184"/>
      <c r="M716" s="1184"/>
      <c r="N716" s="1184"/>
      <c r="O716" s="1184"/>
      <c r="P716" s="1184"/>
      <c r="Q716" s="1184"/>
      <c r="R716" s="1184"/>
      <c r="S716" s="1184"/>
      <c r="T716" s="1184"/>
      <c r="U716" s="1184"/>
      <c r="V716" s="1184"/>
      <c r="W716" s="1184"/>
      <c r="X716" s="1184"/>
      <c r="Y716" s="1184"/>
      <c r="Z716" s="1184"/>
    </row>
    <row r="717" spans="1:26" ht="15.5">
      <c r="A717" s="1184"/>
      <c r="B717" s="1184"/>
      <c r="C717" s="1184"/>
      <c r="D717" s="1184"/>
      <c r="E717" s="1184"/>
      <c r="F717" s="1184"/>
      <c r="G717" s="1184"/>
      <c r="H717" s="1184"/>
      <c r="I717" s="1184"/>
      <c r="J717" s="1184"/>
      <c r="K717" s="1184"/>
      <c r="L717" s="1184"/>
      <c r="M717" s="1184"/>
      <c r="N717" s="1184"/>
      <c r="O717" s="1184"/>
      <c r="P717" s="1184"/>
      <c r="Q717" s="1184"/>
      <c r="R717" s="1184"/>
      <c r="S717" s="1184"/>
      <c r="T717" s="1184"/>
      <c r="U717" s="1184"/>
      <c r="V717" s="1184"/>
      <c r="W717" s="1184"/>
      <c r="X717" s="1184"/>
      <c r="Y717" s="1184"/>
      <c r="Z717" s="1184"/>
    </row>
    <row r="718" spans="1:26" ht="15.5">
      <c r="A718" s="1184"/>
      <c r="B718" s="1184"/>
      <c r="C718" s="1184"/>
      <c r="D718" s="1184"/>
      <c r="E718" s="1184"/>
      <c r="F718" s="1184"/>
      <c r="G718" s="1184"/>
      <c r="H718" s="1184"/>
      <c r="I718" s="1184"/>
      <c r="J718" s="1184"/>
      <c r="K718" s="1184"/>
      <c r="L718" s="1184"/>
      <c r="M718" s="1184"/>
      <c r="N718" s="1184"/>
      <c r="O718" s="1184"/>
      <c r="P718" s="1184"/>
      <c r="Q718" s="1184"/>
      <c r="R718" s="1184"/>
      <c r="S718" s="1184"/>
      <c r="T718" s="1184"/>
      <c r="U718" s="1184"/>
      <c r="V718" s="1184"/>
      <c r="W718" s="1184"/>
      <c r="X718" s="1184"/>
      <c r="Y718" s="1184"/>
      <c r="Z718" s="1184"/>
    </row>
    <row r="719" spans="1:26" ht="15.5">
      <c r="A719" s="1184"/>
      <c r="B719" s="1184"/>
      <c r="C719" s="1184"/>
      <c r="D719" s="1184"/>
      <c r="E719" s="1184"/>
      <c r="F719" s="1184"/>
      <c r="G719" s="1184"/>
      <c r="H719" s="1184"/>
      <c r="I719" s="1184"/>
      <c r="J719" s="1184"/>
      <c r="K719" s="1184"/>
      <c r="L719" s="1184"/>
      <c r="M719" s="1184"/>
      <c r="N719" s="1184"/>
      <c r="O719" s="1184"/>
      <c r="P719" s="1184"/>
      <c r="Q719" s="1184"/>
      <c r="R719" s="1184"/>
      <c r="S719" s="1184"/>
      <c r="T719" s="1184"/>
      <c r="U719" s="1184"/>
      <c r="V719" s="1184"/>
      <c r="W719" s="1184"/>
      <c r="X719" s="1184"/>
      <c r="Y719" s="1184"/>
      <c r="Z719" s="1184"/>
    </row>
    <row r="720" spans="1:26" ht="15.5">
      <c r="A720" s="1184"/>
      <c r="B720" s="1184"/>
      <c r="C720" s="1184"/>
      <c r="D720" s="1184"/>
      <c r="E720" s="1184"/>
      <c r="F720" s="1184"/>
      <c r="G720" s="1184"/>
      <c r="H720" s="1184"/>
      <c r="I720" s="1184"/>
      <c r="J720" s="1184"/>
      <c r="K720" s="1184"/>
      <c r="L720" s="1184"/>
      <c r="M720" s="1184"/>
      <c r="N720" s="1184"/>
      <c r="O720" s="1184"/>
      <c r="P720" s="1184"/>
      <c r="Q720" s="1184"/>
      <c r="R720" s="1184"/>
      <c r="S720" s="1184"/>
      <c r="T720" s="1184"/>
      <c r="U720" s="1184"/>
      <c r="V720" s="1184"/>
      <c r="W720" s="1184"/>
      <c r="X720" s="1184"/>
      <c r="Y720" s="1184"/>
      <c r="Z720" s="1184"/>
    </row>
    <row r="721" spans="1:26" ht="15.5">
      <c r="A721" s="1184"/>
      <c r="B721" s="1184"/>
      <c r="C721" s="1184"/>
      <c r="D721" s="1184"/>
      <c r="E721" s="1184"/>
      <c r="F721" s="1184"/>
      <c r="G721" s="1184"/>
      <c r="H721" s="1184"/>
      <c r="I721" s="1184"/>
      <c r="J721" s="1184"/>
      <c r="K721" s="1184"/>
      <c r="L721" s="1184"/>
      <c r="M721" s="1184"/>
      <c r="N721" s="1184"/>
      <c r="O721" s="1184"/>
      <c r="P721" s="1184"/>
      <c r="Q721" s="1184"/>
      <c r="R721" s="1184"/>
      <c r="S721" s="1184"/>
      <c r="T721" s="1184"/>
      <c r="U721" s="1184"/>
      <c r="V721" s="1184"/>
      <c r="W721" s="1184"/>
      <c r="X721" s="1184"/>
      <c r="Y721" s="1184"/>
      <c r="Z721" s="1184"/>
    </row>
    <row r="722" spans="1:26" ht="15.5">
      <c r="A722" s="1184"/>
      <c r="B722" s="1184"/>
      <c r="C722" s="1184"/>
      <c r="D722" s="1184"/>
      <c r="E722" s="1184"/>
      <c r="F722" s="1184"/>
      <c r="G722" s="1184"/>
      <c r="H722" s="1184"/>
      <c r="I722" s="1184"/>
      <c r="J722" s="1184"/>
      <c r="K722" s="1184"/>
      <c r="L722" s="1184"/>
      <c r="M722" s="1184"/>
      <c r="N722" s="1184"/>
      <c r="O722" s="1184"/>
      <c r="P722" s="1184"/>
      <c r="Q722" s="1184"/>
      <c r="R722" s="1184"/>
      <c r="S722" s="1184"/>
      <c r="T722" s="1184"/>
      <c r="U722" s="1184"/>
      <c r="V722" s="1184"/>
      <c r="W722" s="1184"/>
      <c r="X722" s="1184"/>
      <c r="Y722" s="1184"/>
      <c r="Z722" s="1184"/>
    </row>
    <row r="723" spans="1:26" ht="15.5">
      <c r="A723" s="1184"/>
      <c r="B723" s="1184"/>
      <c r="C723" s="1184"/>
      <c r="D723" s="1184"/>
      <c r="E723" s="1184"/>
      <c r="F723" s="1184"/>
      <c r="G723" s="1184"/>
      <c r="H723" s="1184"/>
      <c r="I723" s="1184"/>
      <c r="J723" s="1184"/>
      <c r="K723" s="1184"/>
      <c r="L723" s="1184"/>
      <c r="M723" s="1184"/>
      <c r="N723" s="1184"/>
      <c r="O723" s="1184"/>
      <c r="P723" s="1184"/>
      <c r="Q723" s="1184"/>
      <c r="R723" s="1184"/>
      <c r="S723" s="1184"/>
      <c r="T723" s="1184"/>
      <c r="U723" s="1184"/>
      <c r="V723" s="1184"/>
      <c r="W723" s="1184"/>
      <c r="X723" s="1184"/>
      <c r="Y723" s="1184"/>
      <c r="Z723" s="1184"/>
    </row>
    <row r="724" spans="1:26" ht="15.5">
      <c r="A724" s="1184"/>
      <c r="B724" s="1184"/>
      <c r="C724" s="1184"/>
      <c r="D724" s="1184"/>
      <c r="E724" s="1184"/>
      <c r="F724" s="1184"/>
      <c r="G724" s="1184"/>
      <c r="H724" s="1184"/>
      <c r="I724" s="1184"/>
      <c r="J724" s="1184"/>
      <c r="K724" s="1184"/>
      <c r="L724" s="1184"/>
      <c r="M724" s="1184"/>
      <c r="N724" s="1184"/>
      <c r="O724" s="1184"/>
      <c r="P724" s="1184"/>
      <c r="Q724" s="1184"/>
      <c r="R724" s="1184"/>
      <c r="S724" s="1184"/>
      <c r="T724" s="1184"/>
      <c r="U724" s="1184"/>
      <c r="V724" s="1184"/>
      <c r="W724" s="1184"/>
      <c r="X724" s="1184"/>
      <c r="Y724" s="1184"/>
      <c r="Z724" s="1184"/>
    </row>
    <row r="725" spans="1:26" ht="15.5">
      <c r="A725" s="1184"/>
      <c r="B725" s="1184"/>
      <c r="C725" s="1184"/>
      <c r="D725" s="1184"/>
      <c r="E725" s="1184"/>
      <c r="F725" s="1184"/>
      <c r="G725" s="1184"/>
      <c r="H725" s="1184"/>
      <c r="I725" s="1184"/>
      <c r="J725" s="1184"/>
      <c r="K725" s="1184"/>
      <c r="L725" s="1184"/>
      <c r="M725" s="1184"/>
      <c r="N725" s="1184"/>
      <c r="O725" s="1184"/>
      <c r="P725" s="1184"/>
      <c r="Q725" s="1184"/>
      <c r="R725" s="1184"/>
      <c r="S725" s="1184"/>
      <c r="T725" s="1184"/>
      <c r="U725" s="1184"/>
      <c r="V725" s="1184"/>
      <c r="W725" s="1184"/>
      <c r="X725" s="1184"/>
      <c r="Y725" s="1184"/>
      <c r="Z725" s="1184"/>
    </row>
    <row r="726" spans="1:26" ht="15.5">
      <c r="A726" s="1184"/>
      <c r="B726" s="1184"/>
      <c r="C726" s="1184"/>
      <c r="D726" s="1184"/>
      <c r="E726" s="1184"/>
      <c r="F726" s="1184"/>
      <c r="G726" s="1184"/>
      <c r="H726" s="1184"/>
      <c r="I726" s="1184"/>
      <c r="J726" s="1184"/>
      <c r="K726" s="1184"/>
      <c r="L726" s="1184"/>
      <c r="M726" s="1184"/>
      <c r="N726" s="1184"/>
      <c r="O726" s="1184"/>
      <c r="P726" s="1184"/>
      <c r="Q726" s="1184"/>
      <c r="R726" s="1184"/>
      <c r="S726" s="1184"/>
      <c r="T726" s="1184"/>
      <c r="U726" s="1184"/>
      <c r="V726" s="1184"/>
      <c r="W726" s="1184"/>
      <c r="X726" s="1184"/>
      <c r="Y726" s="1184"/>
      <c r="Z726" s="1184"/>
    </row>
    <row r="727" spans="1:26" ht="15.5">
      <c r="A727" s="1184"/>
      <c r="B727" s="1184"/>
      <c r="C727" s="1184"/>
      <c r="D727" s="1184"/>
      <c r="E727" s="1184"/>
      <c r="F727" s="1184"/>
      <c r="G727" s="1184"/>
      <c r="H727" s="1184"/>
      <c r="I727" s="1184"/>
      <c r="J727" s="1184"/>
      <c r="K727" s="1184"/>
      <c r="L727" s="1184"/>
      <c r="M727" s="1184"/>
      <c r="N727" s="1184"/>
      <c r="O727" s="1184"/>
      <c r="P727" s="1184"/>
      <c r="Q727" s="1184"/>
      <c r="R727" s="1184"/>
      <c r="S727" s="1184"/>
      <c r="T727" s="1184"/>
      <c r="U727" s="1184"/>
      <c r="V727" s="1184"/>
      <c r="W727" s="1184"/>
      <c r="X727" s="1184"/>
      <c r="Y727" s="1184"/>
      <c r="Z727" s="1184"/>
    </row>
    <row r="728" spans="1:26" ht="15.5">
      <c r="A728" s="1184"/>
      <c r="B728" s="1184"/>
      <c r="C728" s="1184"/>
      <c r="D728" s="1184"/>
      <c r="E728" s="1184"/>
      <c r="F728" s="1184"/>
      <c r="G728" s="1184"/>
      <c r="H728" s="1184"/>
      <c r="I728" s="1184"/>
      <c r="J728" s="1184"/>
      <c r="K728" s="1184"/>
      <c r="L728" s="1184"/>
      <c r="M728" s="1184"/>
      <c r="N728" s="1184"/>
      <c r="O728" s="1184"/>
      <c r="P728" s="1184"/>
      <c r="Q728" s="1184"/>
      <c r="R728" s="1184"/>
      <c r="S728" s="1184"/>
      <c r="T728" s="1184"/>
      <c r="U728" s="1184"/>
      <c r="V728" s="1184"/>
      <c r="W728" s="1184"/>
      <c r="X728" s="1184"/>
      <c r="Y728" s="1184"/>
      <c r="Z728" s="1184"/>
    </row>
    <row r="729" spans="1:26" ht="15.5">
      <c r="A729" s="1184"/>
      <c r="B729" s="1184"/>
      <c r="C729" s="1184"/>
      <c r="D729" s="1184"/>
      <c r="E729" s="1184"/>
      <c r="F729" s="1184"/>
      <c r="G729" s="1184"/>
      <c r="H729" s="1184"/>
      <c r="I729" s="1184"/>
      <c r="J729" s="1184"/>
      <c r="K729" s="1184"/>
      <c r="L729" s="1184"/>
      <c r="M729" s="1184"/>
      <c r="N729" s="1184"/>
      <c r="O729" s="1184"/>
      <c r="P729" s="1184"/>
      <c r="Q729" s="1184"/>
      <c r="R729" s="1184"/>
      <c r="S729" s="1184"/>
      <c r="T729" s="1184"/>
      <c r="U729" s="1184"/>
      <c r="V729" s="1184"/>
      <c r="W729" s="1184"/>
      <c r="X729" s="1184"/>
      <c r="Y729" s="1184"/>
      <c r="Z729" s="1184"/>
    </row>
    <row r="730" spans="1:26" ht="15.5">
      <c r="A730" s="1184"/>
      <c r="B730" s="1184"/>
      <c r="C730" s="1184"/>
      <c r="D730" s="1184"/>
      <c r="E730" s="1184"/>
      <c r="F730" s="1184"/>
      <c r="G730" s="1184"/>
      <c r="H730" s="1184"/>
      <c r="I730" s="1184"/>
      <c r="J730" s="1184"/>
      <c r="K730" s="1184"/>
      <c r="L730" s="1184"/>
      <c r="M730" s="1184"/>
      <c r="N730" s="1184"/>
      <c r="O730" s="1184"/>
      <c r="P730" s="1184"/>
      <c r="Q730" s="1184"/>
      <c r="R730" s="1184"/>
      <c r="S730" s="1184"/>
      <c r="T730" s="1184"/>
      <c r="U730" s="1184"/>
      <c r="V730" s="1184"/>
      <c r="W730" s="1184"/>
      <c r="X730" s="1184"/>
      <c r="Y730" s="1184"/>
      <c r="Z730" s="1184"/>
    </row>
    <row r="731" spans="1:26" ht="15.5">
      <c r="A731" s="1184"/>
      <c r="B731" s="1184"/>
      <c r="C731" s="1184"/>
      <c r="D731" s="1184"/>
      <c r="E731" s="1184"/>
      <c r="F731" s="1184"/>
      <c r="G731" s="1184"/>
      <c r="H731" s="1184"/>
      <c r="I731" s="1184"/>
      <c r="J731" s="1184"/>
      <c r="K731" s="1184"/>
      <c r="L731" s="1184"/>
      <c r="M731" s="1184"/>
      <c r="N731" s="1184"/>
      <c r="O731" s="1184"/>
      <c r="P731" s="1184"/>
      <c r="Q731" s="1184"/>
      <c r="R731" s="1184"/>
      <c r="S731" s="1184"/>
      <c r="T731" s="1184"/>
      <c r="U731" s="1184"/>
      <c r="V731" s="1184"/>
      <c r="W731" s="1184"/>
      <c r="X731" s="1184"/>
      <c r="Y731" s="1184"/>
      <c r="Z731" s="1184"/>
    </row>
    <row r="732" spans="1:26" ht="15.5">
      <c r="A732" s="1184"/>
      <c r="B732" s="1184"/>
      <c r="C732" s="1184"/>
      <c r="D732" s="1184"/>
      <c r="E732" s="1184"/>
      <c r="F732" s="1184"/>
      <c r="G732" s="1184"/>
      <c r="H732" s="1184"/>
      <c r="I732" s="1184"/>
      <c r="J732" s="1184"/>
      <c r="K732" s="1184"/>
      <c r="L732" s="1184"/>
      <c r="M732" s="1184"/>
      <c r="N732" s="1184"/>
      <c r="O732" s="1184"/>
      <c r="P732" s="1184"/>
      <c r="Q732" s="1184"/>
      <c r="R732" s="1184"/>
      <c r="S732" s="1184"/>
      <c r="T732" s="1184"/>
      <c r="U732" s="1184"/>
      <c r="V732" s="1184"/>
      <c r="W732" s="1184"/>
      <c r="X732" s="1184"/>
      <c r="Y732" s="1184"/>
      <c r="Z732" s="1184"/>
    </row>
    <row r="733" spans="1:26" ht="15.5">
      <c r="A733" s="1184"/>
      <c r="B733" s="1184"/>
      <c r="C733" s="1184"/>
      <c r="D733" s="1184"/>
      <c r="E733" s="1184"/>
      <c r="F733" s="1184"/>
      <c r="G733" s="1184"/>
      <c r="H733" s="1184"/>
      <c r="I733" s="1184"/>
      <c r="J733" s="1184"/>
      <c r="K733" s="1184"/>
      <c r="L733" s="1184"/>
      <c r="M733" s="1184"/>
      <c r="N733" s="1184"/>
      <c r="O733" s="1184"/>
      <c r="P733" s="1184"/>
      <c r="Q733" s="1184"/>
      <c r="R733" s="1184"/>
      <c r="S733" s="1184"/>
      <c r="T733" s="1184"/>
      <c r="U733" s="1184"/>
      <c r="V733" s="1184"/>
      <c r="W733" s="1184"/>
      <c r="X733" s="1184"/>
      <c r="Y733" s="1184"/>
      <c r="Z733" s="1184"/>
    </row>
    <row r="734" spans="1:26" ht="15.5">
      <c r="A734" s="1184"/>
      <c r="B734" s="1184"/>
      <c r="C734" s="1184"/>
      <c r="D734" s="1184"/>
      <c r="E734" s="1184"/>
      <c r="F734" s="1184"/>
      <c r="G734" s="1184"/>
      <c r="H734" s="1184"/>
      <c r="I734" s="1184"/>
      <c r="J734" s="1184"/>
      <c r="K734" s="1184"/>
      <c r="L734" s="1184"/>
      <c r="M734" s="1184"/>
      <c r="N734" s="1184"/>
      <c r="O734" s="1184"/>
      <c r="P734" s="1184"/>
      <c r="Q734" s="1184"/>
      <c r="R734" s="1184"/>
      <c r="S734" s="1184"/>
      <c r="T734" s="1184"/>
      <c r="U734" s="1184"/>
      <c r="V734" s="1184"/>
      <c r="W734" s="1184"/>
      <c r="X734" s="1184"/>
      <c r="Y734" s="1184"/>
      <c r="Z734" s="1184"/>
    </row>
    <row r="735" spans="1:26" ht="15.5">
      <c r="A735" s="1184"/>
      <c r="B735" s="1184"/>
      <c r="C735" s="1184"/>
      <c r="D735" s="1184"/>
      <c r="E735" s="1184"/>
      <c r="F735" s="1184"/>
      <c r="G735" s="1184"/>
      <c r="H735" s="1184"/>
      <c r="I735" s="1184"/>
      <c r="J735" s="1184"/>
      <c r="K735" s="1184"/>
      <c r="L735" s="1184"/>
      <c r="M735" s="1184"/>
      <c r="N735" s="1184"/>
      <c r="O735" s="1184"/>
      <c r="P735" s="1184"/>
      <c r="Q735" s="1184"/>
      <c r="R735" s="1184"/>
      <c r="S735" s="1184"/>
      <c r="T735" s="1184"/>
      <c r="U735" s="1184"/>
      <c r="V735" s="1184"/>
      <c r="W735" s="1184"/>
      <c r="X735" s="1184"/>
      <c r="Y735" s="1184"/>
      <c r="Z735" s="1184"/>
    </row>
    <row r="736" spans="1:26" ht="15.5">
      <c r="A736" s="1184"/>
      <c r="B736" s="1184"/>
      <c r="C736" s="1184"/>
      <c r="D736" s="1184"/>
      <c r="E736" s="1184"/>
      <c r="F736" s="1184"/>
      <c r="G736" s="1184"/>
      <c r="H736" s="1184"/>
      <c r="I736" s="1184"/>
      <c r="J736" s="1184"/>
      <c r="K736" s="1184"/>
      <c r="L736" s="1184"/>
      <c r="M736" s="1184"/>
      <c r="N736" s="1184"/>
      <c r="O736" s="1184"/>
      <c r="P736" s="1184"/>
      <c r="Q736" s="1184"/>
      <c r="R736" s="1184"/>
      <c r="S736" s="1184"/>
      <c r="T736" s="1184"/>
      <c r="U736" s="1184"/>
      <c r="V736" s="1184"/>
      <c r="W736" s="1184"/>
      <c r="X736" s="1184"/>
      <c r="Y736" s="1184"/>
      <c r="Z736" s="1184"/>
    </row>
    <row r="737" spans="1:26" ht="15.5">
      <c r="A737" s="1184"/>
      <c r="B737" s="1184"/>
      <c r="C737" s="1184"/>
      <c r="D737" s="1184"/>
      <c r="E737" s="1184"/>
      <c r="F737" s="1184"/>
      <c r="G737" s="1184"/>
      <c r="H737" s="1184"/>
      <c r="I737" s="1184"/>
      <c r="J737" s="1184"/>
      <c r="K737" s="1184"/>
      <c r="L737" s="1184"/>
      <c r="M737" s="1184"/>
      <c r="N737" s="1184"/>
      <c r="O737" s="1184"/>
      <c r="P737" s="1184"/>
      <c r="Q737" s="1184"/>
      <c r="R737" s="1184"/>
      <c r="S737" s="1184"/>
      <c r="T737" s="1184"/>
      <c r="U737" s="1184"/>
      <c r="V737" s="1184"/>
      <c r="W737" s="1184"/>
      <c r="X737" s="1184"/>
      <c r="Y737" s="1184"/>
      <c r="Z737" s="1184"/>
    </row>
    <row r="738" spans="1:26" ht="15.5">
      <c r="A738" s="1184"/>
      <c r="B738" s="1184"/>
      <c r="C738" s="1184"/>
      <c r="D738" s="1184"/>
      <c r="E738" s="1184"/>
      <c r="F738" s="1184"/>
      <c r="G738" s="1184"/>
      <c r="H738" s="1184"/>
      <c r="I738" s="1184"/>
      <c r="J738" s="1184"/>
      <c r="K738" s="1184"/>
      <c r="L738" s="1184"/>
      <c r="M738" s="1184"/>
      <c r="N738" s="1184"/>
      <c r="O738" s="1184"/>
      <c r="P738" s="1184"/>
      <c r="Q738" s="1184"/>
      <c r="R738" s="1184"/>
      <c r="S738" s="1184"/>
      <c r="T738" s="1184"/>
      <c r="U738" s="1184"/>
      <c r="V738" s="1184"/>
      <c r="W738" s="1184"/>
      <c r="X738" s="1184"/>
      <c r="Y738" s="1184"/>
      <c r="Z738" s="1184"/>
    </row>
    <row r="739" spans="1:26" ht="15.5">
      <c r="A739" s="1184"/>
      <c r="B739" s="1184"/>
      <c r="C739" s="1184"/>
      <c r="D739" s="1184"/>
      <c r="E739" s="1184"/>
      <c r="F739" s="1184"/>
      <c r="G739" s="1184"/>
      <c r="H739" s="1184"/>
      <c r="I739" s="1184"/>
      <c r="J739" s="1184"/>
      <c r="K739" s="1184"/>
      <c r="L739" s="1184"/>
      <c r="M739" s="1184"/>
      <c r="N739" s="1184"/>
      <c r="O739" s="1184"/>
      <c r="P739" s="1184"/>
      <c r="Q739" s="1184"/>
      <c r="R739" s="1184"/>
      <c r="S739" s="1184"/>
      <c r="T739" s="1184"/>
      <c r="U739" s="1184"/>
      <c r="V739" s="1184"/>
      <c r="W739" s="1184"/>
      <c r="X739" s="1184"/>
      <c r="Y739" s="1184"/>
      <c r="Z739" s="1184"/>
    </row>
    <row r="740" spans="1:26" ht="15.5">
      <c r="A740" s="1184"/>
      <c r="B740" s="1184"/>
      <c r="C740" s="1184"/>
      <c r="D740" s="1184"/>
      <c r="E740" s="1184"/>
      <c r="F740" s="1184"/>
      <c r="G740" s="1184"/>
      <c r="H740" s="1184"/>
      <c r="I740" s="1184"/>
      <c r="J740" s="1184"/>
      <c r="K740" s="1184"/>
      <c r="L740" s="1184"/>
      <c r="M740" s="1184"/>
      <c r="N740" s="1184"/>
      <c r="O740" s="1184"/>
      <c r="P740" s="1184"/>
      <c r="Q740" s="1184"/>
      <c r="R740" s="1184"/>
      <c r="S740" s="1184"/>
      <c r="T740" s="1184"/>
      <c r="U740" s="1184"/>
      <c r="V740" s="1184"/>
      <c r="W740" s="1184"/>
      <c r="X740" s="1184"/>
      <c r="Y740" s="1184"/>
      <c r="Z740" s="1184"/>
    </row>
    <row r="741" spans="1:26" ht="15.5">
      <c r="A741" s="1184"/>
      <c r="B741" s="1184"/>
      <c r="C741" s="1184"/>
      <c r="D741" s="1184"/>
      <c r="E741" s="1184"/>
      <c r="F741" s="1184"/>
      <c r="G741" s="1184"/>
      <c r="H741" s="1184"/>
      <c r="I741" s="1184"/>
      <c r="J741" s="1184"/>
      <c r="K741" s="1184"/>
      <c r="L741" s="1184"/>
      <c r="M741" s="1184"/>
      <c r="N741" s="1184"/>
      <c r="O741" s="1184"/>
      <c r="P741" s="1184"/>
      <c r="Q741" s="1184"/>
      <c r="R741" s="1184"/>
      <c r="S741" s="1184"/>
      <c r="T741" s="1184"/>
      <c r="U741" s="1184"/>
      <c r="V741" s="1184"/>
      <c r="W741" s="1184"/>
      <c r="X741" s="1184"/>
      <c r="Y741" s="1184"/>
      <c r="Z741" s="1184"/>
    </row>
    <row r="742" spans="1:26" ht="15.5">
      <c r="A742" s="1184"/>
      <c r="B742" s="1184"/>
      <c r="C742" s="1184"/>
      <c r="D742" s="1184"/>
      <c r="E742" s="1184"/>
      <c r="F742" s="1184"/>
      <c r="G742" s="1184"/>
      <c r="H742" s="1184"/>
      <c r="I742" s="1184"/>
      <c r="J742" s="1184"/>
      <c r="K742" s="1184"/>
      <c r="L742" s="1184"/>
      <c r="M742" s="1184"/>
      <c r="N742" s="1184"/>
      <c r="O742" s="1184"/>
      <c r="P742" s="1184"/>
      <c r="Q742" s="1184"/>
      <c r="R742" s="1184"/>
      <c r="S742" s="1184"/>
      <c r="T742" s="1184"/>
      <c r="U742" s="1184"/>
      <c r="V742" s="1184"/>
      <c r="W742" s="1184"/>
      <c r="X742" s="1184"/>
      <c r="Y742" s="1184"/>
      <c r="Z742" s="1184"/>
    </row>
    <row r="743" spans="1:26" ht="15.5">
      <c r="A743" s="1184"/>
      <c r="B743" s="1184"/>
      <c r="C743" s="1184"/>
      <c r="D743" s="1184"/>
      <c r="E743" s="1184"/>
      <c r="F743" s="1184"/>
      <c r="G743" s="1184"/>
      <c r="H743" s="1184"/>
      <c r="I743" s="1184"/>
      <c r="J743" s="1184"/>
      <c r="K743" s="1184"/>
      <c r="L743" s="1184"/>
      <c r="M743" s="1184"/>
      <c r="N743" s="1184"/>
      <c r="O743" s="1184"/>
      <c r="P743" s="1184"/>
      <c r="Q743" s="1184"/>
      <c r="R743" s="1184"/>
      <c r="S743" s="1184"/>
      <c r="T743" s="1184"/>
      <c r="U743" s="1184"/>
      <c r="V743" s="1184"/>
      <c r="W743" s="1184"/>
      <c r="X743" s="1184"/>
      <c r="Y743" s="1184"/>
      <c r="Z743" s="1184"/>
    </row>
    <row r="744" spans="1:26" ht="15.5">
      <c r="A744" s="1184"/>
      <c r="B744" s="1184"/>
      <c r="C744" s="1184"/>
      <c r="D744" s="1184"/>
      <c r="E744" s="1184"/>
      <c r="F744" s="1184"/>
      <c r="G744" s="1184"/>
      <c r="H744" s="1184"/>
      <c r="I744" s="1184"/>
      <c r="J744" s="1184"/>
      <c r="K744" s="1184"/>
      <c r="L744" s="1184"/>
      <c r="M744" s="1184"/>
      <c r="N744" s="1184"/>
      <c r="O744" s="1184"/>
      <c r="P744" s="1184"/>
      <c r="Q744" s="1184"/>
      <c r="R744" s="1184"/>
      <c r="S744" s="1184"/>
      <c r="T744" s="1184"/>
      <c r="U744" s="1184"/>
      <c r="V744" s="1184"/>
      <c r="W744" s="1184"/>
      <c r="X744" s="1184"/>
      <c r="Y744" s="1184"/>
      <c r="Z744" s="1184"/>
    </row>
    <row r="745" spans="1:26" ht="15.5">
      <c r="A745" s="1184"/>
      <c r="B745" s="1184"/>
      <c r="C745" s="1184"/>
      <c r="D745" s="1184"/>
      <c r="E745" s="1184"/>
      <c r="F745" s="1184"/>
      <c r="G745" s="1184"/>
      <c r="H745" s="1184"/>
      <c r="I745" s="1184"/>
      <c r="J745" s="1184"/>
      <c r="K745" s="1184"/>
      <c r="L745" s="1184"/>
      <c r="M745" s="1184"/>
      <c r="N745" s="1184"/>
      <c r="O745" s="1184"/>
      <c r="P745" s="1184"/>
      <c r="Q745" s="1184"/>
      <c r="R745" s="1184"/>
      <c r="S745" s="1184"/>
      <c r="T745" s="1184"/>
      <c r="U745" s="1184"/>
      <c r="V745" s="1184"/>
      <c r="W745" s="1184"/>
      <c r="X745" s="1184"/>
      <c r="Y745" s="1184"/>
      <c r="Z745" s="1184"/>
    </row>
    <row r="746" spans="1:26" ht="15.5">
      <c r="A746" s="1184"/>
      <c r="B746" s="1184"/>
      <c r="C746" s="1184"/>
      <c r="D746" s="1184"/>
      <c r="E746" s="1184"/>
      <c r="F746" s="1184"/>
      <c r="G746" s="1184"/>
      <c r="H746" s="1184"/>
      <c r="I746" s="1184"/>
      <c r="J746" s="1184"/>
      <c r="K746" s="1184"/>
      <c r="L746" s="1184"/>
      <c r="M746" s="1184"/>
      <c r="N746" s="1184"/>
      <c r="O746" s="1184"/>
      <c r="P746" s="1184"/>
      <c r="Q746" s="1184"/>
      <c r="R746" s="1184"/>
      <c r="S746" s="1184"/>
      <c r="T746" s="1184"/>
      <c r="U746" s="1184"/>
      <c r="V746" s="1184"/>
      <c r="W746" s="1184"/>
      <c r="X746" s="1184"/>
      <c r="Y746" s="1184"/>
      <c r="Z746" s="1184"/>
    </row>
    <row r="747" spans="1:26" ht="15.5">
      <c r="A747" s="1184"/>
      <c r="B747" s="1184"/>
      <c r="C747" s="1184"/>
      <c r="D747" s="1184"/>
      <c r="E747" s="1184"/>
      <c r="F747" s="1184"/>
      <c r="G747" s="1184"/>
      <c r="H747" s="1184"/>
      <c r="I747" s="1184"/>
      <c r="J747" s="1184"/>
      <c r="K747" s="1184"/>
      <c r="L747" s="1184"/>
      <c r="M747" s="1184"/>
      <c r="N747" s="1184"/>
      <c r="O747" s="1184"/>
      <c r="P747" s="1184"/>
      <c r="Q747" s="1184"/>
      <c r="R747" s="1184"/>
      <c r="S747" s="1184"/>
      <c r="T747" s="1184"/>
      <c r="U747" s="1184"/>
      <c r="V747" s="1184"/>
      <c r="W747" s="1184"/>
      <c r="X747" s="1184"/>
      <c r="Y747" s="1184"/>
      <c r="Z747" s="1184"/>
    </row>
    <row r="748" spans="1:26" ht="15.5">
      <c r="A748" s="1184"/>
      <c r="B748" s="1184"/>
      <c r="C748" s="1184"/>
      <c r="D748" s="1184"/>
      <c r="E748" s="1184"/>
      <c r="F748" s="1184"/>
      <c r="G748" s="1184"/>
      <c r="H748" s="1184"/>
      <c r="I748" s="1184"/>
      <c r="J748" s="1184"/>
      <c r="K748" s="1184"/>
      <c r="L748" s="1184"/>
      <c r="M748" s="1184"/>
      <c r="N748" s="1184"/>
      <c r="O748" s="1184"/>
      <c r="P748" s="1184"/>
      <c r="Q748" s="1184"/>
      <c r="R748" s="1184"/>
      <c r="S748" s="1184"/>
      <c r="T748" s="1184"/>
      <c r="U748" s="1184"/>
      <c r="V748" s="1184"/>
      <c r="W748" s="1184"/>
      <c r="X748" s="1184"/>
      <c r="Y748" s="1184"/>
      <c r="Z748" s="1184"/>
    </row>
    <row r="749" spans="1:26" ht="15.5">
      <c r="A749" s="1184"/>
      <c r="B749" s="1184"/>
      <c r="C749" s="1184"/>
      <c r="D749" s="1184"/>
      <c r="E749" s="1184"/>
      <c r="F749" s="1184"/>
      <c r="G749" s="1184"/>
      <c r="H749" s="1184"/>
      <c r="I749" s="1184"/>
      <c r="J749" s="1184"/>
      <c r="K749" s="1184"/>
      <c r="L749" s="1184"/>
      <c r="M749" s="1184"/>
      <c r="N749" s="1184"/>
      <c r="O749" s="1184"/>
      <c r="P749" s="1184"/>
      <c r="Q749" s="1184"/>
      <c r="R749" s="1184"/>
      <c r="S749" s="1184"/>
      <c r="T749" s="1184"/>
      <c r="U749" s="1184"/>
      <c r="V749" s="1184"/>
      <c r="W749" s="1184"/>
      <c r="X749" s="1184"/>
      <c r="Y749" s="1184"/>
      <c r="Z749" s="1184"/>
    </row>
    <row r="750" spans="1:26" ht="15.5">
      <c r="A750" s="1184"/>
      <c r="B750" s="1184"/>
      <c r="C750" s="1184"/>
      <c r="D750" s="1184"/>
      <c r="E750" s="1184"/>
      <c r="F750" s="1184"/>
      <c r="G750" s="1184"/>
      <c r="H750" s="1184"/>
      <c r="I750" s="1184"/>
      <c r="J750" s="1184"/>
      <c r="K750" s="1184"/>
      <c r="L750" s="1184"/>
      <c r="M750" s="1184"/>
      <c r="N750" s="1184"/>
      <c r="O750" s="1184"/>
      <c r="P750" s="1184"/>
      <c r="Q750" s="1184"/>
      <c r="R750" s="1184"/>
      <c r="S750" s="1184"/>
      <c r="T750" s="1184"/>
      <c r="U750" s="1184"/>
      <c r="V750" s="1184"/>
      <c r="W750" s="1184"/>
      <c r="X750" s="1184"/>
      <c r="Y750" s="1184"/>
      <c r="Z750" s="1184"/>
    </row>
    <row r="751" spans="1:26" ht="15.5">
      <c r="A751" s="1184"/>
      <c r="B751" s="1184"/>
      <c r="C751" s="1184"/>
      <c r="D751" s="1184"/>
      <c r="E751" s="1184"/>
      <c r="F751" s="1184"/>
      <c r="G751" s="1184"/>
      <c r="H751" s="1184"/>
      <c r="I751" s="1184"/>
      <c r="J751" s="1184"/>
      <c r="K751" s="1184"/>
      <c r="L751" s="1184"/>
      <c r="M751" s="1184"/>
      <c r="N751" s="1184"/>
      <c r="O751" s="1184"/>
      <c r="P751" s="1184"/>
      <c r="Q751" s="1184"/>
      <c r="R751" s="1184"/>
      <c r="S751" s="1184"/>
      <c r="T751" s="1184"/>
      <c r="U751" s="1184"/>
      <c r="V751" s="1184"/>
      <c r="W751" s="1184"/>
      <c r="X751" s="1184"/>
      <c r="Y751" s="1184"/>
      <c r="Z751" s="1184"/>
    </row>
    <row r="752" spans="1:26" ht="15.5">
      <c r="A752" s="1184"/>
      <c r="B752" s="1184"/>
      <c r="C752" s="1184"/>
      <c r="D752" s="1184"/>
      <c r="E752" s="1184"/>
      <c r="F752" s="1184"/>
      <c r="G752" s="1184"/>
      <c r="H752" s="1184"/>
      <c r="I752" s="1184"/>
      <c r="J752" s="1184"/>
      <c r="K752" s="1184"/>
      <c r="L752" s="1184"/>
      <c r="M752" s="1184"/>
      <c r="N752" s="1184"/>
      <c r="O752" s="1184"/>
      <c r="P752" s="1184"/>
      <c r="Q752" s="1184"/>
      <c r="R752" s="1184"/>
      <c r="S752" s="1184"/>
      <c r="T752" s="1184"/>
      <c r="U752" s="1184"/>
      <c r="V752" s="1184"/>
      <c r="W752" s="1184"/>
      <c r="X752" s="1184"/>
      <c r="Y752" s="1184"/>
      <c r="Z752" s="1184"/>
    </row>
    <row r="753" spans="1:26" ht="15.5">
      <c r="A753" s="1184"/>
      <c r="B753" s="1184"/>
      <c r="C753" s="1184"/>
      <c r="D753" s="1184"/>
      <c r="E753" s="1184"/>
      <c r="F753" s="1184"/>
      <c r="G753" s="1184"/>
      <c r="H753" s="1184"/>
      <c r="I753" s="1184"/>
      <c r="J753" s="1184"/>
      <c r="K753" s="1184"/>
      <c r="L753" s="1184"/>
      <c r="M753" s="1184"/>
      <c r="N753" s="1184"/>
      <c r="O753" s="1184"/>
      <c r="P753" s="1184"/>
      <c r="Q753" s="1184"/>
      <c r="R753" s="1184"/>
      <c r="S753" s="1184"/>
      <c r="T753" s="1184"/>
      <c r="U753" s="1184"/>
      <c r="V753" s="1184"/>
      <c r="W753" s="1184"/>
      <c r="X753" s="1184"/>
      <c r="Y753" s="1184"/>
      <c r="Z753" s="1184"/>
    </row>
    <row r="754" spans="1:26" ht="15.5">
      <c r="A754" s="1184"/>
      <c r="B754" s="1184"/>
      <c r="C754" s="1184"/>
      <c r="D754" s="1184"/>
      <c r="E754" s="1184"/>
      <c r="F754" s="1184"/>
      <c r="G754" s="1184"/>
      <c r="H754" s="1184"/>
      <c r="I754" s="1184"/>
      <c r="J754" s="1184"/>
      <c r="K754" s="1184"/>
      <c r="L754" s="1184"/>
      <c r="M754" s="1184"/>
      <c r="N754" s="1184"/>
      <c r="O754" s="1184"/>
      <c r="P754" s="1184"/>
      <c r="Q754" s="1184"/>
      <c r="R754" s="1184"/>
      <c r="S754" s="1184"/>
      <c r="T754" s="1184"/>
      <c r="U754" s="1184"/>
      <c r="V754" s="1184"/>
      <c r="W754" s="1184"/>
      <c r="X754" s="1184"/>
      <c r="Y754" s="1184"/>
      <c r="Z754" s="1184"/>
    </row>
    <row r="755" spans="1:26" ht="15.5">
      <c r="A755" s="1184"/>
      <c r="B755" s="1184"/>
      <c r="C755" s="1184"/>
      <c r="D755" s="1184"/>
      <c r="E755" s="1184"/>
      <c r="F755" s="1184"/>
      <c r="G755" s="1184"/>
      <c r="H755" s="1184"/>
      <c r="I755" s="1184"/>
      <c r="J755" s="1184"/>
      <c r="K755" s="1184"/>
      <c r="L755" s="1184"/>
      <c r="M755" s="1184"/>
      <c r="N755" s="1184"/>
      <c r="O755" s="1184"/>
      <c r="P755" s="1184"/>
      <c r="Q755" s="1184"/>
      <c r="R755" s="1184"/>
      <c r="S755" s="1184"/>
      <c r="T755" s="1184"/>
      <c r="U755" s="1184"/>
      <c r="V755" s="1184"/>
      <c r="W755" s="1184"/>
      <c r="X755" s="1184"/>
      <c r="Y755" s="1184"/>
      <c r="Z755" s="1184"/>
    </row>
    <row r="756" spans="1:26" ht="15.5">
      <c r="A756" s="1184"/>
      <c r="B756" s="1184"/>
      <c r="C756" s="1184"/>
      <c r="D756" s="1184"/>
      <c r="E756" s="1184"/>
      <c r="F756" s="1184"/>
      <c r="G756" s="1184"/>
      <c r="H756" s="1184"/>
      <c r="I756" s="1184"/>
      <c r="J756" s="1184"/>
      <c r="K756" s="1184"/>
      <c r="L756" s="1184"/>
      <c r="M756" s="1184"/>
      <c r="N756" s="1184"/>
      <c r="O756" s="1184"/>
      <c r="P756" s="1184"/>
      <c r="Q756" s="1184"/>
      <c r="R756" s="1184"/>
      <c r="S756" s="1184"/>
      <c r="T756" s="1184"/>
      <c r="U756" s="1184"/>
      <c r="V756" s="1184"/>
      <c r="W756" s="1184"/>
      <c r="X756" s="1184"/>
      <c r="Y756" s="1184"/>
      <c r="Z756" s="1184"/>
    </row>
    <row r="757" spans="1:26" ht="15.5">
      <c r="A757" s="1184"/>
      <c r="B757" s="1184"/>
      <c r="C757" s="1184"/>
      <c r="D757" s="1184"/>
      <c r="E757" s="1184"/>
      <c r="F757" s="1184"/>
      <c r="G757" s="1184"/>
      <c r="H757" s="1184"/>
      <c r="I757" s="1184"/>
      <c r="J757" s="1184"/>
      <c r="K757" s="1184"/>
      <c r="L757" s="1184"/>
      <c r="M757" s="1184"/>
      <c r="N757" s="1184"/>
      <c r="O757" s="1184"/>
      <c r="P757" s="1184"/>
      <c r="Q757" s="1184"/>
      <c r="R757" s="1184"/>
      <c r="S757" s="1184"/>
      <c r="T757" s="1184"/>
      <c r="U757" s="1184"/>
      <c r="V757" s="1184"/>
      <c r="W757" s="1184"/>
      <c r="X757" s="1184"/>
      <c r="Y757" s="1184"/>
      <c r="Z757" s="1184"/>
    </row>
    <row r="758" spans="1:26" ht="15.5">
      <c r="A758" s="1184"/>
      <c r="B758" s="1184"/>
      <c r="C758" s="1184"/>
      <c r="D758" s="1184"/>
      <c r="E758" s="1184"/>
      <c r="F758" s="1184"/>
      <c r="G758" s="1184"/>
      <c r="H758" s="1184"/>
      <c r="I758" s="1184"/>
      <c r="J758" s="1184"/>
      <c r="K758" s="1184"/>
      <c r="L758" s="1184"/>
      <c r="M758" s="1184"/>
      <c r="N758" s="1184"/>
      <c r="O758" s="1184"/>
      <c r="P758" s="1184"/>
      <c r="Q758" s="1184"/>
      <c r="R758" s="1184"/>
      <c r="S758" s="1184"/>
      <c r="T758" s="1184"/>
      <c r="U758" s="1184"/>
      <c r="V758" s="1184"/>
      <c r="W758" s="1184"/>
      <c r="X758" s="1184"/>
      <c r="Y758" s="1184"/>
      <c r="Z758" s="1184"/>
    </row>
    <row r="759" spans="1:26" ht="15.5">
      <c r="A759" s="1184"/>
      <c r="B759" s="1184"/>
      <c r="C759" s="1184"/>
      <c r="D759" s="1184"/>
      <c r="E759" s="1184"/>
      <c r="F759" s="1184"/>
      <c r="G759" s="1184"/>
      <c r="H759" s="1184"/>
      <c r="I759" s="1184"/>
      <c r="J759" s="1184"/>
      <c r="K759" s="1184"/>
      <c r="L759" s="1184"/>
      <c r="M759" s="1184"/>
      <c r="N759" s="1184"/>
      <c r="O759" s="1184"/>
      <c r="P759" s="1184"/>
      <c r="Q759" s="1184"/>
      <c r="R759" s="1184"/>
      <c r="S759" s="1184"/>
      <c r="T759" s="1184"/>
      <c r="U759" s="1184"/>
      <c r="V759" s="1184"/>
      <c r="W759" s="1184"/>
      <c r="X759" s="1184"/>
      <c r="Y759" s="1184"/>
      <c r="Z759" s="1184"/>
    </row>
    <row r="760" spans="1:26" ht="15.5">
      <c r="A760" s="1184"/>
      <c r="B760" s="1184"/>
      <c r="C760" s="1184"/>
      <c r="D760" s="1184"/>
      <c r="E760" s="1184"/>
      <c r="F760" s="1184"/>
      <c r="G760" s="1184"/>
      <c r="H760" s="1184"/>
      <c r="I760" s="1184"/>
      <c r="J760" s="1184"/>
      <c r="K760" s="1184"/>
      <c r="L760" s="1184"/>
      <c r="M760" s="1184"/>
      <c r="N760" s="1184"/>
      <c r="O760" s="1184"/>
      <c r="P760" s="1184"/>
      <c r="Q760" s="1184"/>
      <c r="R760" s="1184"/>
      <c r="S760" s="1184"/>
      <c r="T760" s="1184"/>
      <c r="U760" s="1184"/>
      <c r="V760" s="1184"/>
      <c r="W760" s="1184"/>
      <c r="X760" s="1184"/>
      <c r="Y760" s="1184"/>
      <c r="Z760" s="1184"/>
    </row>
    <row r="761" spans="1:26" ht="15.5">
      <c r="A761" s="1184"/>
      <c r="B761" s="1184"/>
      <c r="C761" s="1184"/>
      <c r="D761" s="1184"/>
      <c r="E761" s="1184"/>
      <c r="F761" s="1184"/>
      <c r="G761" s="1184"/>
      <c r="H761" s="1184"/>
      <c r="I761" s="1184"/>
      <c r="J761" s="1184"/>
      <c r="K761" s="1184"/>
      <c r="L761" s="1184"/>
      <c r="M761" s="1184"/>
      <c r="N761" s="1184"/>
      <c r="O761" s="1184"/>
      <c r="P761" s="1184"/>
      <c r="Q761" s="1184"/>
      <c r="R761" s="1184"/>
      <c r="S761" s="1184"/>
      <c r="T761" s="1184"/>
      <c r="U761" s="1184"/>
      <c r="V761" s="1184"/>
      <c r="W761" s="1184"/>
      <c r="X761" s="1184"/>
      <c r="Y761" s="1184"/>
      <c r="Z761" s="1184"/>
    </row>
    <row r="762" spans="1:26" ht="15.5">
      <c r="A762" s="1184"/>
      <c r="B762" s="1184"/>
      <c r="C762" s="1184"/>
      <c r="D762" s="1184"/>
      <c r="E762" s="1184"/>
      <c r="F762" s="1184"/>
      <c r="G762" s="1184"/>
      <c r="H762" s="1184"/>
      <c r="I762" s="1184"/>
      <c r="J762" s="1184"/>
      <c r="K762" s="1184"/>
      <c r="L762" s="1184"/>
      <c r="M762" s="1184"/>
      <c r="N762" s="1184"/>
      <c r="O762" s="1184"/>
      <c r="P762" s="1184"/>
      <c r="Q762" s="1184"/>
      <c r="R762" s="1184"/>
      <c r="S762" s="1184"/>
      <c r="T762" s="1184"/>
      <c r="U762" s="1184"/>
      <c r="V762" s="1184"/>
      <c r="W762" s="1184"/>
      <c r="X762" s="1184"/>
      <c r="Y762" s="1184"/>
      <c r="Z762" s="1184"/>
    </row>
    <row r="763" spans="1:26" ht="15.5">
      <c r="A763" s="1184"/>
      <c r="B763" s="1184"/>
      <c r="C763" s="1184"/>
      <c r="D763" s="1184"/>
      <c r="E763" s="1184"/>
      <c r="F763" s="1184"/>
      <c r="G763" s="1184"/>
      <c r="H763" s="1184"/>
      <c r="I763" s="1184"/>
      <c r="J763" s="1184"/>
      <c r="K763" s="1184"/>
      <c r="L763" s="1184"/>
      <c r="M763" s="1184"/>
      <c r="N763" s="1184"/>
      <c r="O763" s="1184"/>
      <c r="P763" s="1184"/>
      <c r="Q763" s="1184"/>
      <c r="R763" s="1184"/>
      <c r="S763" s="1184"/>
      <c r="T763" s="1184"/>
      <c r="U763" s="1184"/>
      <c r="V763" s="1184"/>
      <c r="W763" s="1184"/>
      <c r="X763" s="1184"/>
      <c r="Y763" s="1184"/>
      <c r="Z763" s="1184"/>
    </row>
    <row r="764" spans="1:26" ht="15.5">
      <c r="A764" s="1184"/>
      <c r="B764" s="1184"/>
      <c r="C764" s="1184"/>
      <c r="D764" s="1184"/>
      <c r="E764" s="1184"/>
      <c r="F764" s="1184"/>
      <c r="G764" s="1184"/>
      <c r="H764" s="1184"/>
      <c r="I764" s="1184"/>
      <c r="J764" s="1184"/>
      <c r="K764" s="1184"/>
      <c r="L764" s="1184"/>
      <c r="M764" s="1184"/>
      <c r="N764" s="1184"/>
      <c r="O764" s="1184"/>
      <c r="P764" s="1184"/>
      <c r="Q764" s="1184"/>
      <c r="R764" s="1184"/>
      <c r="S764" s="1184"/>
      <c r="T764" s="1184"/>
      <c r="U764" s="1184"/>
      <c r="V764" s="1184"/>
      <c r="W764" s="1184"/>
      <c r="X764" s="1184"/>
      <c r="Y764" s="1184"/>
      <c r="Z764" s="1184"/>
    </row>
    <row r="765" spans="1:26" ht="15.5">
      <c r="A765" s="1184"/>
      <c r="B765" s="1184"/>
      <c r="C765" s="1184"/>
      <c r="D765" s="1184"/>
      <c r="E765" s="1184"/>
      <c r="F765" s="1184"/>
      <c r="G765" s="1184"/>
      <c r="H765" s="1184"/>
      <c r="I765" s="1184"/>
      <c r="J765" s="1184"/>
      <c r="K765" s="1184"/>
      <c r="L765" s="1184"/>
      <c r="M765" s="1184"/>
      <c r="N765" s="1184"/>
      <c r="O765" s="1184"/>
      <c r="P765" s="1184"/>
      <c r="Q765" s="1184"/>
      <c r="R765" s="1184"/>
      <c r="S765" s="1184"/>
      <c r="T765" s="1184"/>
      <c r="U765" s="1184"/>
      <c r="V765" s="1184"/>
      <c r="W765" s="1184"/>
      <c r="X765" s="1184"/>
      <c r="Y765" s="1184"/>
      <c r="Z765" s="1184"/>
    </row>
    <row r="766" spans="1:26" ht="15.5">
      <c r="A766" s="1184"/>
      <c r="B766" s="1184"/>
      <c r="C766" s="1184"/>
      <c r="D766" s="1184"/>
      <c r="E766" s="1184"/>
      <c r="F766" s="1184"/>
      <c r="G766" s="1184"/>
      <c r="H766" s="1184"/>
      <c r="I766" s="1184"/>
      <c r="J766" s="1184"/>
      <c r="K766" s="1184"/>
      <c r="L766" s="1184"/>
      <c r="M766" s="1184"/>
      <c r="N766" s="1184"/>
      <c r="O766" s="1184"/>
      <c r="P766" s="1184"/>
      <c r="Q766" s="1184"/>
      <c r="R766" s="1184"/>
      <c r="S766" s="1184"/>
      <c r="T766" s="1184"/>
      <c r="U766" s="1184"/>
      <c r="V766" s="1184"/>
      <c r="W766" s="1184"/>
      <c r="X766" s="1184"/>
      <c r="Y766" s="1184"/>
      <c r="Z766" s="1184"/>
    </row>
    <row r="767" spans="1:26" ht="15.5">
      <c r="A767" s="1184"/>
      <c r="B767" s="1184"/>
      <c r="C767" s="1184"/>
      <c r="D767" s="1184"/>
      <c r="E767" s="1184"/>
      <c r="F767" s="1184"/>
      <c r="G767" s="1184"/>
      <c r="H767" s="1184"/>
      <c r="I767" s="1184"/>
      <c r="J767" s="1184"/>
      <c r="K767" s="1184"/>
      <c r="L767" s="1184"/>
      <c r="M767" s="1184"/>
      <c r="N767" s="1184"/>
      <c r="O767" s="1184"/>
      <c r="P767" s="1184"/>
      <c r="Q767" s="1184"/>
      <c r="R767" s="1184"/>
      <c r="S767" s="1184"/>
      <c r="T767" s="1184"/>
      <c r="U767" s="1184"/>
      <c r="V767" s="1184"/>
      <c r="W767" s="1184"/>
      <c r="X767" s="1184"/>
      <c r="Y767" s="1184"/>
      <c r="Z767" s="1184"/>
    </row>
    <row r="768" spans="1:26" ht="15.5">
      <c r="A768" s="1184"/>
      <c r="B768" s="1184"/>
      <c r="C768" s="1184"/>
      <c r="D768" s="1184"/>
      <c r="E768" s="1184"/>
      <c r="F768" s="1184"/>
      <c r="G768" s="1184"/>
      <c r="H768" s="1184"/>
      <c r="I768" s="1184"/>
      <c r="J768" s="1184"/>
      <c r="K768" s="1184"/>
      <c r="L768" s="1184"/>
      <c r="M768" s="1184"/>
      <c r="N768" s="1184"/>
      <c r="O768" s="1184"/>
      <c r="P768" s="1184"/>
      <c r="Q768" s="1184"/>
      <c r="R768" s="1184"/>
      <c r="S768" s="1184"/>
      <c r="T768" s="1184"/>
      <c r="U768" s="1184"/>
      <c r="V768" s="1184"/>
      <c r="W768" s="1184"/>
      <c r="X768" s="1184"/>
      <c r="Y768" s="1184"/>
      <c r="Z768" s="1184"/>
    </row>
    <row r="769" spans="1:26" ht="15.5">
      <c r="A769" s="1184"/>
      <c r="B769" s="1184"/>
      <c r="C769" s="1184"/>
      <c r="D769" s="1184"/>
      <c r="E769" s="1184"/>
      <c r="F769" s="1184"/>
      <c r="G769" s="1184"/>
      <c r="H769" s="1184"/>
      <c r="I769" s="1184"/>
      <c r="J769" s="1184"/>
      <c r="K769" s="1184"/>
      <c r="L769" s="1184"/>
      <c r="M769" s="1184"/>
      <c r="N769" s="1184"/>
      <c r="O769" s="1184"/>
      <c r="P769" s="1184"/>
      <c r="Q769" s="1184"/>
      <c r="R769" s="1184"/>
      <c r="S769" s="1184"/>
      <c r="T769" s="1184"/>
      <c r="U769" s="1184"/>
      <c r="V769" s="1184"/>
      <c r="W769" s="1184"/>
      <c r="X769" s="1184"/>
      <c r="Y769" s="1184"/>
      <c r="Z769" s="1184"/>
    </row>
    <row r="770" spans="1:26" ht="15.5">
      <c r="A770" s="1184"/>
      <c r="B770" s="1184"/>
      <c r="C770" s="1184"/>
      <c r="D770" s="1184"/>
      <c r="E770" s="1184"/>
      <c r="F770" s="1184"/>
      <c r="G770" s="1184"/>
      <c r="H770" s="1184"/>
      <c r="I770" s="1184"/>
      <c r="J770" s="1184"/>
      <c r="K770" s="1184"/>
      <c r="L770" s="1184"/>
      <c r="M770" s="1184"/>
      <c r="N770" s="1184"/>
      <c r="O770" s="1184"/>
      <c r="P770" s="1184"/>
      <c r="Q770" s="1184"/>
      <c r="R770" s="1184"/>
      <c r="S770" s="1184"/>
      <c r="T770" s="1184"/>
      <c r="U770" s="1184"/>
      <c r="V770" s="1184"/>
      <c r="W770" s="1184"/>
      <c r="X770" s="1184"/>
      <c r="Y770" s="1184"/>
      <c r="Z770" s="1184"/>
    </row>
    <row r="771" spans="1:26" ht="15.5">
      <c r="A771" s="1184"/>
      <c r="B771" s="1184"/>
      <c r="C771" s="1184"/>
      <c r="D771" s="1184"/>
      <c r="E771" s="1184"/>
      <c r="F771" s="1184"/>
      <c r="G771" s="1184"/>
      <c r="H771" s="1184"/>
      <c r="I771" s="1184"/>
      <c r="J771" s="1184"/>
      <c r="K771" s="1184"/>
      <c r="L771" s="1184"/>
      <c r="M771" s="1184"/>
      <c r="N771" s="1184"/>
      <c r="O771" s="1184"/>
      <c r="P771" s="1184"/>
      <c r="Q771" s="1184"/>
      <c r="R771" s="1184"/>
      <c r="S771" s="1184"/>
      <c r="T771" s="1184"/>
      <c r="U771" s="1184"/>
      <c r="V771" s="1184"/>
      <c r="W771" s="1184"/>
      <c r="X771" s="1184"/>
      <c r="Y771" s="1184"/>
      <c r="Z771" s="1184"/>
    </row>
    <row r="772" spans="1:26" ht="15.5">
      <c r="A772" s="1184"/>
      <c r="B772" s="1184"/>
      <c r="C772" s="1184"/>
      <c r="D772" s="1184"/>
      <c r="E772" s="1184"/>
      <c r="F772" s="1184"/>
      <c r="G772" s="1184"/>
      <c r="H772" s="1184"/>
      <c r="I772" s="1184"/>
      <c r="J772" s="1184"/>
      <c r="K772" s="1184"/>
      <c r="L772" s="1184"/>
      <c r="M772" s="1184"/>
      <c r="N772" s="1184"/>
      <c r="O772" s="1184"/>
      <c r="P772" s="1184"/>
      <c r="Q772" s="1184"/>
      <c r="R772" s="1184"/>
      <c r="S772" s="1184"/>
      <c r="T772" s="1184"/>
      <c r="U772" s="1184"/>
      <c r="V772" s="1184"/>
      <c r="W772" s="1184"/>
      <c r="X772" s="1184"/>
      <c r="Y772" s="1184"/>
      <c r="Z772" s="1184"/>
    </row>
    <row r="773" spans="1:26" ht="15.5">
      <c r="A773" s="1184"/>
      <c r="B773" s="1184"/>
      <c r="C773" s="1184"/>
      <c r="D773" s="1184"/>
      <c r="E773" s="1184"/>
      <c r="F773" s="1184"/>
      <c r="G773" s="1184"/>
      <c r="H773" s="1184"/>
      <c r="I773" s="1184"/>
      <c r="J773" s="1184"/>
      <c r="K773" s="1184"/>
      <c r="L773" s="1184"/>
      <c r="M773" s="1184"/>
      <c r="N773" s="1184"/>
      <c r="O773" s="1184"/>
      <c r="P773" s="1184"/>
      <c r="Q773" s="1184"/>
      <c r="R773" s="1184"/>
      <c r="S773" s="1184"/>
      <c r="T773" s="1184"/>
      <c r="U773" s="1184"/>
      <c r="V773" s="1184"/>
      <c r="W773" s="1184"/>
      <c r="X773" s="1184"/>
      <c r="Y773" s="1184"/>
      <c r="Z773" s="1184"/>
    </row>
    <row r="774" spans="1:26" ht="15.5">
      <c r="A774" s="1184"/>
      <c r="B774" s="1184"/>
      <c r="C774" s="1184"/>
      <c r="D774" s="1184"/>
      <c r="E774" s="1184"/>
      <c r="F774" s="1184"/>
      <c r="G774" s="1184"/>
      <c r="H774" s="1184"/>
      <c r="I774" s="1184"/>
      <c r="J774" s="1184"/>
      <c r="K774" s="1184"/>
      <c r="L774" s="1184"/>
      <c r="M774" s="1184"/>
      <c r="N774" s="1184"/>
      <c r="O774" s="1184"/>
      <c r="P774" s="1184"/>
      <c r="Q774" s="1184"/>
      <c r="R774" s="1184"/>
      <c r="S774" s="1184"/>
      <c r="T774" s="1184"/>
      <c r="U774" s="1184"/>
      <c r="V774" s="1184"/>
      <c r="W774" s="1184"/>
      <c r="X774" s="1184"/>
      <c r="Y774" s="1184"/>
      <c r="Z774" s="1184"/>
    </row>
    <row r="775" spans="1:26" ht="15.5">
      <c r="A775" s="1184"/>
      <c r="B775" s="1184"/>
      <c r="C775" s="1184"/>
      <c r="D775" s="1184"/>
      <c r="E775" s="1184"/>
      <c r="F775" s="1184"/>
      <c r="G775" s="1184"/>
      <c r="H775" s="1184"/>
      <c r="I775" s="1184"/>
      <c r="J775" s="1184"/>
      <c r="K775" s="1184"/>
      <c r="L775" s="1184"/>
      <c r="M775" s="1184"/>
      <c r="N775" s="1184"/>
      <c r="O775" s="1184"/>
      <c r="P775" s="1184"/>
      <c r="Q775" s="1184"/>
      <c r="R775" s="1184"/>
      <c r="S775" s="1184"/>
      <c r="T775" s="1184"/>
      <c r="U775" s="1184"/>
      <c r="V775" s="1184"/>
      <c r="W775" s="1184"/>
      <c r="X775" s="1184"/>
      <c r="Y775" s="1184"/>
      <c r="Z775" s="1184"/>
    </row>
    <row r="776" spans="1:26" ht="15.5">
      <c r="A776" s="1184"/>
      <c r="B776" s="1184"/>
      <c r="C776" s="1184"/>
      <c r="D776" s="1184"/>
      <c r="E776" s="1184"/>
      <c r="F776" s="1184"/>
      <c r="G776" s="1184"/>
      <c r="H776" s="1184"/>
      <c r="I776" s="1184"/>
      <c r="J776" s="1184"/>
      <c r="K776" s="1184"/>
      <c r="L776" s="1184"/>
      <c r="M776" s="1184"/>
      <c r="N776" s="1184"/>
      <c r="O776" s="1184"/>
      <c r="P776" s="1184"/>
      <c r="Q776" s="1184"/>
      <c r="R776" s="1184"/>
      <c r="S776" s="1184"/>
      <c r="T776" s="1184"/>
      <c r="U776" s="1184"/>
      <c r="V776" s="1184"/>
      <c r="W776" s="1184"/>
      <c r="X776" s="1184"/>
      <c r="Y776" s="1184"/>
      <c r="Z776" s="1184"/>
    </row>
    <row r="777" spans="1:26" ht="15.5">
      <c r="A777" s="1184"/>
      <c r="B777" s="1184"/>
      <c r="C777" s="1184"/>
      <c r="D777" s="1184"/>
      <c r="E777" s="1184"/>
      <c r="F777" s="1184"/>
      <c r="G777" s="1184"/>
      <c r="H777" s="1184"/>
      <c r="I777" s="1184"/>
      <c r="J777" s="1184"/>
      <c r="K777" s="1184"/>
      <c r="L777" s="1184"/>
      <c r="M777" s="1184"/>
      <c r="N777" s="1184"/>
      <c r="O777" s="1184"/>
      <c r="P777" s="1184"/>
      <c r="Q777" s="1184"/>
      <c r="R777" s="1184"/>
      <c r="S777" s="1184"/>
      <c r="T777" s="1184"/>
      <c r="U777" s="1184"/>
      <c r="V777" s="1184"/>
      <c r="W777" s="1184"/>
      <c r="X777" s="1184"/>
      <c r="Y777" s="1184"/>
      <c r="Z777" s="1184"/>
    </row>
    <row r="778" spans="1:26" ht="15.5">
      <c r="A778" s="1184"/>
      <c r="B778" s="1184"/>
      <c r="C778" s="1184"/>
      <c r="D778" s="1184"/>
      <c r="E778" s="1184"/>
      <c r="F778" s="1184"/>
      <c r="G778" s="1184"/>
      <c r="H778" s="1184"/>
      <c r="I778" s="1184"/>
      <c r="J778" s="1184"/>
      <c r="K778" s="1184"/>
      <c r="L778" s="1184"/>
      <c r="M778" s="1184"/>
      <c r="N778" s="1184"/>
      <c r="O778" s="1184"/>
      <c r="P778" s="1184"/>
      <c r="Q778" s="1184"/>
      <c r="R778" s="1184"/>
      <c r="S778" s="1184"/>
      <c r="T778" s="1184"/>
      <c r="U778" s="1184"/>
      <c r="V778" s="1184"/>
      <c r="W778" s="1184"/>
      <c r="X778" s="1184"/>
      <c r="Y778" s="1184"/>
      <c r="Z778" s="1184"/>
    </row>
    <row r="779" spans="1:26" ht="15.5">
      <c r="A779" s="1184"/>
      <c r="B779" s="1184"/>
      <c r="C779" s="1184"/>
      <c r="D779" s="1184"/>
      <c r="E779" s="1184"/>
      <c r="F779" s="1184"/>
      <c r="G779" s="1184"/>
      <c r="H779" s="1184"/>
      <c r="I779" s="1184"/>
      <c r="J779" s="1184"/>
      <c r="K779" s="1184"/>
      <c r="L779" s="1184"/>
      <c r="M779" s="1184"/>
      <c r="N779" s="1184"/>
      <c r="O779" s="1184"/>
      <c r="P779" s="1184"/>
      <c r="Q779" s="1184"/>
      <c r="R779" s="1184"/>
      <c r="S779" s="1184"/>
      <c r="T779" s="1184"/>
      <c r="U779" s="1184"/>
      <c r="V779" s="1184"/>
      <c r="W779" s="1184"/>
      <c r="X779" s="1184"/>
      <c r="Y779" s="1184"/>
      <c r="Z779" s="1184"/>
    </row>
    <row r="780" spans="1:26" ht="15.5">
      <c r="A780" s="1184"/>
      <c r="B780" s="1184"/>
      <c r="C780" s="1184"/>
      <c r="D780" s="1184"/>
      <c r="E780" s="1184"/>
      <c r="F780" s="1184"/>
      <c r="G780" s="1184"/>
      <c r="H780" s="1184"/>
      <c r="I780" s="1184"/>
      <c r="J780" s="1184"/>
      <c r="K780" s="1184"/>
      <c r="L780" s="1184"/>
      <c r="M780" s="1184"/>
      <c r="N780" s="1184"/>
      <c r="O780" s="1184"/>
      <c r="P780" s="1184"/>
      <c r="Q780" s="1184"/>
      <c r="R780" s="1184"/>
      <c r="S780" s="1184"/>
      <c r="T780" s="1184"/>
      <c r="U780" s="1184"/>
      <c r="V780" s="1184"/>
      <c r="W780" s="1184"/>
      <c r="X780" s="1184"/>
      <c r="Y780" s="1184"/>
      <c r="Z780" s="1184"/>
    </row>
    <row r="781" spans="1:26" ht="15.5">
      <c r="A781" s="1184"/>
      <c r="B781" s="1184"/>
      <c r="C781" s="1184"/>
      <c r="D781" s="1184"/>
      <c r="E781" s="1184"/>
      <c r="F781" s="1184"/>
      <c r="G781" s="1184"/>
      <c r="H781" s="1184"/>
      <c r="I781" s="1184"/>
      <c r="J781" s="1184"/>
      <c r="K781" s="1184"/>
      <c r="L781" s="1184"/>
      <c r="M781" s="1184"/>
      <c r="N781" s="1184"/>
      <c r="O781" s="1184"/>
      <c r="P781" s="1184"/>
      <c r="Q781" s="1184"/>
      <c r="R781" s="1184"/>
      <c r="S781" s="1184"/>
      <c r="T781" s="1184"/>
      <c r="U781" s="1184"/>
      <c r="V781" s="1184"/>
      <c r="W781" s="1184"/>
      <c r="X781" s="1184"/>
      <c r="Y781" s="1184"/>
      <c r="Z781" s="1184"/>
    </row>
    <row r="782" spans="1:26" ht="15.5">
      <c r="A782" s="1184"/>
      <c r="B782" s="1184"/>
      <c r="C782" s="1184"/>
      <c r="D782" s="1184"/>
      <c r="E782" s="1184"/>
      <c r="F782" s="1184"/>
      <c r="G782" s="1184"/>
      <c r="H782" s="1184"/>
      <c r="I782" s="1184"/>
      <c r="J782" s="1184"/>
      <c r="K782" s="1184"/>
      <c r="L782" s="1184"/>
      <c r="M782" s="1184"/>
      <c r="N782" s="1184"/>
      <c r="O782" s="1184"/>
      <c r="P782" s="1184"/>
      <c r="Q782" s="1184"/>
      <c r="R782" s="1184"/>
      <c r="S782" s="1184"/>
      <c r="T782" s="1184"/>
      <c r="U782" s="1184"/>
      <c r="V782" s="1184"/>
      <c r="W782" s="1184"/>
      <c r="X782" s="1184"/>
      <c r="Y782" s="1184"/>
      <c r="Z782" s="1184"/>
    </row>
    <row r="783" spans="1:26" ht="15.5">
      <c r="A783" s="1184"/>
      <c r="B783" s="1184"/>
      <c r="C783" s="1184"/>
      <c r="D783" s="1184"/>
      <c r="E783" s="1184"/>
      <c r="F783" s="1184"/>
      <c r="G783" s="1184"/>
      <c r="H783" s="1184"/>
      <c r="I783" s="1184"/>
      <c r="J783" s="1184"/>
      <c r="K783" s="1184"/>
      <c r="L783" s="1184"/>
      <c r="M783" s="1184"/>
      <c r="N783" s="1184"/>
      <c r="O783" s="1184"/>
      <c r="P783" s="1184"/>
      <c r="Q783" s="1184"/>
      <c r="R783" s="1184"/>
      <c r="S783" s="1184"/>
      <c r="T783" s="1184"/>
      <c r="U783" s="1184"/>
      <c r="V783" s="1184"/>
      <c r="W783" s="1184"/>
      <c r="X783" s="1184"/>
      <c r="Y783" s="1184"/>
      <c r="Z783" s="1184"/>
    </row>
    <row r="784" spans="1:26" ht="15.5">
      <c r="A784" s="1184"/>
      <c r="B784" s="1184"/>
      <c r="C784" s="1184"/>
      <c r="D784" s="1184"/>
      <c r="E784" s="1184"/>
      <c r="F784" s="1184"/>
      <c r="G784" s="1184"/>
      <c r="H784" s="1184"/>
      <c r="I784" s="1184"/>
      <c r="J784" s="1184"/>
      <c r="K784" s="1184"/>
      <c r="L784" s="1184"/>
      <c r="M784" s="1184"/>
      <c r="N784" s="1184"/>
      <c r="O784" s="1184"/>
      <c r="P784" s="1184"/>
      <c r="Q784" s="1184"/>
      <c r="R784" s="1184"/>
      <c r="S784" s="1184"/>
      <c r="T784" s="1184"/>
      <c r="U784" s="1184"/>
      <c r="V784" s="1184"/>
      <c r="W784" s="1184"/>
      <c r="X784" s="1184"/>
      <c r="Y784" s="1184"/>
      <c r="Z784" s="1184"/>
    </row>
    <row r="785" spans="1:26" ht="15.5">
      <c r="A785" s="1184"/>
      <c r="B785" s="1184"/>
      <c r="C785" s="1184"/>
      <c r="D785" s="1184"/>
      <c r="E785" s="1184"/>
      <c r="F785" s="1184"/>
      <c r="G785" s="1184"/>
      <c r="H785" s="1184"/>
      <c r="I785" s="1184"/>
      <c r="J785" s="1184"/>
      <c r="K785" s="1184"/>
      <c r="L785" s="1184"/>
      <c r="M785" s="1184"/>
      <c r="N785" s="1184"/>
      <c r="O785" s="1184"/>
      <c r="P785" s="1184"/>
      <c r="Q785" s="1184"/>
      <c r="R785" s="1184"/>
      <c r="S785" s="1184"/>
      <c r="T785" s="1184"/>
      <c r="U785" s="1184"/>
      <c r="V785" s="1184"/>
      <c r="W785" s="1184"/>
      <c r="X785" s="1184"/>
      <c r="Y785" s="1184"/>
      <c r="Z785" s="1184"/>
    </row>
    <row r="786" spans="1:26" ht="15.5">
      <c r="A786" s="1184"/>
      <c r="B786" s="1184"/>
      <c r="C786" s="1184"/>
      <c r="D786" s="1184"/>
      <c r="E786" s="1184"/>
      <c r="F786" s="1184"/>
      <c r="G786" s="1184"/>
      <c r="H786" s="1184"/>
      <c r="I786" s="1184"/>
      <c r="J786" s="1184"/>
      <c r="K786" s="1184"/>
      <c r="L786" s="1184"/>
      <c r="M786" s="1184"/>
      <c r="N786" s="1184"/>
      <c r="O786" s="1184"/>
      <c r="P786" s="1184"/>
      <c r="Q786" s="1184"/>
      <c r="R786" s="1184"/>
      <c r="S786" s="1184"/>
      <c r="T786" s="1184"/>
      <c r="U786" s="1184"/>
      <c r="V786" s="1184"/>
      <c r="W786" s="1184"/>
      <c r="X786" s="1184"/>
      <c r="Y786" s="1184"/>
      <c r="Z786" s="1184"/>
    </row>
    <row r="787" spans="1:26" ht="15.5">
      <c r="A787" s="1184"/>
      <c r="B787" s="1184"/>
      <c r="C787" s="1184"/>
      <c r="D787" s="1184"/>
      <c r="E787" s="1184"/>
      <c r="F787" s="1184"/>
      <c r="G787" s="1184"/>
      <c r="H787" s="1184"/>
      <c r="I787" s="1184"/>
      <c r="J787" s="1184"/>
      <c r="K787" s="1184"/>
      <c r="L787" s="1184"/>
      <c r="M787" s="1184"/>
      <c r="N787" s="1184"/>
      <c r="O787" s="1184"/>
      <c r="P787" s="1184"/>
      <c r="Q787" s="1184"/>
      <c r="R787" s="1184"/>
      <c r="S787" s="1184"/>
      <c r="T787" s="1184"/>
      <c r="U787" s="1184"/>
      <c r="V787" s="1184"/>
      <c r="W787" s="1184"/>
      <c r="X787" s="1184"/>
      <c r="Y787" s="1184"/>
      <c r="Z787" s="1184"/>
    </row>
    <row r="788" spans="1:26" ht="15.5">
      <c r="A788" s="1184"/>
      <c r="B788" s="1184"/>
      <c r="C788" s="1184"/>
      <c r="D788" s="1184"/>
      <c r="E788" s="1184"/>
      <c r="F788" s="1184"/>
      <c r="G788" s="1184"/>
      <c r="H788" s="1184"/>
      <c r="I788" s="1184"/>
      <c r="J788" s="1184"/>
      <c r="K788" s="1184"/>
      <c r="L788" s="1184"/>
      <c r="M788" s="1184"/>
      <c r="N788" s="1184"/>
      <c r="O788" s="1184"/>
      <c r="P788" s="1184"/>
      <c r="Q788" s="1184"/>
      <c r="R788" s="1184"/>
      <c r="S788" s="1184"/>
      <c r="T788" s="1184"/>
      <c r="U788" s="1184"/>
      <c r="V788" s="1184"/>
      <c r="W788" s="1184"/>
      <c r="X788" s="1184"/>
      <c r="Y788" s="1184"/>
      <c r="Z788" s="1184"/>
    </row>
    <row r="789" spans="1:26" ht="15.5">
      <c r="A789" s="1184"/>
      <c r="B789" s="1184"/>
      <c r="C789" s="1184"/>
      <c r="D789" s="1184"/>
      <c r="E789" s="1184"/>
      <c r="F789" s="1184"/>
      <c r="G789" s="1184"/>
      <c r="H789" s="1184"/>
      <c r="I789" s="1184"/>
      <c r="J789" s="1184"/>
      <c r="K789" s="1184"/>
      <c r="L789" s="1184"/>
      <c r="M789" s="1184"/>
      <c r="N789" s="1184"/>
      <c r="O789" s="1184"/>
      <c r="P789" s="1184"/>
      <c r="Q789" s="1184"/>
      <c r="R789" s="1184"/>
      <c r="S789" s="1184"/>
      <c r="T789" s="1184"/>
      <c r="U789" s="1184"/>
      <c r="V789" s="1184"/>
      <c r="W789" s="1184"/>
      <c r="X789" s="1184"/>
      <c r="Y789" s="1184"/>
      <c r="Z789" s="1184"/>
    </row>
    <row r="790" spans="1:26" ht="15.5">
      <c r="A790" s="1184"/>
      <c r="B790" s="1184"/>
      <c r="C790" s="1184"/>
      <c r="D790" s="1184"/>
      <c r="E790" s="1184"/>
      <c r="F790" s="1184"/>
      <c r="G790" s="1184"/>
      <c r="H790" s="1184"/>
      <c r="I790" s="1184"/>
      <c r="J790" s="1184"/>
      <c r="K790" s="1184"/>
      <c r="L790" s="1184"/>
      <c r="M790" s="1184"/>
      <c r="N790" s="1184"/>
      <c r="O790" s="1184"/>
      <c r="P790" s="1184"/>
      <c r="Q790" s="1184"/>
      <c r="R790" s="1184"/>
      <c r="S790" s="1184"/>
      <c r="T790" s="1184"/>
      <c r="U790" s="1184"/>
      <c r="V790" s="1184"/>
      <c r="W790" s="1184"/>
      <c r="X790" s="1184"/>
      <c r="Y790" s="1184"/>
      <c r="Z790" s="1184"/>
    </row>
    <row r="791" spans="1:26" ht="15.5">
      <c r="A791" s="1184"/>
      <c r="B791" s="1184"/>
      <c r="C791" s="1184"/>
      <c r="D791" s="1184"/>
      <c r="E791" s="1184"/>
      <c r="F791" s="1184"/>
      <c r="G791" s="1184"/>
      <c r="H791" s="1184"/>
      <c r="I791" s="1184"/>
      <c r="J791" s="1184"/>
      <c r="K791" s="1184"/>
      <c r="L791" s="1184"/>
      <c r="M791" s="1184"/>
      <c r="N791" s="1184"/>
      <c r="O791" s="1184"/>
      <c r="P791" s="1184"/>
      <c r="Q791" s="1184"/>
      <c r="R791" s="1184"/>
      <c r="S791" s="1184"/>
      <c r="T791" s="1184"/>
      <c r="U791" s="1184"/>
      <c r="V791" s="1184"/>
      <c r="W791" s="1184"/>
      <c r="X791" s="1184"/>
      <c r="Y791" s="1184"/>
      <c r="Z791" s="1184"/>
    </row>
    <row r="792" spans="1:26" ht="15.5">
      <c r="A792" s="1184"/>
      <c r="B792" s="1184"/>
      <c r="C792" s="1184"/>
      <c r="D792" s="1184"/>
      <c r="E792" s="1184"/>
      <c r="F792" s="1184"/>
      <c r="G792" s="1184"/>
      <c r="H792" s="1184"/>
      <c r="I792" s="1184"/>
      <c r="J792" s="1184"/>
      <c r="K792" s="1184"/>
      <c r="L792" s="1184"/>
      <c r="M792" s="1184"/>
      <c r="N792" s="1184"/>
      <c r="O792" s="1184"/>
      <c r="P792" s="1184"/>
      <c r="Q792" s="1184"/>
      <c r="R792" s="1184"/>
      <c r="S792" s="1184"/>
      <c r="T792" s="1184"/>
      <c r="U792" s="1184"/>
      <c r="V792" s="1184"/>
      <c r="W792" s="1184"/>
      <c r="X792" s="1184"/>
      <c r="Y792" s="1184"/>
      <c r="Z792" s="1184"/>
    </row>
    <row r="793" spans="1:26" ht="15.5">
      <c r="A793" s="1184"/>
      <c r="B793" s="1184"/>
      <c r="C793" s="1184"/>
      <c r="D793" s="1184"/>
      <c r="E793" s="1184"/>
      <c r="F793" s="1184"/>
      <c r="G793" s="1184"/>
      <c r="H793" s="1184"/>
      <c r="I793" s="1184"/>
      <c r="J793" s="1184"/>
      <c r="K793" s="1184"/>
      <c r="L793" s="1184"/>
      <c r="M793" s="1184"/>
      <c r="N793" s="1184"/>
      <c r="O793" s="1184"/>
      <c r="P793" s="1184"/>
      <c r="Q793" s="1184"/>
      <c r="R793" s="1184"/>
      <c r="S793" s="1184"/>
      <c r="T793" s="1184"/>
      <c r="U793" s="1184"/>
      <c r="V793" s="1184"/>
      <c r="W793" s="1184"/>
      <c r="X793" s="1184"/>
      <c r="Y793" s="1184"/>
      <c r="Z793" s="1184"/>
    </row>
    <row r="794" spans="1:26" ht="15.5">
      <c r="A794" s="1184"/>
      <c r="B794" s="1184"/>
      <c r="C794" s="1184"/>
      <c r="D794" s="1184"/>
      <c r="E794" s="1184"/>
      <c r="F794" s="1184"/>
      <c r="G794" s="1184"/>
      <c r="H794" s="1184"/>
      <c r="I794" s="1184"/>
      <c r="J794" s="1184"/>
      <c r="K794" s="1184"/>
      <c r="L794" s="1184"/>
      <c r="M794" s="1184"/>
      <c r="N794" s="1184"/>
      <c r="O794" s="1184"/>
      <c r="P794" s="1184"/>
      <c r="Q794" s="1184"/>
      <c r="R794" s="1184"/>
      <c r="S794" s="1184"/>
      <c r="T794" s="1184"/>
      <c r="U794" s="1184"/>
      <c r="V794" s="1184"/>
      <c r="W794" s="1184"/>
      <c r="X794" s="1184"/>
      <c r="Y794" s="1184"/>
      <c r="Z794" s="1184"/>
    </row>
    <row r="795" spans="1:26" ht="15.5">
      <c r="A795" s="1184"/>
      <c r="B795" s="1184"/>
      <c r="C795" s="1184"/>
      <c r="D795" s="1184"/>
      <c r="E795" s="1184"/>
      <c r="F795" s="1184"/>
      <c r="G795" s="1184"/>
      <c r="H795" s="1184"/>
      <c r="I795" s="1184"/>
      <c r="J795" s="1184"/>
      <c r="K795" s="1184"/>
      <c r="L795" s="1184"/>
      <c r="M795" s="1184"/>
      <c r="N795" s="1184"/>
      <c r="O795" s="1184"/>
      <c r="P795" s="1184"/>
      <c r="Q795" s="1184"/>
      <c r="R795" s="1184"/>
      <c r="S795" s="1184"/>
      <c r="T795" s="1184"/>
      <c r="U795" s="1184"/>
      <c r="V795" s="1184"/>
      <c r="W795" s="1184"/>
      <c r="X795" s="1184"/>
      <c r="Y795" s="1184"/>
      <c r="Z795" s="1184"/>
    </row>
    <row r="796" spans="1:26" ht="15.5">
      <c r="A796" s="1184"/>
      <c r="B796" s="1184"/>
      <c r="C796" s="1184"/>
      <c r="D796" s="1184"/>
      <c r="E796" s="1184"/>
      <c r="F796" s="1184"/>
      <c r="G796" s="1184"/>
      <c r="H796" s="1184"/>
      <c r="I796" s="1184"/>
      <c r="J796" s="1184"/>
      <c r="K796" s="1184"/>
      <c r="L796" s="1184"/>
      <c r="M796" s="1184"/>
      <c r="N796" s="1184"/>
      <c r="O796" s="1184"/>
      <c r="P796" s="1184"/>
      <c r="Q796" s="1184"/>
      <c r="R796" s="1184"/>
      <c r="S796" s="1184"/>
      <c r="T796" s="1184"/>
      <c r="U796" s="1184"/>
      <c r="V796" s="1184"/>
      <c r="W796" s="1184"/>
      <c r="X796" s="1184"/>
      <c r="Y796" s="1184"/>
      <c r="Z796" s="1184"/>
    </row>
    <row r="797" spans="1:26" ht="15.5">
      <c r="A797" s="1184"/>
      <c r="B797" s="1184"/>
      <c r="C797" s="1184"/>
      <c r="D797" s="1184"/>
      <c r="E797" s="1184"/>
      <c r="F797" s="1184"/>
      <c r="G797" s="1184"/>
      <c r="H797" s="1184"/>
      <c r="I797" s="1184"/>
      <c r="J797" s="1184"/>
      <c r="K797" s="1184"/>
      <c r="L797" s="1184"/>
      <c r="M797" s="1184"/>
      <c r="N797" s="1184"/>
      <c r="O797" s="1184"/>
      <c r="P797" s="1184"/>
      <c r="Q797" s="1184"/>
      <c r="R797" s="1184"/>
      <c r="S797" s="1184"/>
      <c r="T797" s="1184"/>
      <c r="U797" s="1184"/>
      <c r="V797" s="1184"/>
      <c r="W797" s="1184"/>
      <c r="X797" s="1184"/>
      <c r="Y797" s="1184"/>
      <c r="Z797" s="1184"/>
    </row>
    <row r="798" spans="1:26" ht="15.5">
      <c r="A798" s="1184"/>
      <c r="B798" s="1184"/>
      <c r="C798" s="1184"/>
      <c r="D798" s="1184"/>
      <c r="E798" s="1184"/>
      <c r="F798" s="1184"/>
      <c r="G798" s="1184"/>
      <c r="H798" s="1184"/>
      <c r="I798" s="1184"/>
      <c r="J798" s="1184"/>
      <c r="K798" s="1184"/>
      <c r="L798" s="1184"/>
      <c r="M798" s="1184"/>
      <c r="N798" s="1184"/>
      <c r="O798" s="1184"/>
      <c r="P798" s="1184"/>
      <c r="Q798" s="1184"/>
      <c r="R798" s="1184"/>
      <c r="S798" s="1184"/>
      <c r="T798" s="1184"/>
      <c r="U798" s="1184"/>
      <c r="V798" s="1184"/>
      <c r="W798" s="1184"/>
      <c r="X798" s="1184"/>
      <c r="Y798" s="1184"/>
      <c r="Z798" s="1184"/>
    </row>
    <row r="799" spans="1:26" ht="15.5">
      <c r="A799" s="1184"/>
      <c r="B799" s="1184"/>
      <c r="C799" s="1184"/>
      <c r="D799" s="1184"/>
      <c r="E799" s="1184"/>
      <c r="F799" s="1184"/>
      <c r="G799" s="1184"/>
      <c r="H799" s="1184"/>
      <c r="I799" s="1184"/>
      <c r="J799" s="1184"/>
      <c r="K799" s="1184"/>
      <c r="L799" s="1184"/>
      <c r="M799" s="1184"/>
      <c r="N799" s="1184"/>
      <c r="O799" s="1184"/>
      <c r="P799" s="1184"/>
      <c r="Q799" s="1184"/>
      <c r="R799" s="1184"/>
      <c r="S799" s="1184"/>
      <c r="T799" s="1184"/>
      <c r="U799" s="1184"/>
      <c r="V799" s="1184"/>
      <c r="W799" s="1184"/>
      <c r="X799" s="1184"/>
      <c r="Y799" s="1184"/>
      <c r="Z799" s="1184"/>
    </row>
    <row r="800" spans="1:26" ht="15.5">
      <c r="A800" s="1184"/>
      <c r="B800" s="1184"/>
      <c r="C800" s="1184"/>
      <c r="D800" s="1184"/>
      <c r="E800" s="1184"/>
      <c r="F800" s="1184"/>
      <c r="G800" s="1184"/>
      <c r="H800" s="1184"/>
      <c r="I800" s="1184"/>
      <c r="J800" s="1184"/>
      <c r="K800" s="1184"/>
      <c r="L800" s="1184"/>
      <c r="M800" s="1184"/>
      <c r="N800" s="1184"/>
      <c r="O800" s="1184"/>
      <c r="P800" s="1184"/>
      <c r="Q800" s="1184"/>
      <c r="R800" s="1184"/>
      <c r="S800" s="1184"/>
      <c r="T800" s="1184"/>
      <c r="U800" s="1184"/>
      <c r="V800" s="1184"/>
      <c r="W800" s="1184"/>
      <c r="X800" s="1184"/>
      <c r="Y800" s="1184"/>
      <c r="Z800" s="1184"/>
    </row>
    <row r="801" spans="1:26" ht="15.5">
      <c r="A801" s="1184"/>
      <c r="B801" s="1184"/>
      <c r="C801" s="1184"/>
      <c r="D801" s="1184"/>
      <c r="E801" s="1184"/>
      <c r="F801" s="1184"/>
      <c r="G801" s="1184"/>
      <c r="H801" s="1184"/>
      <c r="I801" s="1184"/>
      <c r="J801" s="1184"/>
      <c r="K801" s="1184"/>
      <c r="L801" s="1184"/>
      <c r="M801" s="1184"/>
      <c r="N801" s="1184"/>
      <c r="O801" s="1184"/>
      <c r="P801" s="1184"/>
      <c r="Q801" s="1184"/>
      <c r="R801" s="1184"/>
      <c r="S801" s="1184"/>
      <c r="T801" s="1184"/>
      <c r="U801" s="1184"/>
      <c r="V801" s="1184"/>
      <c r="W801" s="1184"/>
      <c r="X801" s="1184"/>
      <c r="Y801" s="1184"/>
      <c r="Z801" s="1184"/>
    </row>
    <row r="802" spans="1:26" ht="15.5">
      <c r="A802" s="1184"/>
      <c r="B802" s="1184"/>
      <c r="C802" s="1184"/>
      <c r="D802" s="1184"/>
      <c r="E802" s="1184"/>
      <c r="F802" s="1184"/>
      <c r="G802" s="1184"/>
      <c r="H802" s="1184"/>
      <c r="I802" s="1184"/>
      <c r="J802" s="1184"/>
      <c r="K802" s="1184"/>
      <c r="L802" s="1184"/>
      <c r="M802" s="1184"/>
      <c r="N802" s="1184"/>
      <c r="O802" s="1184"/>
      <c r="P802" s="1184"/>
      <c r="Q802" s="1184"/>
      <c r="R802" s="1184"/>
      <c r="S802" s="1184"/>
      <c r="T802" s="1184"/>
      <c r="U802" s="1184"/>
      <c r="V802" s="1184"/>
      <c r="W802" s="1184"/>
      <c r="X802" s="1184"/>
      <c r="Y802" s="1184"/>
      <c r="Z802" s="1184"/>
    </row>
    <row r="803" spans="1:26" ht="15.5">
      <c r="A803" s="1184"/>
      <c r="B803" s="1184"/>
      <c r="C803" s="1184"/>
      <c r="D803" s="1184"/>
      <c r="E803" s="1184"/>
      <c r="F803" s="1184"/>
      <c r="G803" s="1184"/>
      <c r="H803" s="1184"/>
      <c r="I803" s="1184"/>
      <c r="J803" s="1184"/>
      <c r="K803" s="1184"/>
      <c r="L803" s="1184"/>
      <c r="M803" s="1184"/>
      <c r="N803" s="1184"/>
      <c r="O803" s="1184"/>
      <c r="P803" s="1184"/>
      <c r="Q803" s="1184"/>
      <c r="R803" s="1184"/>
      <c r="S803" s="1184"/>
      <c r="T803" s="1184"/>
      <c r="U803" s="1184"/>
      <c r="V803" s="1184"/>
      <c r="W803" s="1184"/>
      <c r="X803" s="1184"/>
      <c r="Y803" s="1184"/>
      <c r="Z803" s="1184"/>
    </row>
    <row r="804" spans="1:26" ht="15.5">
      <c r="A804" s="1184"/>
      <c r="B804" s="1184"/>
      <c r="C804" s="1184"/>
      <c r="D804" s="1184"/>
      <c r="E804" s="1184"/>
      <c r="F804" s="1184"/>
      <c r="G804" s="1184"/>
      <c r="H804" s="1184"/>
      <c r="I804" s="1184"/>
      <c r="J804" s="1184"/>
      <c r="K804" s="1184"/>
      <c r="L804" s="1184"/>
      <c r="M804" s="1184"/>
      <c r="N804" s="1184"/>
      <c r="O804" s="1184"/>
      <c r="P804" s="1184"/>
      <c r="Q804" s="1184"/>
      <c r="R804" s="1184"/>
      <c r="S804" s="1184"/>
      <c r="T804" s="1184"/>
      <c r="U804" s="1184"/>
      <c r="V804" s="1184"/>
      <c r="W804" s="1184"/>
      <c r="X804" s="1184"/>
      <c r="Y804" s="1184"/>
      <c r="Z804" s="1184"/>
    </row>
    <row r="805" spans="1:26" ht="15.5">
      <c r="A805" s="1184"/>
      <c r="B805" s="1184"/>
      <c r="C805" s="1184"/>
      <c r="D805" s="1184"/>
      <c r="E805" s="1184"/>
      <c r="F805" s="1184"/>
      <c r="G805" s="1184"/>
      <c r="H805" s="1184"/>
      <c r="I805" s="1184"/>
      <c r="J805" s="1184"/>
      <c r="K805" s="1184"/>
      <c r="L805" s="1184"/>
      <c r="M805" s="1184"/>
      <c r="N805" s="1184"/>
      <c r="O805" s="1184"/>
      <c r="P805" s="1184"/>
      <c r="Q805" s="1184"/>
      <c r="R805" s="1184"/>
      <c r="S805" s="1184"/>
      <c r="T805" s="1184"/>
      <c r="U805" s="1184"/>
      <c r="V805" s="1184"/>
      <c r="W805" s="1184"/>
      <c r="X805" s="1184"/>
      <c r="Y805" s="1184"/>
      <c r="Z805" s="1184"/>
    </row>
    <row r="806" spans="1:26" ht="15.5">
      <c r="A806" s="1184"/>
      <c r="B806" s="1184"/>
      <c r="C806" s="1184"/>
      <c r="D806" s="1184"/>
      <c r="E806" s="1184"/>
      <c r="F806" s="1184"/>
      <c r="G806" s="1184"/>
      <c r="H806" s="1184"/>
      <c r="I806" s="1184"/>
      <c r="J806" s="1184"/>
      <c r="K806" s="1184"/>
      <c r="L806" s="1184"/>
      <c r="M806" s="1184"/>
      <c r="N806" s="1184"/>
      <c r="O806" s="1184"/>
      <c r="P806" s="1184"/>
      <c r="Q806" s="1184"/>
      <c r="R806" s="1184"/>
      <c r="S806" s="1184"/>
      <c r="T806" s="1184"/>
      <c r="U806" s="1184"/>
      <c r="V806" s="1184"/>
      <c r="W806" s="1184"/>
      <c r="X806" s="1184"/>
      <c r="Y806" s="1184"/>
      <c r="Z806" s="1184"/>
    </row>
    <row r="807" spans="1:26" ht="15.5">
      <c r="A807" s="1184"/>
      <c r="B807" s="1184"/>
      <c r="C807" s="1184"/>
      <c r="D807" s="1184"/>
      <c r="E807" s="1184"/>
      <c r="F807" s="1184"/>
      <c r="G807" s="1184"/>
      <c r="H807" s="1184"/>
      <c r="I807" s="1184"/>
      <c r="J807" s="1184"/>
      <c r="K807" s="1184"/>
      <c r="L807" s="1184"/>
      <c r="M807" s="1184"/>
      <c r="N807" s="1184"/>
      <c r="O807" s="1184"/>
      <c r="P807" s="1184"/>
      <c r="Q807" s="1184"/>
      <c r="R807" s="1184"/>
      <c r="S807" s="1184"/>
      <c r="T807" s="1184"/>
      <c r="U807" s="1184"/>
      <c r="V807" s="1184"/>
      <c r="W807" s="1184"/>
      <c r="X807" s="1184"/>
      <c r="Y807" s="1184"/>
      <c r="Z807" s="1184"/>
    </row>
    <row r="808" spans="1:26" ht="15.5">
      <c r="A808" s="1184"/>
      <c r="B808" s="1184"/>
      <c r="C808" s="1184"/>
      <c r="D808" s="1184"/>
      <c r="E808" s="1184"/>
      <c r="F808" s="1184"/>
      <c r="G808" s="1184"/>
      <c r="H808" s="1184"/>
      <c r="I808" s="1184"/>
      <c r="J808" s="1184"/>
      <c r="K808" s="1184"/>
      <c r="L808" s="1184"/>
      <c r="M808" s="1184"/>
      <c r="N808" s="1184"/>
      <c r="O808" s="1184"/>
      <c r="P808" s="1184"/>
      <c r="Q808" s="1184"/>
      <c r="R808" s="1184"/>
      <c r="S808" s="1184"/>
      <c r="T808" s="1184"/>
      <c r="U808" s="1184"/>
      <c r="V808" s="1184"/>
      <c r="W808" s="1184"/>
      <c r="X808" s="1184"/>
      <c r="Y808" s="1184"/>
      <c r="Z808" s="1184"/>
    </row>
    <row r="809" spans="1:26" ht="15.5">
      <c r="A809" s="1184"/>
      <c r="B809" s="1184"/>
      <c r="C809" s="1184"/>
      <c r="D809" s="1184"/>
      <c r="E809" s="1184"/>
      <c r="F809" s="1184"/>
      <c r="G809" s="1184"/>
      <c r="H809" s="1184"/>
      <c r="I809" s="1184"/>
      <c r="J809" s="1184"/>
      <c r="K809" s="1184"/>
      <c r="L809" s="1184"/>
      <c r="M809" s="1184"/>
      <c r="N809" s="1184"/>
      <c r="O809" s="1184"/>
      <c r="P809" s="1184"/>
      <c r="Q809" s="1184"/>
      <c r="R809" s="1184"/>
      <c r="S809" s="1184"/>
      <c r="T809" s="1184"/>
      <c r="U809" s="1184"/>
      <c r="V809" s="1184"/>
      <c r="W809" s="1184"/>
      <c r="X809" s="1184"/>
      <c r="Y809" s="1184"/>
      <c r="Z809" s="1184"/>
    </row>
    <row r="810" spans="1:26" ht="15.5">
      <c r="A810" s="1184"/>
      <c r="B810" s="1184"/>
      <c r="C810" s="1184"/>
      <c r="D810" s="1184"/>
      <c r="E810" s="1184"/>
      <c r="F810" s="1184"/>
      <c r="G810" s="1184"/>
      <c r="H810" s="1184"/>
      <c r="I810" s="1184"/>
      <c r="J810" s="1184"/>
      <c r="K810" s="1184"/>
      <c r="L810" s="1184"/>
      <c r="M810" s="1184"/>
      <c r="N810" s="1184"/>
      <c r="O810" s="1184"/>
      <c r="P810" s="1184"/>
      <c r="Q810" s="1184"/>
      <c r="R810" s="1184"/>
      <c r="S810" s="1184"/>
      <c r="T810" s="1184"/>
      <c r="U810" s="1184"/>
      <c r="V810" s="1184"/>
      <c r="W810" s="1184"/>
      <c r="X810" s="1184"/>
      <c r="Y810" s="1184"/>
      <c r="Z810" s="1184"/>
    </row>
    <row r="811" spans="1:26" ht="15.5">
      <c r="A811" s="1184"/>
      <c r="B811" s="1184"/>
      <c r="C811" s="1184"/>
      <c r="D811" s="1184"/>
      <c r="E811" s="1184"/>
      <c r="F811" s="1184"/>
      <c r="G811" s="1184"/>
      <c r="H811" s="1184"/>
      <c r="I811" s="1184"/>
      <c r="J811" s="1184"/>
      <c r="K811" s="1184"/>
      <c r="L811" s="1184"/>
      <c r="M811" s="1184"/>
      <c r="N811" s="1184"/>
      <c r="O811" s="1184"/>
      <c r="P811" s="1184"/>
      <c r="Q811" s="1184"/>
      <c r="R811" s="1184"/>
      <c r="S811" s="1184"/>
      <c r="T811" s="1184"/>
      <c r="U811" s="1184"/>
      <c r="V811" s="1184"/>
      <c r="W811" s="1184"/>
      <c r="X811" s="1184"/>
      <c r="Y811" s="1184"/>
      <c r="Z811" s="1184"/>
    </row>
    <row r="812" spans="1:26" ht="15.5">
      <c r="A812" s="1184"/>
      <c r="B812" s="1184"/>
      <c r="C812" s="1184"/>
      <c r="D812" s="1184"/>
      <c r="E812" s="1184"/>
      <c r="F812" s="1184"/>
      <c r="G812" s="1184"/>
      <c r="H812" s="1184"/>
      <c r="I812" s="1184"/>
      <c r="J812" s="1184"/>
      <c r="K812" s="1184"/>
      <c r="L812" s="1184"/>
      <c r="M812" s="1184"/>
      <c r="N812" s="1184"/>
      <c r="O812" s="1184"/>
      <c r="P812" s="1184"/>
      <c r="Q812" s="1184"/>
      <c r="R812" s="1184"/>
      <c r="S812" s="1184"/>
      <c r="T812" s="1184"/>
      <c r="U812" s="1184"/>
      <c r="V812" s="1184"/>
      <c r="W812" s="1184"/>
      <c r="X812" s="1184"/>
      <c r="Y812" s="1184"/>
      <c r="Z812" s="1184"/>
    </row>
    <row r="813" spans="1:26" ht="15.5">
      <c r="A813" s="1184"/>
      <c r="B813" s="1184"/>
      <c r="C813" s="1184"/>
      <c r="D813" s="1184"/>
      <c r="E813" s="1184"/>
      <c r="F813" s="1184"/>
      <c r="G813" s="1184"/>
      <c r="H813" s="1184"/>
      <c r="I813" s="1184"/>
      <c r="J813" s="1184"/>
      <c r="K813" s="1184"/>
      <c r="L813" s="1184"/>
      <c r="M813" s="1184"/>
      <c r="N813" s="1184"/>
      <c r="O813" s="1184"/>
      <c r="P813" s="1184"/>
      <c r="Q813" s="1184"/>
      <c r="R813" s="1184"/>
      <c r="S813" s="1184"/>
      <c r="T813" s="1184"/>
      <c r="U813" s="1184"/>
      <c r="V813" s="1184"/>
      <c r="W813" s="1184"/>
      <c r="X813" s="1184"/>
      <c r="Y813" s="1184"/>
      <c r="Z813" s="1184"/>
    </row>
    <row r="814" spans="1:26" ht="15.5">
      <c r="A814" s="1184"/>
      <c r="B814" s="1184"/>
      <c r="C814" s="1184"/>
      <c r="D814" s="1184"/>
      <c r="E814" s="1184"/>
      <c r="F814" s="1184"/>
      <c r="G814" s="1184"/>
      <c r="H814" s="1184"/>
      <c r="I814" s="1184"/>
      <c r="J814" s="1184"/>
      <c r="K814" s="1184"/>
      <c r="L814" s="1184"/>
      <c r="M814" s="1184"/>
      <c r="N814" s="1184"/>
      <c r="O814" s="1184"/>
      <c r="P814" s="1184"/>
      <c r="Q814" s="1184"/>
      <c r="R814" s="1184"/>
      <c r="S814" s="1184"/>
      <c r="T814" s="1184"/>
      <c r="U814" s="1184"/>
      <c r="V814" s="1184"/>
      <c r="W814" s="1184"/>
      <c r="X814" s="1184"/>
      <c r="Y814" s="1184"/>
      <c r="Z814" s="1184"/>
    </row>
    <row r="815" spans="1:26" ht="15.5">
      <c r="A815" s="1184"/>
      <c r="B815" s="1184"/>
      <c r="C815" s="1184"/>
      <c r="D815" s="1184"/>
      <c r="E815" s="1184"/>
      <c r="F815" s="1184"/>
      <c r="G815" s="1184"/>
      <c r="H815" s="1184"/>
      <c r="I815" s="1184"/>
      <c r="J815" s="1184"/>
      <c r="K815" s="1184"/>
      <c r="L815" s="1184"/>
      <c r="M815" s="1184"/>
      <c r="N815" s="1184"/>
      <c r="O815" s="1184"/>
      <c r="P815" s="1184"/>
      <c r="Q815" s="1184"/>
      <c r="R815" s="1184"/>
      <c r="S815" s="1184"/>
      <c r="T815" s="1184"/>
      <c r="U815" s="1184"/>
      <c r="V815" s="1184"/>
      <c r="W815" s="1184"/>
      <c r="X815" s="1184"/>
      <c r="Y815" s="1184"/>
      <c r="Z815" s="1184"/>
    </row>
    <row r="816" spans="1:26" ht="15.5">
      <c r="A816" s="1184"/>
      <c r="B816" s="1184"/>
      <c r="C816" s="1184"/>
      <c r="D816" s="1184"/>
      <c r="E816" s="1184"/>
      <c r="F816" s="1184"/>
      <c r="G816" s="1184"/>
      <c r="H816" s="1184"/>
      <c r="I816" s="1184"/>
      <c r="J816" s="1184"/>
      <c r="K816" s="1184"/>
      <c r="L816" s="1184"/>
      <c r="M816" s="1184"/>
      <c r="N816" s="1184"/>
      <c r="O816" s="1184"/>
      <c r="P816" s="1184"/>
      <c r="Q816" s="1184"/>
      <c r="R816" s="1184"/>
      <c r="S816" s="1184"/>
      <c r="T816" s="1184"/>
      <c r="U816" s="1184"/>
      <c r="V816" s="1184"/>
      <c r="W816" s="1184"/>
      <c r="X816" s="1184"/>
      <c r="Y816" s="1184"/>
      <c r="Z816" s="1184"/>
    </row>
    <row r="817" spans="1:26" ht="15.5">
      <c r="A817" s="1184"/>
      <c r="B817" s="1184"/>
      <c r="C817" s="1184"/>
      <c r="D817" s="1184"/>
      <c r="E817" s="1184"/>
      <c r="F817" s="1184"/>
      <c r="G817" s="1184"/>
      <c r="H817" s="1184"/>
      <c r="I817" s="1184"/>
      <c r="J817" s="1184"/>
      <c r="K817" s="1184"/>
      <c r="L817" s="1184"/>
      <c r="M817" s="1184"/>
      <c r="N817" s="1184"/>
      <c r="O817" s="1184"/>
      <c r="P817" s="1184"/>
      <c r="Q817" s="1184"/>
      <c r="R817" s="1184"/>
      <c r="S817" s="1184"/>
      <c r="T817" s="1184"/>
      <c r="U817" s="1184"/>
      <c r="V817" s="1184"/>
      <c r="W817" s="1184"/>
      <c r="X817" s="1184"/>
      <c r="Y817" s="1184"/>
      <c r="Z817" s="1184"/>
    </row>
    <row r="818" spans="1:26" ht="15.5">
      <c r="A818" s="1184"/>
      <c r="B818" s="1184"/>
      <c r="C818" s="1184"/>
      <c r="D818" s="1184"/>
      <c r="E818" s="1184"/>
      <c r="F818" s="1184"/>
      <c r="G818" s="1184"/>
      <c r="H818" s="1184"/>
      <c r="I818" s="1184"/>
      <c r="J818" s="1184"/>
      <c r="K818" s="1184"/>
      <c r="L818" s="1184"/>
      <c r="M818" s="1184"/>
      <c r="N818" s="1184"/>
      <c r="O818" s="1184"/>
      <c r="P818" s="1184"/>
      <c r="Q818" s="1184"/>
      <c r="R818" s="1184"/>
      <c r="S818" s="1184"/>
      <c r="T818" s="1184"/>
      <c r="U818" s="1184"/>
      <c r="V818" s="1184"/>
      <c r="W818" s="1184"/>
      <c r="X818" s="1184"/>
      <c r="Y818" s="1184"/>
      <c r="Z818" s="1184"/>
    </row>
    <row r="819" spans="1:26" ht="15.5">
      <c r="A819" s="1184"/>
      <c r="B819" s="1184"/>
      <c r="C819" s="1184"/>
      <c r="D819" s="1184"/>
      <c r="E819" s="1184"/>
      <c r="F819" s="1184"/>
      <c r="G819" s="1184"/>
      <c r="H819" s="1184"/>
      <c r="I819" s="1184"/>
      <c r="J819" s="1184"/>
      <c r="K819" s="1184"/>
      <c r="L819" s="1184"/>
      <c r="M819" s="1184"/>
      <c r="N819" s="1184"/>
      <c r="O819" s="1184"/>
      <c r="P819" s="1184"/>
      <c r="Q819" s="1184"/>
      <c r="R819" s="1184"/>
      <c r="S819" s="1184"/>
      <c r="T819" s="1184"/>
      <c r="U819" s="1184"/>
      <c r="V819" s="1184"/>
      <c r="W819" s="1184"/>
      <c r="X819" s="1184"/>
      <c r="Y819" s="1184"/>
      <c r="Z819" s="1184"/>
    </row>
    <row r="820" spans="1:26" ht="15.5">
      <c r="A820" s="1184"/>
      <c r="B820" s="1184"/>
      <c r="C820" s="1184"/>
      <c r="D820" s="1184"/>
      <c r="E820" s="1184"/>
      <c r="F820" s="1184"/>
      <c r="G820" s="1184"/>
      <c r="H820" s="1184"/>
      <c r="I820" s="1184"/>
      <c r="J820" s="1184"/>
      <c r="K820" s="1184"/>
      <c r="L820" s="1184"/>
      <c r="M820" s="1184"/>
      <c r="N820" s="1184"/>
      <c r="O820" s="1184"/>
      <c r="P820" s="1184"/>
      <c r="Q820" s="1184"/>
      <c r="R820" s="1184"/>
      <c r="S820" s="1184"/>
      <c r="T820" s="1184"/>
      <c r="U820" s="1184"/>
      <c r="V820" s="1184"/>
      <c r="W820" s="1184"/>
      <c r="X820" s="1184"/>
      <c r="Y820" s="1184"/>
      <c r="Z820" s="1184"/>
    </row>
    <row r="821" spans="1:26" ht="15.5">
      <c r="A821" s="1184"/>
      <c r="B821" s="1184"/>
      <c r="C821" s="1184"/>
      <c r="D821" s="1184"/>
      <c r="E821" s="1184"/>
      <c r="F821" s="1184"/>
      <c r="G821" s="1184"/>
      <c r="H821" s="1184"/>
      <c r="I821" s="1184"/>
      <c r="J821" s="1184"/>
      <c r="K821" s="1184"/>
      <c r="L821" s="1184"/>
      <c r="M821" s="1184"/>
      <c r="N821" s="1184"/>
      <c r="O821" s="1184"/>
      <c r="P821" s="1184"/>
      <c r="Q821" s="1184"/>
      <c r="R821" s="1184"/>
      <c r="S821" s="1184"/>
      <c r="T821" s="1184"/>
      <c r="U821" s="1184"/>
      <c r="V821" s="1184"/>
      <c r="W821" s="1184"/>
      <c r="X821" s="1184"/>
      <c r="Y821" s="1184"/>
      <c r="Z821" s="1184"/>
    </row>
    <row r="822" spans="1:26" ht="15.5">
      <c r="A822" s="1184"/>
      <c r="B822" s="1184"/>
      <c r="C822" s="1184"/>
      <c r="D822" s="1184"/>
      <c r="E822" s="1184"/>
      <c r="F822" s="1184"/>
      <c r="G822" s="1184"/>
      <c r="H822" s="1184"/>
      <c r="I822" s="1184"/>
      <c r="J822" s="1184"/>
      <c r="K822" s="1184"/>
      <c r="L822" s="1184"/>
      <c r="M822" s="1184"/>
      <c r="N822" s="1184"/>
      <c r="O822" s="1184"/>
      <c r="P822" s="1184"/>
      <c r="Q822" s="1184"/>
      <c r="R822" s="1184"/>
      <c r="S822" s="1184"/>
      <c r="T822" s="1184"/>
      <c r="U822" s="1184"/>
      <c r="V822" s="1184"/>
      <c r="W822" s="1184"/>
      <c r="X822" s="1184"/>
      <c r="Y822" s="1184"/>
      <c r="Z822" s="1184"/>
    </row>
    <row r="823" spans="1:26" ht="15.5">
      <c r="A823" s="1184"/>
      <c r="B823" s="1184"/>
      <c r="C823" s="1184"/>
      <c r="D823" s="1184"/>
      <c r="E823" s="1184"/>
      <c r="F823" s="1184"/>
      <c r="G823" s="1184"/>
      <c r="H823" s="1184"/>
      <c r="I823" s="1184"/>
      <c r="J823" s="1184"/>
      <c r="K823" s="1184"/>
      <c r="L823" s="1184"/>
      <c r="M823" s="1184"/>
      <c r="N823" s="1184"/>
      <c r="O823" s="1184"/>
      <c r="P823" s="1184"/>
      <c r="Q823" s="1184"/>
      <c r="R823" s="1184"/>
      <c r="S823" s="1184"/>
      <c r="T823" s="1184"/>
      <c r="U823" s="1184"/>
      <c r="V823" s="1184"/>
      <c r="W823" s="1184"/>
      <c r="X823" s="1184"/>
      <c r="Y823" s="1184"/>
      <c r="Z823" s="1184"/>
    </row>
    <row r="824" spans="1:26" ht="15.5">
      <c r="A824" s="1184"/>
      <c r="B824" s="1184"/>
      <c r="C824" s="1184"/>
      <c r="D824" s="1184"/>
      <c r="E824" s="1184"/>
      <c r="F824" s="1184"/>
      <c r="G824" s="1184"/>
      <c r="H824" s="1184"/>
      <c r="I824" s="1184"/>
      <c r="J824" s="1184"/>
      <c r="K824" s="1184"/>
      <c r="L824" s="1184"/>
      <c r="M824" s="1184"/>
      <c r="N824" s="1184"/>
      <c r="O824" s="1184"/>
      <c r="P824" s="1184"/>
      <c r="Q824" s="1184"/>
      <c r="R824" s="1184"/>
      <c r="S824" s="1184"/>
      <c r="T824" s="1184"/>
      <c r="U824" s="1184"/>
      <c r="V824" s="1184"/>
      <c r="W824" s="1184"/>
      <c r="X824" s="1184"/>
      <c r="Y824" s="1184"/>
      <c r="Z824" s="1184"/>
    </row>
    <row r="825" spans="1:26" ht="15.5">
      <c r="A825" s="1184"/>
      <c r="B825" s="1184"/>
      <c r="C825" s="1184"/>
      <c r="D825" s="1184"/>
      <c r="E825" s="1184"/>
      <c r="F825" s="1184"/>
      <c r="G825" s="1184"/>
      <c r="H825" s="1184"/>
      <c r="I825" s="1184"/>
      <c r="J825" s="1184"/>
      <c r="K825" s="1184"/>
      <c r="L825" s="1184"/>
      <c r="M825" s="1184"/>
      <c r="N825" s="1184"/>
      <c r="O825" s="1184"/>
      <c r="P825" s="1184"/>
      <c r="Q825" s="1184"/>
      <c r="R825" s="1184"/>
      <c r="S825" s="1184"/>
      <c r="T825" s="1184"/>
      <c r="U825" s="1184"/>
      <c r="V825" s="1184"/>
      <c r="W825" s="1184"/>
      <c r="X825" s="1184"/>
      <c r="Y825" s="1184"/>
      <c r="Z825" s="1184"/>
    </row>
    <row r="826" spans="1:26" ht="15.5">
      <c r="A826" s="1184"/>
      <c r="B826" s="1184"/>
      <c r="C826" s="1184"/>
      <c r="D826" s="1184"/>
      <c r="E826" s="1184"/>
      <c r="F826" s="1184"/>
      <c r="G826" s="1184"/>
      <c r="H826" s="1184"/>
      <c r="I826" s="1184"/>
      <c r="J826" s="1184"/>
      <c r="K826" s="1184"/>
      <c r="L826" s="1184"/>
      <c r="M826" s="1184"/>
      <c r="N826" s="1184"/>
      <c r="O826" s="1184"/>
      <c r="P826" s="1184"/>
      <c r="Q826" s="1184"/>
      <c r="R826" s="1184"/>
      <c r="S826" s="1184"/>
      <c r="T826" s="1184"/>
      <c r="U826" s="1184"/>
      <c r="V826" s="1184"/>
      <c r="W826" s="1184"/>
      <c r="X826" s="1184"/>
      <c r="Y826" s="1184"/>
      <c r="Z826" s="1184"/>
    </row>
    <row r="827" spans="1:26" ht="15.5">
      <c r="A827" s="1184"/>
      <c r="B827" s="1184"/>
      <c r="C827" s="1184"/>
      <c r="D827" s="1184"/>
      <c r="E827" s="1184"/>
      <c r="F827" s="1184"/>
      <c r="G827" s="1184"/>
      <c r="H827" s="1184"/>
      <c r="I827" s="1184"/>
      <c r="J827" s="1184"/>
      <c r="K827" s="1184"/>
      <c r="L827" s="1184"/>
      <c r="M827" s="1184"/>
      <c r="N827" s="1184"/>
      <c r="O827" s="1184"/>
      <c r="P827" s="1184"/>
      <c r="Q827" s="1184"/>
      <c r="R827" s="1184"/>
      <c r="S827" s="1184"/>
      <c r="T827" s="1184"/>
      <c r="U827" s="1184"/>
      <c r="V827" s="1184"/>
      <c r="W827" s="1184"/>
      <c r="X827" s="1184"/>
      <c r="Y827" s="1184"/>
      <c r="Z827" s="1184"/>
    </row>
    <row r="828" spans="1:26" ht="15.5">
      <c r="A828" s="1184"/>
      <c r="B828" s="1184"/>
      <c r="C828" s="1184"/>
      <c r="D828" s="1184"/>
      <c r="E828" s="1184"/>
      <c r="F828" s="1184"/>
      <c r="G828" s="1184"/>
      <c r="H828" s="1184"/>
      <c r="I828" s="1184"/>
      <c r="J828" s="1184"/>
      <c r="K828" s="1184"/>
      <c r="L828" s="1184"/>
      <c r="M828" s="1184"/>
      <c r="N828" s="1184"/>
      <c r="O828" s="1184"/>
      <c r="P828" s="1184"/>
      <c r="Q828" s="1184"/>
      <c r="R828" s="1184"/>
      <c r="S828" s="1184"/>
      <c r="T828" s="1184"/>
      <c r="U828" s="1184"/>
      <c r="V828" s="1184"/>
      <c r="W828" s="1184"/>
      <c r="X828" s="1184"/>
      <c r="Y828" s="1184"/>
      <c r="Z828" s="1184"/>
    </row>
    <row r="829" spans="1:26" ht="15.5">
      <c r="A829" s="1184"/>
      <c r="B829" s="1184"/>
      <c r="C829" s="1184"/>
      <c r="D829" s="1184"/>
      <c r="E829" s="1184"/>
      <c r="F829" s="1184"/>
      <c r="G829" s="1184"/>
      <c r="H829" s="1184"/>
      <c r="I829" s="1184"/>
      <c r="J829" s="1184"/>
      <c r="K829" s="1184"/>
      <c r="L829" s="1184"/>
      <c r="M829" s="1184"/>
      <c r="N829" s="1184"/>
      <c r="O829" s="1184"/>
      <c r="P829" s="1184"/>
      <c r="Q829" s="1184"/>
      <c r="R829" s="1184"/>
      <c r="S829" s="1184"/>
      <c r="T829" s="1184"/>
      <c r="U829" s="1184"/>
      <c r="V829" s="1184"/>
      <c r="W829" s="1184"/>
      <c r="X829" s="1184"/>
      <c r="Y829" s="1184"/>
      <c r="Z829" s="1184"/>
    </row>
    <row r="830" spans="1:26" ht="15.5">
      <c r="A830" s="1184"/>
      <c r="B830" s="1184"/>
      <c r="C830" s="1184"/>
      <c r="D830" s="1184"/>
      <c r="E830" s="1184"/>
      <c r="F830" s="1184"/>
      <c r="G830" s="1184"/>
      <c r="H830" s="1184"/>
      <c r="I830" s="1184"/>
      <c r="J830" s="1184"/>
      <c r="K830" s="1184"/>
      <c r="L830" s="1184"/>
      <c r="M830" s="1184"/>
      <c r="N830" s="1184"/>
      <c r="O830" s="1184"/>
      <c r="P830" s="1184"/>
      <c r="Q830" s="1184"/>
      <c r="R830" s="1184"/>
      <c r="S830" s="1184"/>
      <c r="T830" s="1184"/>
      <c r="U830" s="1184"/>
      <c r="V830" s="1184"/>
      <c r="W830" s="1184"/>
      <c r="X830" s="1184"/>
      <c r="Y830" s="1184"/>
      <c r="Z830" s="1184"/>
    </row>
    <row r="831" spans="1:26" ht="15.5">
      <c r="A831" s="1184"/>
      <c r="B831" s="1184"/>
      <c r="C831" s="1184"/>
      <c r="D831" s="1184"/>
      <c r="E831" s="1184"/>
      <c r="F831" s="1184"/>
      <c r="G831" s="1184"/>
      <c r="H831" s="1184"/>
      <c r="I831" s="1184"/>
      <c r="J831" s="1184"/>
      <c r="K831" s="1184"/>
      <c r="L831" s="1184"/>
      <c r="M831" s="1184"/>
      <c r="N831" s="1184"/>
      <c r="O831" s="1184"/>
      <c r="P831" s="1184"/>
      <c r="Q831" s="1184"/>
      <c r="R831" s="1184"/>
      <c r="S831" s="1184"/>
      <c r="T831" s="1184"/>
      <c r="U831" s="1184"/>
      <c r="V831" s="1184"/>
      <c r="W831" s="1184"/>
      <c r="X831" s="1184"/>
      <c r="Y831" s="1184"/>
      <c r="Z831" s="1184"/>
    </row>
    <row r="832" spans="1:26" ht="15.5">
      <c r="A832" s="1184"/>
      <c r="B832" s="1184"/>
      <c r="C832" s="1184"/>
      <c r="D832" s="1184"/>
      <c r="E832" s="1184"/>
      <c r="F832" s="1184"/>
      <c r="G832" s="1184"/>
      <c r="H832" s="1184"/>
      <c r="I832" s="1184"/>
      <c r="J832" s="1184"/>
      <c r="K832" s="1184"/>
      <c r="L832" s="1184"/>
      <c r="M832" s="1184"/>
      <c r="N832" s="1184"/>
      <c r="O832" s="1184"/>
      <c r="P832" s="1184"/>
      <c r="Q832" s="1184"/>
      <c r="R832" s="1184"/>
      <c r="S832" s="1184"/>
      <c r="T832" s="1184"/>
      <c r="U832" s="1184"/>
      <c r="V832" s="1184"/>
      <c r="W832" s="1184"/>
      <c r="X832" s="1184"/>
      <c r="Y832" s="1184"/>
      <c r="Z832" s="1184"/>
    </row>
    <row r="833" spans="1:26" ht="15.5">
      <c r="A833" s="1184"/>
      <c r="B833" s="1184"/>
      <c r="C833" s="1184"/>
      <c r="D833" s="1184"/>
      <c r="E833" s="1184"/>
      <c r="F833" s="1184"/>
      <c r="G833" s="1184"/>
      <c r="H833" s="1184"/>
      <c r="I833" s="1184"/>
      <c r="J833" s="1184"/>
      <c r="K833" s="1184"/>
      <c r="L833" s="1184"/>
      <c r="M833" s="1184"/>
      <c r="N833" s="1184"/>
      <c r="O833" s="1184"/>
      <c r="P833" s="1184"/>
      <c r="Q833" s="1184"/>
      <c r="R833" s="1184"/>
      <c r="S833" s="1184"/>
      <c r="T833" s="1184"/>
      <c r="U833" s="1184"/>
      <c r="V833" s="1184"/>
      <c r="W833" s="1184"/>
      <c r="X833" s="1184"/>
      <c r="Y833" s="1184"/>
      <c r="Z833" s="1184"/>
    </row>
    <row r="834" spans="1:26" ht="15.5">
      <c r="A834" s="1184"/>
      <c r="B834" s="1184"/>
      <c r="C834" s="1184"/>
      <c r="D834" s="1184"/>
      <c r="E834" s="1184"/>
      <c r="F834" s="1184"/>
      <c r="G834" s="1184"/>
      <c r="H834" s="1184"/>
      <c r="I834" s="1184"/>
      <c r="J834" s="1184"/>
      <c r="K834" s="1184"/>
      <c r="L834" s="1184"/>
      <c r="M834" s="1184"/>
      <c r="N834" s="1184"/>
      <c r="O834" s="1184"/>
      <c r="P834" s="1184"/>
      <c r="Q834" s="1184"/>
      <c r="R834" s="1184"/>
      <c r="S834" s="1184"/>
      <c r="T834" s="1184"/>
      <c r="U834" s="1184"/>
      <c r="V834" s="1184"/>
      <c r="W834" s="1184"/>
      <c r="X834" s="1184"/>
      <c r="Y834" s="1184"/>
      <c r="Z834" s="1184"/>
    </row>
    <row r="835" spans="1:26" ht="15.5">
      <c r="A835" s="1184"/>
      <c r="B835" s="1184"/>
      <c r="C835" s="1184"/>
      <c r="D835" s="1184"/>
      <c r="E835" s="1184"/>
      <c r="F835" s="1184"/>
      <c r="G835" s="1184"/>
      <c r="H835" s="1184"/>
      <c r="I835" s="1184"/>
      <c r="J835" s="1184"/>
      <c r="K835" s="1184"/>
      <c r="L835" s="1184"/>
      <c r="M835" s="1184"/>
      <c r="N835" s="1184"/>
      <c r="O835" s="1184"/>
      <c r="P835" s="1184"/>
      <c r="Q835" s="1184"/>
      <c r="R835" s="1184"/>
      <c r="S835" s="1184"/>
      <c r="T835" s="1184"/>
      <c r="U835" s="1184"/>
      <c r="V835" s="1184"/>
      <c r="W835" s="1184"/>
      <c r="X835" s="1184"/>
      <c r="Y835" s="1184"/>
      <c r="Z835" s="1184"/>
    </row>
    <row r="836" spans="1:26" ht="15.5">
      <c r="A836" s="1184"/>
      <c r="B836" s="1184"/>
      <c r="C836" s="1184"/>
      <c r="D836" s="1184"/>
      <c r="E836" s="1184"/>
      <c r="F836" s="1184"/>
      <c r="G836" s="1184"/>
      <c r="H836" s="1184"/>
      <c r="I836" s="1184"/>
      <c r="J836" s="1184"/>
      <c r="K836" s="1184"/>
      <c r="L836" s="1184"/>
      <c r="M836" s="1184"/>
      <c r="N836" s="1184"/>
      <c r="O836" s="1184"/>
      <c r="P836" s="1184"/>
      <c r="Q836" s="1184"/>
      <c r="R836" s="1184"/>
      <c r="S836" s="1184"/>
      <c r="T836" s="1184"/>
      <c r="U836" s="1184"/>
      <c r="V836" s="1184"/>
      <c r="W836" s="1184"/>
      <c r="X836" s="1184"/>
      <c r="Y836" s="1184"/>
      <c r="Z836" s="1184"/>
    </row>
    <row r="837" spans="1:26" ht="15.5">
      <c r="A837" s="1184"/>
      <c r="B837" s="1184"/>
      <c r="C837" s="1184"/>
      <c r="D837" s="1184"/>
      <c r="E837" s="1184"/>
      <c r="F837" s="1184"/>
      <c r="G837" s="1184"/>
      <c r="H837" s="1184"/>
      <c r="I837" s="1184"/>
      <c r="J837" s="1184"/>
      <c r="K837" s="1184"/>
      <c r="L837" s="1184"/>
      <c r="M837" s="1184"/>
      <c r="N837" s="1184"/>
      <c r="O837" s="1184"/>
      <c r="P837" s="1184"/>
      <c r="Q837" s="1184"/>
      <c r="R837" s="1184"/>
      <c r="S837" s="1184"/>
      <c r="T837" s="1184"/>
      <c r="U837" s="1184"/>
      <c r="V837" s="1184"/>
      <c r="W837" s="1184"/>
      <c r="X837" s="1184"/>
      <c r="Y837" s="1184"/>
      <c r="Z837" s="1184"/>
    </row>
    <row r="838" spans="1:26" ht="15.5">
      <c r="A838" s="1184"/>
      <c r="B838" s="1184"/>
      <c r="C838" s="1184"/>
      <c r="D838" s="1184"/>
      <c r="E838" s="1184"/>
      <c r="F838" s="1184"/>
      <c r="G838" s="1184"/>
      <c r="H838" s="1184"/>
      <c r="I838" s="1184"/>
      <c r="J838" s="1184"/>
      <c r="K838" s="1184"/>
      <c r="L838" s="1184"/>
      <c r="M838" s="1184"/>
      <c r="N838" s="1184"/>
      <c r="O838" s="1184"/>
      <c r="P838" s="1184"/>
      <c r="Q838" s="1184"/>
      <c r="R838" s="1184"/>
      <c r="S838" s="1184"/>
      <c r="T838" s="1184"/>
      <c r="U838" s="1184"/>
      <c r="V838" s="1184"/>
      <c r="W838" s="1184"/>
      <c r="X838" s="1184"/>
      <c r="Y838" s="1184"/>
      <c r="Z838" s="1184"/>
    </row>
    <row r="839" spans="1:26" ht="15.5">
      <c r="A839" s="1184"/>
      <c r="B839" s="1184"/>
      <c r="C839" s="1184"/>
      <c r="D839" s="1184"/>
      <c r="E839" s="1184"/>
      <c r="F839" s="1184"/>
      <c r="G839" s="1184"/>
      <c r="H839" s="1184"/>
      <c r="I839" s="1184"/>
      <c r="J839" s="1184"/>
      <c r="K839" s="1184"/>
      <c r="L839" s="1184"/>
      <c r="M839" s="1184"/>
      <c r="N839" s="1184"/>
      <c r="O839" s="1184"/>
      <c r="P839" s="1184"/>
      <c r="Q839" s="1184"/>
      <c r="R839" s="1184"/>
      <c r="S839" s="1184"/>
      <c r="T839" s="1184"/>
      <c r="U839" s="1184"/>
      <c r="V839" s="1184"/>
      <c r="W839" s="1184"/>
      <c r="X839" s="1184"/>
      <c r="Y839" s="1184"/>
      <c r="Z839" s="1184"/>
    </row>
    <row r="840" spans="1:26" ht="15.5">
      <c r="A840" s="1184"/>
      <c r="B840" s="1184"/>
      <c r="C840" s="1184"/>
      <c r="D840" s="1184"/>
      <c r="E840" s="1184"/>
      <c r="F840" s="1184"/>
      <c r="G840" s="1184"/>
      <c r="H840" s="1184"/>
      <c r="I840" s="1184"/>
      <c r="J840" s="1184"/>
      <c r="K840" s="1184"/>
      <c r="L840" s="1184"/>
      <c r="M840" s="1184"/>
      <c r="N840" s="1184"/>
      <c r="O840" s="1184"/>
      <c r="P840" s="1184"/>
      <c r="Q840" s="1184"/>
      <c r="R840" s="1184"/>
      <c r="S840" s="1184"/>
      <c r="T840" s="1184"/>
      <c r="U840" s="1184"/>
      <c r="V840" s="1184"/>
      <c r="W840" s="1184"/>
      <c r="X840" s="1184"/>
      <c r="Y840" s="1184"/>
      <c r="Z840" s="1184"/>
    </row>
    <row r="841" spans="1:26" ht="15.5">
      <c r="A841" s="1184"/>
      <c r="B841" s="1184"/>
      <c r="C841" s="1184"/>
      <c r="D841" s="1184"/>
      <c r="E841" s="1184"/>
      <c r="F841" s="1184"/>
      <c r="G841" s="1184"/>
      <c r="H841" s="1184"/>
      <c r="I841" s="1184"/>
      <c r="J841" s="1184"/>
      <c r="K841" s="1184"/>
      <c r="L841" s="1184"/>
      <c r="M841" s="1184"/>
      <c r="N841" s="1184"/>
      <c r="O841" s="1184"/>
      <c r="P841" s="1184"/>
      <c r="Q841" s="1184"/>
      <c r="R841" s="1184"/>
      <c r="S841" s="1184"/>
      <c r="T841" s="1184"/>
      <c r="U841" s="1184"/>
      <c r="V841" s="1184"/>
      <c r="W841" s="1184"/>
      <c r="X841" s="1184"/>
      <c r="Y841" s="1184"/>
      <c r="Z841" s="1184"/>
    </row>
    <row r="842" spans="1:26" ht="15.5">
      <c r="A842" s="1184"/>
      <c r="B842" s="1184"/>
      <c r="C842" s="1184"/>
      <c r="D842" s="1184"/>
      <c r="E842" s="1184"/>
      <c r="F842" s="1184"/>
      <c r="G842" s="1184"/>
      <c r="H842" s="1184"/>
      <c r="I842" s="1184"/>
      <c r="J842" s="1184"/>
      <c r="K842" s="1184"/>
      <c r="L842" s="1184"/>
      <c r="M842" s="1184"/>
      <c r="N842" s="1184"/>
      <c r="O842" s="1184"/>
      <c r="P842" s="1184"/>
      <c r="Q842" s="1184"/>
      <c r="R842" s="1184"/>
      <c r="S842" s="1184"/>
      <c r="T842" s="1184"/>
      <c r="U842" s="1184"/>
      <c r="V842" s="1184"/>
      <c r="W842" s="1184"/>
      <c r="X842" s="1184"/>
      <c r="Y842" s="1184"/>
      <c r="Z842" s="1184"/>
    </row>
    <row r="843" spans="1:26" ht="15.5">
      <c r="A843" s="1184"/>
      <c r="B843" s="1184"/>
      <c r="C843" s="1184"/>
      <c r="D843" s="1184"/>
      <c r="E843" s="1184"/>
      <c r="F843" s="1184"/>
      <c r="G843" s="1184"/>
      <c r="H843" s="1184"/>
      <c r="I843" s="1184"/>
      <c r="J843" s="1184"/>
      <c r="K843" s="1184"/>
      <c r="L843" s="1184"/>
      <c r="M843" s="1184"/>
      <c r="N843" s="1184"/>
      <c r="O843" s="1184"/>
      <c r="P843" s="1184"/>
      <c r="Q843" s="1184"/>
      <c r="R843" s="1184"/>
      <c r="S843" s="1184"/>
      <c r="T843" s="1184"/>
      <c r="U843" s="1184"/>
      <c r="V843" s="1184"/>
      <c r="W843" s="1184"/>
      <c r="X843" s="1184"/>
      <c r="Y843" s="1184"/>
      <c r="Z843" s="1184"/>
    </row>
    <row r="844" spans="1:26" ht="15.5">
      <c r="A844" s="1184"/>
      <c r="B844" s="1184"/>
      <c r="C844" s="1184"/>
      <c r="D844" s="1184"/>
      <c r="E844" s="1184"/>
      <c r="F844" s="1184"/>
      <c r="G844" s="1184"/>
      <c r="H844" s="1184"/>
      <c r="I844" s="1184"/>
      <c r="J844" s="1184"/>
      <c r="K844" s="1184"/>
      <c r="L844" s="1184"/>
      <c r="M844" s="1184"/>
      <c r="N844" s="1184"/>
      <c r="O844" s="1184"/>
      <c r="P844" s="1184"/>
      <c r="Q844" s="1184"/>
      <c r="R844" s="1184"/>
      <c r="S844" s="1184"/>
      <c r="T844" s="1184"/>
      <c r="U844" s="1184"/>
      <c r="V844" s="1184"/>
      <c r="W844" s="1184"/>
      <c r="X844" s="1184"/>
      <c r="Y844" s="1184"/>
      <c r="Z844" s="1184"/>
    </row>
    <row r="845" spans="1:26" ht="15.5">
      <c r="A845" s="1184"/>
      <c r="B845" s="1184"/>
      <c r="C845" s="1184"/>
      <c r="D845" s="1184"/>
      <c r="E845" s="1184"/>
      <c r="F845" s="1184"/>
      <c r="G845" s="1184"/>
      <c r="H845" s="1184"/>
      <c r="I845" s="1184"/>
      <c r="J845" s="1184"/>
      <c r="K845" s="1184"/>
      <c r="L845" s="1184"/>
      <c r="M845" s="1184"/>
      <c r="N845" s="1184"/>
      <c r="O845" s="1184"/>
      <c r="P845" s="1184"/>
      <c r="Q845" s="1184"/>
      <c r="R845" s="1184"/>
      <c r="S845" s="1184"/>
      <c r="T845" s="1184"/>
      <c r="U845" s="1184"/>
      <c r="V845" s="1184"/>
      <c r="W845" s="1184"/>
      <c r="X845" s="1184"/>
      <c r="Y845" s="1184"/>
      <c r="Z845" s="1184"/>
    </row>
    <row r="846" spans="1:26" ht="15.5">
      <c r="A846" s="1184"/>
      <c r="B846" s="1184"/>
      <c r="C846" s="1184"/>
      <c r="D846" s="1184"/>
      <c r="E846" s="1184"/>
      <c r="F846" s="1184"/>
      <c r="G846" s="1184"/>
      <c r="H846" s="1184"/>
      <c r="I846" s="1184"/>
      <c r="J846" s="1184"/>
      <c r="K846" s="1184"/>
      <c r="L846" s="1184"/>
      <c r="M846" s="1184"/>
      <c r="N846" s="1184"/>
      <c r="O846" s="1184"/>
      <c r="P846" s="1184"/>
      <c r="Q846" s="1184"/>
      <c r="R846" s="1184"/>
      <c r="S846" s="1184"/>
      <c r="T846" s="1184"/>
      <c r="U846" s="1184"/>
      <c r="V846" s="1184"/>
      <c r="W846" s="1184"/>
      <c r="X846" s="1184"/>
      <c r="Y846" s="1184"/>
      <c r="Z846" s="1184"/>
    </row>
    <row r="847" spans="1:26" ht="15.5">
      <c r="A847" s="1184"/>
      <c r="B847" s="1184"/>
      <c r="C847" s="1184"/>
      <c r="D847" s="1184"/>
      <c r="E847" s="1184"/>
      <c r="F847" s="1184"/>
      <c r="G847" s="1184"/>
      <c r="H847" s="1184"/>
      <c r="I847" s="1184"/>
      <c r="J847" s="1184"/>
      <c r="K847" s="1184"/>
      <c r="L847" s="1184"/>
      <c r="M847" s="1184"/>
      <c r="N847" s="1184"/>
      <c r="O847" s="1184"/>
      <c r="P847" s="1184"/>
      <c r="Q847" s="1184"/>
      <c r="R847" s="1184"/>
      <c r="S847" s="1184"/>
      <c r="T847" s="1184"/>
      <c r="U847" s="1184"/>
      <c r="V847" s="1184"/>
      <c r="W847" s="1184"/>
      <c r="X847" s="1184"/>
      <c r="Y847" s="1184"/>
      <c r="Z847" s="1184"/>
    </row>
    <row r="848" spans="1:26" ht="15.5">
      <c r="A848" s="1184"/>
      <c r="B848" s="1184"/>
      <c r="C848" s="1184"/>
      <c r="D848" s="1184"/>
      <c r="E848" s="1184"/>
      <c r="F848" s="1184"/>
      <c r="G848" s="1184"/>
      <c r="H848" s="1184"/>
      <c r="I848" s="1184"/>
      <c r="J848" s="1184"/>
      <c r="K848" s="1184"/>
      <c r="L848" s="1184"/>
      <c r="M848" s="1184"/>
      <c r="N848" s="1184"/>
      <c r="O848" s="1184"/>
      <c r="P848" s="1184"/>
      <c r="Q848" s="1184"/>
      <c r="R848" s="1184"/>
      <c r="S848" s="1184"/>
      <c r="T848" s="1184"/>
      <c r="U848" s="1184"/>
      <c r="V848" s="1184"/>
      <c r="W848" s="1184"/>
      <c r="X848" s="1184"/>
      <c r="Y848" s="1184"/>
      <c r="Z848" s="1184"/>
    </row>
    <row r="849" spans="1:26" ht="15.5">
      <c r="A849" s="1184"/>
      <c r="B849" s="1184"/>
      <c r="C849" s="1184"/>
      <c r="D849" s="1184"/>
      <c r="E849" s="1184"/>
      <c r="F849" s="1184"/>
      <c r="G849" s="1184"/>
      <c r="H849" s="1184"/>
      <c r="I849" s="1184"/>
      <c r="J849" s="1184"/>
      <c r="K849" s="1184"/>
      <c r="L849" s="1184"/>
      <c r="M849" s="1184"/>
      <c r="N849" s="1184"/>
      <c r="O849" s="1184"/>
      <c r="P849" s="1184"/>
      <c r="Q849" s="1184"/>
      <c r="R849" s="1184"/>
      <c r="S849" s="1184"/>
      <c r="T849" s="1184"/>
      <c r="U849" s="1184"/>
      <c r="V849" s="1184"/>
      <c r="W849" s="1184"/>
      <c r="X849" s="1184"/>
      <c r="Y849" s="1184"/>
      <c r="Z849" s="1184"/>
    </row>
    <row r="850" spans="1:26" ht="15.5">
      <c r="A850" s="1184"/>
      <c r="B850" s="1184"/>
      <c r="C850" s="1184"/>
      <c r="D850" s="1184"/>
      <c r="E850" s="1184"/>
      <c r="F850" s="1184"/>
      <c r="G850" s="1184"/>
      <c r="H850" s="1184"/>
      <c r="I850" s="1184"/>
      <c r="J850" s="1184"/>
      <c r="K850" s="1184"/>
      <c r="L850" s="1184"/>
      <c r="M850" s="1184"/>
      <c r="N850" s="1184"/>
      <c r="O850" s="1184"/>
      <c r="P850" s="1184"/>
      <c r="Q850" s="1184"/>
      <c r="R850" s="1184"/>
      <c r="S850" s="1184"/>
      <c r="T850" s="1184"/>
      <c r="U850" s="1184"/>
      <c r="V850" s="1184"/>
      <c r="W850" s="1184"/>
      <c r="X850" s="1184"/>
      <c r="Y850" s="1184"/>
      <c r="Z850" s="1184"/>
    </row>
    <row r="851" spans="1:26" ht="15.5">
      <c r="A851" s="1184"/>
      <c r="B851" s="1184"/>
      <c r="C851" s="1184"/>
      <c r="D851" s="1184"/>
      <c r="E851" s="1184"/>
      <c r="F851" s="1184"/>
      <c r="G851" s="1184"/>
      <c r="H851" s="1184"/>
      <c r="I851" s="1184"/>
      <c r="J851" s="1184"/>
      <c r="K851" s="1184"/>
      <c r="L851" s="1184"/>
      <c r="M851" s="1184"/>
      <c r="N851" s="1184"/>
      <c r="O851" s="1184"/>
      <c r="P851" s="1184"/>
      <c r="Q851" s="1184"/>
      <c r="R851" s="1184"/>
      <c r="S851" s="1184"/>
      <c r="T851" s="1184"/>
      <c r="U851" s="1184"/>
      <c r="V851" s="1184"/>
      <c r="W851" s="1184"/>
      <c r="X851" s="1184"/>
      <c r="Y851" s="1184"/>
      <c r="Z851" s="1184"/>
    </row>
    <row r="852" spans="1:26" ht="15.5">
      <c r="A852" s="1184"/>
      <c r="B852" s="1184"/>
      <c r="C852" s="1184"/>
      <c r="D852" s="1184"/>
      <c r="E852" s="1184"/>
      <c r="F852" s="1184"/>
      <c r="G852" s="1184"/>
      <c r="H852" s="1184"/>
      <c r="I852" s="1184"/>
      <c r="J852" s="1184"/>
      <c r="K852" s="1184"/>
      <c r="L852" s="1184"/>
      <c r="M852" s="1184"/>
      <c r="N852" s="1184"/>
      <c r="O852" s="1184"/>
      <c r="P852" s="1184"/>
      <c r="Q852" s="1184"/>
      <c r="R852" s="1184"/>
      <c r="S852" s="1184"/>
      <c r="T852" s="1184"/>
      <c r="U852" s="1184"/>
      <c r="V852" s="1184"/>
      <c r="W852" s="1184"/>
      <c r="X852" s="1184"/>
      <c r="Y852" s="1184"/>
      <c r="Z852" s="1184"/>
    </row>
    <row r="853" spans="1:26" ht="15.5">
      <c r="A853" s="1184"/>
      <c r="B853" s="1184"/>
      <c r="C853" s="1184"/>
      <c r="D853" s="1184"/>
      <c r="E853" s="1184"/>
      <c r="F853" s="1184"/>
      <c r="G853" s="1184"/>
      <c r="H853" s="1184"/>
      <c r="I853" s="1184"/>
      <c r="J853" s="1184"/>
      <c r="K853" s="1184"/>
      <c r="L853" s="1184"/>
      <c r="M853" s="1184"/>
      <c r="N853" s="1184"/>
      <c r="O853" s="1184"/>
      <c r="P853" s="1184"/>
      <c r="Q853" s="1184"/>
      <c r="R853" s="1184"/>
      <c r="S853" s="1184"/>
      <c r="T853" s="1184"/>
      <c r="U853" s="1184"/>
      <c r="V853" s="1184"/>
      <c r="W853" s="1184"/>
      <c r="X853" s="1184"/>
      <c r="Y853" s="1184"/>
      <c r="Z853" s="1184"/>
    </row>
    <row r="854" spans="1:26" ht="15.5">
      <c r="A854" s="1184"/>
      <c r="B854" s="1184"/>
      <c r="C854" s="1184"/>
      <c r="D854" s="1184"/>
      <c r="E854" s="1184"/>
      <c r="F854" s="1184"/>
      <c r="G854" s="1184"/>
      <c r="H854" s="1184"/>
      <c r="I854" s="1184"/>
      <c r="J854" s="1184"/>
      <c r="K854" s="1184"/>
      <c r="L854" s="1184"/>
      <c r="M854" s="1184"/>
      <c r="N854" s="1184"/>
      <c r="O854" s="1184"/>
      <c r="P854" s="1184"/>
      <c r="Q854" s="1184"/>
      <c r="R854" s="1184"/>
      <c r="S854" s="1184"/>
      <c r="T854" s="1184"/>
      <c r="U854" s="1184"/>
      <c r="V854" s="1184"/>
      <c r="W854" s="1184"/>
      <c r="X854" s="1184"/>
      <c r="Y854" s="1184"/>
      <c r="Z854" s="1184"/>
    </row>
    <row r="855" spans="1:26" ht="15.5">
      <c r="A855" s="1184"/>
      <c r="B855" s="1184"/>
      <c r="C855" s="1184"/>
      <c r="D855" s="1184"/>
      <c r="E855" s="1184"/>
      <c r="F855" s="1184"/>
      <c r="G855" s="1184"/>
      <c r="H855" s="1184"/>
      <c r="I855" s="1184"/>
      <c r="J855" s="1184"/>
      <c r="K855" s="1184"/>
      <c r="L855" s="1184"/>
      <c r="M855" s="1184"/>
      <c r="N855" s="1184"/>
      <c r="O855" s="1184"/>
      <c r="P855" s="1184"/>
      <c r="Q855" s="1184"/>
      <c r="R855" s="1184"/>
      <c r="S855" s="1184"/>
      <c r="T855" s="1184"/>
      <c r="U855" s="1184"/>
      <c r="V855" s="1184"/>
      <c r="W855" s="1184"/>
      <c r="X855" s="1184"/>
      <c r="Y855" s="1184"/>
      <c r="Z855" s="1184"/>
    </row>
    <row r="856" spans="1:26" ht="15.5">
      <c r="A856" s="1184"/>
      <c r="B856" s="1184"/>
      <c r="C856" s="1184"/>
      <c r="D856" s="1184"/>
      <c r="E856" s="1184"/>
      <c r="F856" s="1184"/>
      <c r="G856" s="1184"/>
      <c r="H856" s="1184"/>
      <c r="I856" s="1184"/>
      <c r="J856" s="1184"/>
      <c r="K856" s="1184"/>
      <c r="L856" s="1184"/>
      <c r="M856" s="1184"/>
      <c r="N856" s="1184"/>
      <c r="O856" s="1184"/>
      <c r="P856" s="1184"/>
      <c r="Q856" s="1184"/>
      <c r="R856" s="1184"/>
      <c r="S856" s="1184"/>
      <c r="T856" s="1184"/>
      <c r="U856" s="1184"/>
      <c r="V856" s="1184"/>
      <c r="W856" s="1184"/>
      <c r="X856" s="1184"/>
      <c r="Y856" s="1184"/>
      <c r="Z856" s="1184"/>
    </row>
    <row r="857" spans="1:26" ht="15.5">
      <c r="A857" s="1184"/>
      <c r="B857" s="1184"/>
      <c r="C857" s="1184"/>
      <c r="D857" s="1184"/>
      <c r="E857" s="1184"/>
      <c r="F857" s="1184"/>
      <c r="G857" s="1184"/>
      <c r="H857" s="1184"/>
      <c r="I857" s="1184"/>
      <c r="J857" s="1184"/>
      <c r="K857" s="1184"/>
      <c r="L857" s="1184"/>
      <c r="M857" s="1184"/>
      <c r="N857" s="1184"/>
      <c r="O857" s="1184"/>
      <c r="P857" s="1184"/>
      <c r="Q857" s="1184"/>
      <c r="R857" s="1184"/>
      <c r="S857" s="1184"/>
      <c r="T857" s="1184"/>
      <c r="U857" s="1184"/>
      <c r="V857" s="1184"/>
      <c r="W857" s="1184"/>
      <c r="X857" s="1184"/>
      <c r="Y857" s="1184"/>
      <c r="Z857" s="1184"/>
    </row>
    <row r="858" spans="1:26" ht="15.5">
      <c r="A858" s="1184"/>
      <c r="B858" s="1184"/>
      <c r="C858" s="1184"/>
      <c r="D858" s="1184"/>
      <c r="E858" s="1184"/>
      <c r="F858" s="1184"/>
      <c r="G858" s="1184"/>
      <c r="H858" s="1184"/>
      <c r="I858" s="1184"/>
      <c r="J858" s="1184"/>
      <c r="K858" s="1184"/>
      <c r="L858" s="1184"/>
      <c r="M858" s="1184"/>
      <c r="N858" s="1184"/>
      <c r="O858" s="1184"/>
      <c r="P858" s="1184"/>
      <c r="Q858" s="1184"/>
      <c r="R858" s="1184"/>
      <c r="S858" s="1184"/>
      <c r="T858" s="1184"/>
      <c r="U858" s="1184"/>
      <c r="V858" s="1184"/>
      <c r="W858" s="1184"/>
      <c r="X858" s="1184"/>
      <c r="Y858" s="1184"/>
      <c r="Z858" s="1184"/>
    </row>
    <row r="859" spans="1:26" ht="15.5">
      <c r="A859" s="1184"/>
      <c r="B859" s="1184"/>
      <c r="C859" s="1184"/>
      <c r="D859" s="1184"/>
      <c r="E859" s="1184"/>
      <c r="F859" s="1184"/>
      <c r="G859" s="1184"/>
      <c r="H859" s="1184"/>
      <c r="I859" s="1184"/>
      <c r="J859" s="1184"/>
      <c r="K859" s="1184"/>
      <c r="L859" s="1184"/>
      <c r="M859" s="1184"/>
      <c r="N859" s="1184"/>
      <c r="O859" s="1184"/>
      <c r="P859" s="1184"/>
      <c r="Q859" s="1184"/>
      <c r="R859" s="1184"/>
      <c r="S859" s="1184"/>
      <c r="T859" s="1184"/>
      <c r="U859" s="1184"/>
      <c r="V859" s="1184"/>
      <c r="W859" s="1184"/>
      <c r="X859" s="1184"/>
      <c r="Y859" s="1184"/>
      <c r="Z859" s="1184"/>
    </row>
    <row r="860" spans="1:26" ht="15.5">
      <c r="A860" s="1184"/>
      <c r="B860" s="1184"/>
      <c r="C860" s="1184"/>
      <c r="D860" s="1184"/>
      <c r="E860" s="1184"/>
      <c r="F860" s="1184"/>
      <c r="G860" s="1184"/>
      <c r="H860" s="1184"/>
      <c r="I860" s="1184"/>
      <c r="J860" s="1184"/>
      <c r="K860" s="1184"/>
      <c r="L860" s="1184"/>
      <c r="M860" s="1184"/>
      <c r="N860" s="1184"/>
      <c r="O860" s="1184"/>
      <c r="P860" s="1184"/>
      <c r="Q860" s="1184"/>
      <c r="R860" s="1184"/>
      <c r="S860" s="1184"/>
      <c r="T860" s="1184"/>
      <c r="U860" s="1184"/>
      <c r="V860" s="1184"/>
      <c r="W860" s="1184"/>
      <c r="X860" s="1184"/>
      <c r="Y860" s="1184"/>
      <c r="Z860" s="1184"/>
    </row>
    <row r="861" spans="1:26" ht="15.5">
      <c r="A861" s="1184"/>
      <c r="B861" s="1184"/>
      <c r="C861" s="1184"/>
      <c r="D861" s="1184"/>
      <c r="E861" s="1184"/>
      <c r="F861" s="1184"/>
      <c r="G861" s="1184"/>
      <c r="H861" s="1184"/>
      <c r="I861" s="1184"/>
      <c r="J861" s="1184"/>
      <c r="K861" s="1184"/>
      <c r="L861" s="1184"/>
      <c r="M861" s="1184"/>
      <c r="N861" s="1184"/>
      <c r="O861" s="1184"/>
      <c r="P861" s="1184"/>
      <c r="Q861" s="1184"/>
      <c r="R861" s="1184"/>
      <c r="S861" s="1184"/>
      <c r="T861" s="1184"/>
      <c r="U861" s="1184"/>
      <c r="V861" s="1184"/>
      <c r="W861" s="1184"/>
      <c r="X861" s="1184"/>
      <c r="Y861" s="1184"/>
      <c r="Z861" s="1184"/>
    </row>
    <row r="862" spans="1:26" ht="15.5">
      <c r="A862" s="1184"/>
      <c r="B862" s="1184"/>
      <c r="C862" s="1184"/>
      <c r="D862" s="1184"/>
      <c r="E862" s="1184"/>
      <c r="F862" s="1184"/>
      <c r="G862" s="1184"/>
      <c r="H862" s="1184"/>
      <c r="I862" s="1184"/>
      <c r="J862" s="1184"/>
      <c r="K862" s="1184"/>
      <c r="L862" s="1184"/>
      <c r="M862" s="1184"/>
      <c r="N862" s="1184"/>
      <c r="O862" s="1184"/>
      <c r="P862" s="1184"/>
      <c r="Q862" s="1184"/>
      <c r="R862" s="1184"/>
      <c r="S862" s="1184"/>
      <c r="T862" s="1184"/>
      <c r="U862" s="1184"/>
      <c r="V862" s="1184"/>
      <c r="W862" s="1184"/>
      <c r="X862" s="1184"/>
      <c r="Y862" s="1184"/>
      <c r="Z862" s="1184"/>
    </row>
    <row r="863" spans="1:26" ht="15.5">
      <c r="A863" s="1184"/>
      <c r="B863" s="1184"/>
      <c r="C863" s="1184"/>
      <c r="D863" s="1184"/>
      <c r="E863" s="1184"/>
      <c r="F863" s="1184"/>
      <c r="G863" s="1184"/>
      <c r="H863" s="1184"/>
      <c r="I863" s="1184"/>
      <c r="J863" s="1184"/>
      <c r="K863" s="1184"/>
      <c r="L863" s="1184"/>
      <c r="M863" s="1184"/>
      <c r="N863" s="1184"/>
      <c r="O863" s="1184"/>
      <c r="P863" s="1184"/>
      <c r="Q863" s="1184"/>
      <c r="R863" s="1184"/>
      <c r="S863" s="1184"/>
      <c r="T863" s="1184"/>
      <c r="U863" s="1184"/>
      <c r="V863" s="1184"/>
      <c r="W863" s="1184"/>
      <c r="X863" s="1184"/>
      <c r="Y863" s="1184"/>
      <c r="Z863" s="1184"/>
    </row>
    <row r="864" spans="1:26" ht="15.5">
      <c r="A864" s="1184"/>
      <c r="B864" s="1184"/>
      <c r="C864" s="1184"/>
      <c r="D864" s="1184"/>
      <c r="E864" s="1184"/>
      <c r="F864" s="1184"/>
      <c r="G864" s="1184"/>
      <c r="H864" s="1184"/>
      <c r="I864" s="1184"/>
      <c r="J864" s="1184"/>
      <c r="K864" s="1184"/>
      <c r="L864" s="1184"/>
      <c r="M864" s="1184"/>
      <c r="N864" s="1184"/>
      <c r="O864" s="1184"/>
      <c r="P864" s="1184"/>
      <c r="Q864" s="1184"/>
      <c r="R864" s="1184"/>
      <c r="S864" s="1184"/>
      <c r="T864" s="1184"/>
      <c r="U864" s="1184"/>
      <c r="V864" s="1184"/>
      <c r="W864" s="1184"/>
      <c r="X864" s="1184"/>
      <c r="Y864" s="1184"/>
      <c r="Z864" s="1184"/>
    </row>
    <row r="865" spans="1:26" ht="15.5">
      <c r="A865" s="1184"/>
      <c r="B865" s="1184"/>
      <c r="C865" s="1184"/>
      <c r="D865" s="1184"/>
      <c r="E865" s="1184"/>
      <c r="F865" s="1184"/>
      <c r="G865" s="1184"/>
      <c r="H865" s="1184"/>
      <c r="I865" s="1184"/>
      <c r="J865" s="1184"/>
      <c r="K865" s="1184"/>
      <c r="L865" s="1184"/>
      <c r="M865" s="1184"/>
      <c r="N865" s="1184"/>
      <c r="O865" s="1184"/>
      <c r="P865" s="1184"/>
      <c r="Q865" s="1184"/>
      <c r="R865" s="1184"/>
      <c r="S865" s="1184"/>
      <c r="T865" s="1184"/>
      <c r="U865" s="1184"/>
      <c r="V865" s="1184"/>
      <c r="W865" s="1184"/>
      <c r="X865" s="1184"/>
      <c r="Y865" s="1184"/>
      <c r="Z865" s="1184"/>
    </row>
    <row r="866" spans="1:26" ht="15.5">
      <c r="A866" s="1184"/>
      <c r="B866" s="1184"/>
      <c r="C866" s="1184"/>
      <c r="D866" s="1184"/>
      <c r="E866" s="1184"/>
      <c r="F866" s="1184"/>
      <c r="G866" s="1184"/>
      <c r="H866" s="1184"/>
      <c r="I866" s="1184"/>
      <c r="J866" s="1184"/>
      <c r="K866" s="1184"/>
      <c r="L866" s="1184"/>
      <c r="M866" s="1184"/>
      <c r="N866" s="1184"/>
      <c r="O866" s="1184"/>
      <c r="P866" s="1184"/>
      <c r="Q866" s="1184"/>
      <c r="R866" s="1184"/>
      <c r="S866" s="1184"/>
      <c r="T866" s="1184"/>
      <c r="U866" s="1184"/>
      <c r="V866" s="1184"/>
      <c r="W866" s="1184"/>
      <c r="X866" s="1184"/>
      <c r="Y866" s="1184"/>
      <c r="Z866" s="1184"/>
    </row>
    <row r="867" spans="1:26" ht="15.5">
      <c r="A867" s="1184"/>
      <c r="B867" s="1184"/>
      <c r="C867" s="1184"/>
      <c r="D867" s="1184"/>
      <c r="E867" s="1184"/>
      <c r="F867" s="1184"/>
      <c r="G867" s="1184"/>
      <c r="H867" s="1184"/>
      <c r="I867" s="1184"/>
      <c r="J867" s="1184"/>
      <c r="K867" s="1184"/>
      <c r="L867" s="1184"/>
      <c r="M867" s="1184"/>
      <c r="N867" s="1184"/>
      <c r="O867" s="1184"/>
      <c r="P867" s="1184"/>
      <c r="Q867" s="1184"/>
      <c r="R867" s="1184"/>
      <c r="S867" s="1184"/>
      <c r="T867" s="1184"/>
      <c r="U867" s="1184"/>
      <c r="V867" s="1184"/>
      <c r="W867" s="1184"/>
      <c r="X867" s="1184"/>
      <c r="Y867" s="1184"/>
      <c r="Z867" s="1184"/>
    </row>
    <row r="868" spans="1:26" ht="15.5">
      <c r="A868" s="1184"/>
      <c r="B868" s="1184"/>
      <c r="C868" s="1184"/>
      <c r="D868" s="1184"/>
      <c r="E868" s="1184"/>
      <c r="F868" s="1184"/>
      <c r="G868" s="1184"/>
      <c r="H868" s="1184"/>
      <c r="I868" s="1184"/>
      <c r="J868" s="1184"/>
      <c r="K868" s="1184"/>
      <c r="L868" s="1184"/>
      <c r="M868" s="1184"/>
      <c r="N868" s="1184"/>
      <c r="O868" s="1184"/>
      <c r="P868" s="1184"/>
      <c r="Q868" s="1184"/>
      <c r="R868" s="1184"/>
      <c r="S868" s="1184"/>
      <c r="T868" s="1184"/>
      <c r="U868" s="1184"/>
      <c r="V868" s="1184"/>
      <c r="W868" s="1184"/>
      <c r="X868" s="1184"/>
      <c r="Y868" s="1184"/>
      <c r="Z868" s="1184"/>
    </row>
    <row r="869" spans="1:26" ht="15.5">
      <c r="A869" s="1184"/>
      <c r="B869" s="1184"/>
      <c r="C869" s="1184"/>
      <c r="D869" s="1184"/>
      <c r="E869" s="1184"/>
      <c r="F869" s="1184"/>
      <c r="G869" s="1184"/>
      <c r="H869" s="1184"/>
      <c r="I869" s="1184"/>
      <c r="J869" s="1184"/>
      <c r="K869" s="1184"/>
      <c r="L869" s="1184"/>
      <c r="M869" s="1184"/>
      <c r="N869" s="1184"/>
      <c r="O869" s="1184"/>
      <c r="P869" s="1184"/>
      <c r="Q869" s="1184"/>
      <c r="R869" s="1184"/>
      <c r="S869" s="1184"/>
      <c r="T869" s="1184"/>
      <c r="U869" s="1184"/>
      <c r="V869" s="1184"/>
      <c r="W869" s="1184"/>
      <c r="X869" s="1184"/>
      <c r="Y869" s="1184"/>
      <c r="Z869" s="1184"/>
    </row>
    <row r="870" spans="1:26" ht="15.5">
      <c r="A870" s="1184"/>
      <c r="B870" s="1184"/>
      <c r="C870" s="1184"/>
      <c r="D870" s="1184"/>
      <c r="E870" s="1184"/>
      <c r="F870" s="1184"/>
      <c r="G870" s="1184"/>
      <c r="H870" s="1184"/>
      <c r="I870" s="1184"/>
      <c r="J870" s="1184"/>
      <c r="K870" s="1184"/>
      <c r="L870" s="1184"/>
      <c r="M870" s="1184"/>
      <c r="N870" s="1184"/>
      <c r="O870" s="1184"/>
      <c r="P870" s="1184"/>
      <c r="Q870" s="1184"/>
      <c r="R870" s="1184"/>
      <c r="S870" s="1184"/>
      <c r="T870" s="1184"/>
      <c r="U870" s="1184"/>
      <c r="V870" s="1184"/>
      <c r="W870" s="1184"/>
      <c r="X870" s="1184"/>
      <c r="Y870" s="1184"/>
      <c r="Z870" s="1184"/>
    </row>
    <row r="871" spans="1:26" ht="15.5">
      <c r="A871" s="1184"/>
      <c r="B871" s="1184"/>
      <c r="C871" s="1184"/>
      <c r="D871" s="1184"/>
      <c r="E871" s="1184"/>
      <c r="F871" s="1184"/>
      <c r="G871" s="1184"/>
      <c r="H871" s="1184"/>
      <c r="I871" s="1184"/>
      <c r="J871" s="1184"/>
      <c r="K871" s="1184"/>
      <c r="L871" s="1184"/>
      <c r="M871" s="1184"/>
      <c r="N871" s="1184"/>
      <c r="O871" s="1184"/>
      <c r="P871" s="1184"/>
      <c r="Q871" s="1184"/>
      <c r="R871" s="1184"/>
      <c r="S871" s="1184"/>
      <c r="T871" s="1184"/>
      <c r="U871" s="1184"/>
      <c r="V871" s="1184"/>
      <c r="W871" s="1184"/>
      <c r="X871" s="1184"/>
      <c r="Y871" s="1184"/>
      <c r="Z871" s="1184"/>
    </row>
    <row r="872" spans="1:26" ht="15.5">
      <c r="A872" s="1184"/>
      <c r="B872" s="1184"/>
      <c r="C872" s="1184"/>
      <c r="D872" s="1184"/>
      <c r="E872" s="1184"/>
      <c r="F872" s="1184"/>
      <c r="G872" s="1184"/>
      <c r="H872" s="1184"/>
      <c r="I872" s="1184"/>
      <c r="J872" s="1184"/>
      <c r="K872" s="1184"/>
      <c r="L872" s="1184"/>
      <c r="M872" s="1184"/>
      <c r="N872" s="1184"/>
      <c r="O872" s="1184"/>
      <c r="P872" s="1184"/>
      <c r="Q872" s="1184"/>
      <c r="R872" s="1184"/>
      <c r="S872" s="1184"/>
      <c r="T872" s="1184"/>
      <c r="U872" s="1184"/>
      <c r="V872" s="1184"/>
      <c r="W872" s="1184"/>
      <c r="X872" s="1184"/>
      <c r="Y872" s="1184"/>
      <c r="Z872" s="1184"/>
    </row>
    <row r="873" spans="1:26" ht="15.5">
      <c r="A873" s="1184"/>
      <c r="B873" s="1184"/>
      <c r="C873" s="1184"/>
      <c r="D873" s="1184"/>
      <c r="E873" s="1184"/>
      <c r="F873" s="1184"/>
      <c r="G873" s="1184"/>
      <c r="H873" s="1184"/>
      <c r="I873" s="1184"/>
      <c r="J873" s="1184"/>
      <c r="K873" s="1184"/>
      <c r="L873" s="1184"/>
      <c r="M873" s="1184"/>
      <c r="N873" s="1184"/>
      <c r="O873" s="1184"/>
      <c r="P873" s="1184"/>
      <c r="Q873" s="1184"/>
      <c r="R873" s="1184"/>
      <c r="S873" s="1184"/>
      <c r="T873" s="1184"/>
      <c r="U873" s="1184"/>
      <c r="V873" s="1184"/>
      <c r="W873" s="1184"/>
      <c r="X873" s="1184"/>
      <c r="Y873" s="1184"/>
      <c r="Z873" s="1184"/>
    </row>
    <row r="874" spans="1:26" ht="15.5">
      <c r="A874" s="1184"/>
      <c r="B874" s="1184"/>
      <c r="C874" s="1184"/>
      <c r="D874" s="1184"/>
      <c r="E874" s="1184"/>
      <c r="F874" s="1184"/>
      <c r="G874" s="1184"/>
      <c r="H874" s="1184"/>
      <c r="I874" s="1184"/>
      <c r="J874" s="1184"/>
      <c r="K874" s="1184"/>
      <c r="L874" s="1184"/>
      <c r="M874" s="1184"/>
      <c r="N874" s="1184"/>
      <c r="O874" s="1184"/>
      <c r="P874" s="1184"/>
      <c r="Q874" s="1184"/>
      <c r="R874" s="1184"/>
      <c r="S874" s="1184"/>
      <c r="T874" s="1184"/>
      <c r="U874" s="1184"/>
      <c r="V874" s="1184"/>
      <c r="W874" s="1184"/>
      <c r="X874" s="1184"/>
      <c r="Y874" s="1184"/>
      <c r="Z874" s="1184"/>
    </row>
    <row r="875" spans="1:26" ht="15.5">
      <c r="A875" s="1184"/>
      <c r="B875" s="1184"/>
      <c r="C875" s="1184"/>
      <c r="D875" s="1184"/>
      <c r="E875" s="1184"/>
      <c r="F875" s="1184"/>
      <c r="G875" s="1184"/>
      <c r="H875" s="1184"/>
      <c r="I875" s="1184"/>
      <c r="J875" s="1184"/>
      <c r="K875" s="1184"/>
      <c r="L875" s="1184"/>
      <c r="M875" s="1184"/>
      <c r="N875" s="1184"/>
      <c r="O875" s="1184"/>
      <c r="P875" s="1184"/>
      <c r="Q875" s="1184"/>
      <c r="R875" s="1184"/>
      <c r="S875" s="1184"/>
      <c r="T875" s="1184"/>
      <c r="U875" s="1184"/>
      <c r="V875" s="1184"/>
      <c r="W875" s="1184"/>
      <c r="X875" s="1184"/>
      <c r="Y875" s="1184"/>
      <c r="Z875" s="1184"/>
    </row>
    <row r="876" spans="1:26" ht="15.5">
      <c r="A876" s="1184"/>
      <c r="B876" s="1184"/>
      <c r="C876" s="1184"/>
      <c r="D876" s="1184"/>
      <c r="E876" s="1184"/>
      <c r="F876" s="1184"/>
      <c r="G876" s="1184"/>
      <c r="H876" s="1184"/>
      <c r="I876" s="1184"/>
      <c r="J876" s="1184"/>
      <c r="K876" s="1184"/>
      <c r="L876" s="1184"/>
      <c r="M876" s="1184"/>
      <c r="N876" s="1184"/>
      <c r="O876" s="1184"/>
      <c r="P876" s="1184"/>
      <c r="Q876" s="1184"/>
      <c r="R876" s="1184"/>
      <c r="S876" s="1184"/>
      <c r="T876" s="1184"/>
      <c r="U876" s="1184"/>
      <c r="V876" s="1184"/>
      <c r="W876" s="1184"/>
      <c r="X876" s="1184"/>
      <c r="Y876" s="1184"/>
      <c r="Z876" s="1184"/>
    </row>
    <row r="877" spans="1:26" ht="15.5">
      <c r="A877" s="1184"/>
      <c r="B877" s="1184"/>
      <c r="C877" s="1184"/>
      <c r="D877" s="1184"/>
      <c r="E877" s="1184"/>
      <c r="F877" s="1184"/>
      <c r="G877" s="1184"/>
      <c r="H877" s="1184"/>
      <c r="I877" s="1184"/>
      <c r="J877" s="1184"/>
      <c r="K877" s="1184"/>
      <c r="L877" s="1184"/>
      <c r="M877" s="1184"/>
      <c r="N877" s="1184"/>
      <c r="O877" s="1184"/>
      <c r="P877" s="1184"/>
      <c r="Q877" s="1184"/>
      <c r="R877" s="1184"/>
      <c r="S877" s="1184"/>
      <c r="T877" s="1184"/>
      <c r="U877" s="1184"/>
      <c r="V877" s="1184"/>
      <c r="W877" s="1184"/>
      <c r="X877" s="1184"/>
      <c r="Y877" s="1184"/>
      <c r="Z877" s="1184"/>
    </row>
    <row r="878" spans="1:26" ht="15.5">
      <c r="A878" s="1184"/>
      <c r="B878" s="1184"/>
      <c r="C878" s="1184"/>
      <c r="D878" s="1184"/>
      <c r="E878" s="1184"/>
      <c r="F878" s="1184"/>
      <c r="G878" s="1184"/>
      <c r="H878" s="1184"/>
      <c r="I878" s="1184"/>
      <c r="J878" s="1184"/>
      <c r="K878" s="1184"/>
      <c r="L878" s="1184"/>
      <c r="M878" s="1184"/>
      <c r="N878" s="1184"/>
      <c r="O878" s="1184"/>
      <c r="P878" s="1184"/>
      <c r="Q878" s="1184"/>
      <c r="R878" s="1184"/>
      <c r="S878" s="1184"/>
      <c r="T878" s="1184"/>
      <c r="U878" s="1184"/>
      <c r="V878" s="1184"/>
      <c r="W878" s="1184"/>
      <c r="X878" s="1184"/>
      <c r="Y878" s="1184"/>
      <c r="Z878" s="1184"/>
    </row>
    <row r="879" spans="1:26" ht="15.5">
      <c r="A879" s="1184"/>
      <c r="B879" s="1184"/>
      <c r="C879" s="1184"/>
      <c r="D879" s="1184"/>
      <c r="E879" s="1184"/>
      <c r="F879" s="1184"/>
      <c r="G879" s="1184"/>
      <c r="H879" s="1184"/>
      <c r="I879" s="1184"/>
      <c r="J879" s="1184"/>
      <c r="K879" s="1184"/>
      <c r="L879" s="1184"/>
      <c r="M879" s="1184"/>
      <c r="N879" s="1184"/>
      <c r="O879" s="1184"/>
      <c r="P879" s="1184"/>
      <c r="Q879" s="1184"/>
      <c r="R879" s="1184"/>
      <c r="S879" s="1184"/>
      <c r="T879" s="1184"/>
      <c r="U879" s="1184"/>
      <c r="V879" s="1184"/>
      <c r="W879" s="1184"/>
      <c r="X879" s="1184"/>
      <c r="Y879" s="1184"/>
      <c r="Z879" s="1184"/>
    </row>
    <row r="880" spans="1:26" ht="15.5">
      <c r="A880" s="1184"/>
      <c r="B880" s="1184"/>
      <c r="C880" s="1184"/>
      <c r="D880" s="1184"/>
      <c r="E880" s="1184"/>
      <c r="F880" s="1184"/>
      <c r="G880" s="1184"/>
      <c r="H880" s="1184"/>
      <c r="I880" s="1184"/>
      <c r="J880" s="1184"/>
      <c r="K880" s="1184"/>
      <c r="L880" s="1184"/>
      <c r="M880" s="1184"/>
      <c r="N880" s="1184"/>
      <c r="O880" s="1184"/>
      <c r="P880" s="1184"/>
      <c r="Q880" s="1184"/>
      <c r="R880" s="1184"/>
      <c r="S880" s="1184"/>
      <c r="T880" s="1184"/>
      <c r="U880" s="1184"/>
      <c r="V880" s="1184"/>
      <c r="W880" s="1184"/>
      <c r="X880" s="1184"/>
      <c r="Y880" s="1184"/>
      <c r="Z880" s="1184"/>
    </row>
    <row r="881" spans="1:26" ht="15.5">
      <c r="A881" s="1184"/>
      <c r="B881" s="1184"/>
      <c r="C881" s="1184"/>
      <c r="D881" s="1184"/>
      <c r="E881" s="1184"/>
      <c r="F881" s="1184"/>
      <c r="G881" s="1184"/>
      <c r="H881" s="1184"/>
      <c r="I881" s="1184"/>
      <c r="J881" s="1184"/>
      <c r="K881" s="1184"/>
      <c r="L881" s="1184"/>
      <c r="M881" s="1184"/>
      <c r="N881" s="1184"/>
      <c r="O881" s="1184"/>
      <c r="P881" s="1184"/>
      <c r="Q881" s="1184"/>
      <c r="R881" s="1184"/>
      <c r="S881" s="1184"/>
      <c r="T881" s="1184"/>
      <c r="U881" s="1184"/>
      <c r="V881" s="1184"/>
      <c r="W881" s="1184"/>
      <c r="X881" s="1184"/>
      <c r="Y881" s="1184"/>
      <c r="Z881" s="1184"/>
    </row>
    <row r="882" spans="1:26" ht="15.5">
      <c r="A882" s="1184"/>
      <c r="B882" s="1184"/>
      <c r="C882" s="1184"/>
      <c r="D882" s="1184"/>
      <c r="E882" s="1184"/>
      <c r="F882" s="1184"/>
      <c r="G882" s="1184"/>
      <c r="H882" s="1184"/>
      <c r="I882" s="1184"/>
      <c r="J882" s="1184"/>
      <c r="K882" s="1184"/>
      <c r="L882" s="1184"/>
      <c r="M882" s="1184"/>
      <c r="N882" s="1184"/>
      <c r="O882" s="1184"/>
      <c r="P882" s="1184"/>
      <c r="Q882" s="1184"/>
      <c r="R882" s="1184"/>
      <c r="S882" s="1184"/>
      <c r="T882" s="1184"/>
      <c r="U882" s="1184"/>
      <c r="V882" s="1184"/>
      <c r="W882" s="1184"/>
      <c r="X882" s="1184"/>
      <c r="Y882" s="1184"/>
      <c r="Z882" s="1184"/>
    </row>
    <row r="883" spans="1:26" ht="15.5">
      <c r="A883" s="1184"/>
      <c r="B883" s="1184"/>
      <c r="C883" s="1184"/>
      <c r="D883" s="1184"/>
      <c r="E883" s="1184"/>
      <c r="F883" s="1184"/>
      <c r="G883" s="1184"/>
      <c r="H883" s="1184"/>
      <c r="I883" s="1184"/>
      <c r="J883" s="1184"/>
      <c r="K883" s="1184"/>
      <c r="L883" s="1184"/>
      <c r="M883" s="1184"/>
      <c r="N883" s="1184"/>
      <c r="O883" s="1184"/>
      <c r="P883" s="1184"/>
      <c r="Q883" s="1184"/>
      <c r="R883" s="1184"/>
      <c r="S883" s="1184"/>
      <c r="T883" s="1184"/>
      <c r="U883" s="1184"/>
      <c r="V883" s="1184"/>
      <c r="W883" s="1184"/>
      <c r="X883" s="1184"/>
      <c r="Y883" s="1184"/>
      <c r="Z883" s="1184"/>
    </row>
    <row r="884" spans="1:26" ht="15.5">
      <c r="A884" s="1184"/>
      <c r="B884" s="1184"/>
      <c r="C884" s="1184"/>
      <c r="D884" s="1184"/>
      <c r="E884" s="1184"/>
      <c r="F884" s="1184"/>
      <c r="G884" s="1184"/>
      <c r="H884" s="1184"/>
      <c r="I884" s="1184"/>
      <c r="J884" s="1184"/>
      <c r="K884" s="1184"/>
      <c r="L884" s="1184"/>
      <c r="M884" s="1184"/>
      <c r="N884" s="1184"/>
      <c r="O884" s="1184"/>
      <c r="P884" s="1184"/>
      <c r="Q884" s="1184"/>
      <c r="R884" s="1184"/>
      <c r="S884" s="1184"/>
      <c r="T884" s="1184"/>
      <c r="U884" s="1184"/>
      <c r="V884" s="1184"/>
      <c r="W884" s="1184"/>
      <c r="X884" s="1184"/>
      <c r="Y884" s="1184"/>
      <c r="Z884" s="1184"/>
    </row>
    <row r="885" spans="1:26" ht="15.5">
      <c r="A885" s="1184"/>
      <c r="B885" s="1184"/>
      <c r="C885" s="1184"/>
      <c r="D885" s="1184"/>
      <c r="E885" s="1184"/>
      <c r="F885" s="1184"/>
      <c r="G885" s="1184"/>
      <c r="H885" s="1184"/>
      <c r="I885" s="1184"/>
      <c r="J885" s="1184"/>
      <c r="K885" s="1184"/>
      <c r="L885" s="1184"/>
      <c r="M885" s="1184"/>
      <c r="N885" s="1184"/>
      <c r="O885" s="1184"/>
      <c r="P885" s="1184"/>
      <c r="Q885" s="1184"/>
      <c r="R885" s="1184"/>
      <c r="S885" s="1184"/>
      <c r="T885" s="1184"/>
      <c r="U885" s="1184"/>
      <c r="V885" s="1184"/>
      <c r="W885" s="1184"/>
      <c r="X885" s="1184"/>
      <c r="Y885" s="1184"/>
      <c r="Z885" s="1184"/>
    </row>
    <row r="886" spans="1:26" ht="15.5">
      <c r="A886" s="1184"/>
      <c r="B886" s="1184"/>
      <c r="C886" s="1184"/>
      <c r="D886" s="1184"/>
      <c r="E886" s="1184"/>
      <c r="F886" s="1184"/>
      <c r="G886" s="1184"/>
      <c r="H886" s="1184"/>
      <c r="I886" s="1184"/>
      <c r="J886" s="1184"/>
      <c r="K886" s="1184"/>
      <c r="L886" s="1184"/>
      <c r="M886" s="1184"/>
      <c r="N886" s="1184"/>
      <c r="O886" s="1184"/>
      <c r="P886" s="1184"/>
      <c r="Q886" s="1184"/>
      <c r="R886" s="1184"/>
      <c r="S886" s="1184"/>
      <c r="T886" s="1184"/>
      <c r="U886" s="1184"/>
      <c r="V886" s="1184"/>
      <c r="W886" s="1184"/>
      <c r="X886" s="1184"/>
      <c r="Y886" s="1184"/>
      <c r="Z886" s="1184"/>
    </row>
    <row r="887" spans="1:26" ht="15.5">
      <c r="A887" s="1184"/>
      <c r="B887" s="1184"/>
      <c r="C887" s="1184"/>
      <c r="D887" s="1184"/>
      <c r="E887" s="1184"/>
      <c r="F887" s="1184"/>
      <c r="G887" s="1184"/>
      <c r="H887" s="1184"/>
      <c r="I887" s="1184"/>
      <c r="J887" s="1184"/>
      <c r="K887" s="1184"/>
      <c r="L887" s="1184"/>
      <c r="M887" s="1184"/>
      <c r="N887" s="1184"/>
      <c r="O887" s="1184"/>
      <c r="P887" s="1184"/>
      <c r="Q887" s="1184"/>
      <c r="R887" s="1184"/>
      <c r="S887" s="1184"/>
      <c r="T887" s="1184"/>
      <c r="U887" s="1184"/>
      <c r="V887" s="1184"/>
      <c r="W887" s="1184"/>
      <c r="X887" s="1184"/>
      <c r="Y887" s="1184"/>
      <c r="Z887" s="1184"/>
    </row>
    <row r="888" spans="1:26" ht="15.5">
      <c r="A888" s="1184"/>
      <c r="B888" s="1184"/>
      <c r="C888" s="1184"/>
      <c r="D888" s="1184"/>
      <c r="E888" s="1184"/>
      <c r="F888" s="1184"/>
      <c r="G888" s="1184"/>
      <c r="H888" s="1184"/>
      <c r="I888" s="1184"/>
      <c r="J888" s="1184"/>
      <c r="K888" s="1184"/>
      <c r="L888" s="1184"/>
      <c r="M888" s="1184"/>
      <c r="N888" s="1184"/>
      <c r="O888" s="1184"/>
      <c r="P888" s="1184"/>
      <c r="Q888" s="1184"/>
      <c r="R888" s="1184"/>
      <c r="S888" s="1184"/>
      <c r="T888" s="1184"/>
      <c r="U888" s="1184"/>
      <c r="V888" s="1184"/>
      <c r="W888" s="1184"/>
      <c r="X888" s="1184"/>
      <c r="Y888" s="1184"/>
      <c r="Z888" s="1184"/>
    </row>
    <row r="889" spans="1:26" ht="15.5">
      <c r="A889" s="1184"/>
      <c r="B889" s="1184"/>
      <c r="C889" s="1184"/>
      <c r="D889" s="1184"/>
      <c r="E889" s="1184"/>
      <c r="F889" s="1184"/>
      <c r="G889" s="1184"/>
      <c r="H889" s="1184"/>
      <c r="I889" s="1184"/>
      <c r="J889" s="1184"/>
      <c r="K889" s="1184"/>
      <c r="L889" s="1184"/>
      <c r="M889" s="1184"/>
      <c r="N889" s="1184"/>
      <c r="O889" s="1184"/>
      <c r="P889" s="1184"/>
      <c r="Q889" s="1184"/>
      <c r="R889" s="1184"/>
      <c r="S889" s="1184"/>
      <c r="T889" s="1184"/>
      <c r="U889" s="1184"/>
      <c r="V889" s="1184"/>
      <c r="W889" s="1184"/>
      <c r="X889" s="1184"/>
      <c r="Y889" s="1184"/>
      <c r="Z889" s="1184"/>
    </row>
    <row r="890" spans="1:26" ht="15.5">
      <c r="A890" s="1184"/>
      <c r="B890" s="1184"/>
      <c r="C890" s="1184"/>
      <c r="D890" s="1184"/>
      <c r="E890" s="1184"/>
      <c r="F890" s="1184"/>
      <c r="G890" s="1184"/>
      <c r="H890" s="1184"/>
      <c r="I890" s="1184"/>
      <c r="J890" s="1184"/>
      <c r="K890" s="1184"/>
      <c r="L890" s="1184"/>
      <c r="M890" s="1184"/>
      <c r="N890" s="1184"/>
      <c r="O890" s="1184"/>
      <c r="P890" s="1184"/>
      <c r="Q890" s="1184"/>
      <c r="R890" s="1184"/>
      <c r="S890" s="1184"/>
      <c r="T890" s="1184"/>
      <c r="U890" s="1184"/>
      <c r="V890" s="1184"/>
      <c r="W890" s="1184"/>
      <c r="X890" s="1184"/>
      <c r="Y890" s="1184"/>
      <c r="Z890" s="1184"/>
    </row>
    <row r="891" spans="1:26" ht="15.5">
      <c r="A891" s="1184"/>
      <c r="B891" s="1184"/>
      <c r="C891" s="1184"/>
      <c r="D891" s="1184"/>
      <c r="E891" s="1184"/>
      <c r="F891" s="1184"/>
      <c r="G891" s="1184"/>
      <c r="H891" s="1184"/>
      <c r="I891" s="1184"/>
      <c r="J891" s="1184"/>
      <c r="K891" s="1184"/>
      <c r="L891" s="1184"/>
      <c r="M891" s="1184"/>
      <c r="N891" s="1184"/>
      <c r="O891" s="1184"/>
      <c r="P891" s="1184"/>
      <c r="Q891" s="1184"/>
      <c r="R891" s="1184"/>
      <c r="S891" s="1184"/>
      <c r="T891" s="1184"/>
      <c r="U891" s="1184"/>
      <c r="V891" s="1184"/>
      <c r="W891" s="1184"/>
      <c r="X891" s="1184"/>
      <c r="Y891" s="1184"/>
      <c r="Z891" s="1184"/>
    </row>
    <row r="892" spans="1:26" ht="15.5">
      <c r="A892" s="1184"/>
      <c r="B892" s="1184"/>
      <c r="C892" s="1184"/>
      <c r="D892" s="1184"/>
      <c r="E892" s="1184"/>
      <c r="F892" s="1184"/>
      <c r="G892" s="1184"/>
      <c r="H892" s="1184"/>
      <c r="I892" s="1184"/>
      <c r="J892" s="1184"/>
      <c r="K892" s="1184"/>
      <c r="L892" s="1184"/>
      <c r="M892" s="1184"/>
      <c r="N892" s="1184"/>
      <c r="O892" s="1184"/>
      <c r="P892" s="1184"/>
      <c r="Q892" s="1184"/>
      <c r="R892" s="1184"/>
      <c r="S892" s="1184"/>
      <c r="T892" s="1184"/>
      <c r="U892" s="1184"/>
      <c r="V892" s="1184"/>
      <c r="W892" s="1184"/>
      <c r="X892" s="1184"/>
      <c r="Y892" s="1184"/>
      <c r="Z892" s="1184"/>
    </row>
    <row r="893" spans="1:26" ht="15.5">
      <c r="A893" s="1184"/>
      <c r="B893" s="1184"/>
      <c r="C893" s="1184"/>
      <c r="D893" s="1184"/>
      <c r="E893" s="1184"/>
      <c r="F893" s="1184"/>
      <c r="G893" s="1184"/>
      <c r="H893" s="1184"/>
      <c r="I893" s="1184"/>
      <c r="J893" s="1184"/>
      <c r="K893" s="1184"/>
      <c r="L893" s="1184"/>
      <c r="M893" s="1184"/>
      <c r="N893" s="1184"/>
      <c r="O893" s="1184"/>
      <c r="P893" s="1184"/>
      <c r="Q893" s="1184"/>
      <c r="R893" s="1184"/>
      <c r="S893" s="1184"/>
      <c r="T893" s="1184"/>
      <c r="U893" s="1184"/>
      <c r="V893" s="1184"/>
      <c r="W893" s="1184"/>
      <c r="X893" s="1184"/>
      <c r="Y893" s="1184"/>
      <c r="Z893" s="1184"/>
    </row>
    <row r="894" spans="1:26" ht="15.5">
      <c r="A894" s="1184"/>
      <c r="B894" s="1184"/>
      <c r="C894" s="1184"/>
      <c r="D894" s="1184"/>
      <c r="E894" s="1184"/>
      <c r="F894" s="1184"/>
      <c r="G894" s="1184"/>
      <c r="H894" s="1184"/>
      <c r="I894" s="1184"/>
      <c r="J894" s="1184"/>
      <c r="K894" s="1184"/>
      <c r="L894" s="1184"/>
      <c r="M894" s="1184"/>
      <c r="N894" s="1184"/>
      <c r="O894" s="1184"/>
      <c r="P894" s="1184"/>
      <c r="Q894" s="1184"/>
      <c r="R894" s="1184"/>
      <c r="S894" s="1184"/>
      <c r="T894" s="1184"/>
      <c r="U894" s="1184"/>
      <c r="V894" s="1184"/>
      <c r="W894" s="1184"/>
      <c r="X894" s="1184"/>
      <c r="Y894" s="1184"/>
      <c r="Z894" s="1184"/>
    </row>
    <row r="895" spans="1:26" ht="15.5">
      <c r="A895" s="1184"/>
      <c r="B895" s="1184"/>
      <c r="C895" s="1184"/>
      <c r="D895" s="1184"/>
      <c r="E895" s="1184"/>
      <c r="F895" s="1184"/>
      <c r="G895" s="1184"/>
      <c r="H895" s="1184"/>
      <c r="I895" s="1184"/>
      <c r="J895" s="1184"/>
      <c r="K895" s="1184"/>
      <c r="L895" s="1184"/>
      <c r="M895" s="1184"/>
      <c r="N895" s="1184"/>
      <c r="O895" s="1184"/>
      <c r="P895" s="1184"/>
      <c r="Q895" s="1184"/>
      <c r="R895" s="1184"/>
      <c r="S895" s="1184"/>
      <c r="T895" s="1184"/>
      <c r="U895" s="1184"/>
      <c r="V895" s="1184"/>
      <c r="W895" s="1184"/>
      <c r="X895" s="1184"/>
      <c r="Y895" s="1184"/>
      <c r="Z895" s="1184"/>
    </row>
    <row r="896" spans="1:26" ht="15.5">
      <c r="A896" s="1184"/>
      <c r="B896" s="1184"/>
      <c r="C896" s="1184"/>
      <c r="D896" s="1184"/>
      <c r="E896" s="1184"/>
      <c r="F896" s="1184"/>
      <c r="G896" s="1184"/>
      <c r="H896" s="1184"/>
      <c r="I896" s="1184"/>
      <c r="J896" s="1184"/>
      <c r="K896" s="1184"/>
      <c r="L896" s="1184"/>
      <c r="M896" s="1184"/>
      <c r="N896" s="1184"/>
      <c r="O896" s="1184"/>
      <c r="P896" s="1184"/>
      <c r="Q896" s="1184"/>
      <c r="R896" s="1184"/>
      <c r="S896" s="1184"/>
      <c r="T896" s="1184"/>
      <c r="U896" s="1184"/>
      <c r="V896" s="1184"/>
      <c r="W896" s="1184"/>
      <c r="X896" s="1184"/>
      <c r="Y896" s="1184"/>
      <c r="Z896" s="1184"/>
    </row>
    <row r="897" spans="1:26" ht="15.5">
      <c r="A897" s="1184"/>
      <c r="B897" s="1184"/>
      <c r="C897" s="1184"/>
      <c r="D897" s="1184"/>
      <c r="E897" s="1184"/>
      <c r="F897" s="1184"/>
      <c r="G897" s="1184"/>
      <c r="H897" s="1184"/>
      <c r="I897" s="1184"/>
      <c r="J897" s="1184"/>
      <c r="K897" s="1184"/>
      <c r="L897" s="1184"/>
      <c r="M897" s="1184"/>
      <c r="N897" s="1184"/>
      <c r="O897" s="1184"/>
      <c r="P897" s="1184"/>
      <c r="Q897" s="1184"/>
      <c r="R897" s="1184"/>
      <c r="S897" s="1184"/>
      <c r="T897" s="1184"/>
      <c r="U897" s="1184"/>
      <c r="V897" s="1184"/>
      <c r="W897" s="1184"/>
      <c r="X897" s="1184"/>
      <c r="Y897" s="1184"/>
      <c r="Z897" s="1184"/>
    </row>
    <row r="898" spans="1:26" ht="15.5">
      <c r="A898" s="1184"/>
      <c r="B898" s="1184"/>
      <c r="C898" s="1184"/>
      <c r="D898" s="1184"/>
      <c r="E898" s="1184"/>
      <c r="F898" s="1184"/>
      <c r="G898" s="1184"/>
      <c r="H898" s="1184"/>
      <c r="I898" s="1184"/>
      <c r="J898" s="1184"/>
      <c r="K898" s="1184"/>
      <c r="L898" s="1184"/>
      <c r="M898" s="1184"/>
      <c r="N898" s="1184"/>
      <c r="O898" s="1184"/>
      <c r="P898" s="1184"/>
      <c r="Q898" s="1184"/>
      <c r="R898" s="1184"/>
      <c r="S898" s="1184"/>
      <c r="T898" s="1184"/>
      <c r="U898" s="1184"/>
      <c r="V898" s="1184"/>
      <c r="W898" s="1184"/>
      <c r="X898" s="1184"/>
      <c r="Y898" s="1184"/>
      <c r="Z898" s="1184"/>
    </row>
    <row r="899" spans="1:26" ht="15.5">
      <c r="A899" s="1184"/>
      <c r="B899" s="1184"/>
      <c r="C899" s="1184"/>
      <c r="D899" s="1184"/>
      <c r="E899" s="1184"/>
      <c r="F899" s="1184"/>
      <c r="G899" s="1184"/>
      <c r="H899" s="1184"/>
      <c r="I899" s="1184"/>
      <c r="J899" s="1184"/>
      <c r="K899" s="1184"/>
      <c r="L899" s="1184"/>
      <c r="M899" s="1184"/>
      <c r="N899" s="1184"/>
      <c r="O899" s="1184"/>
      <c r="P899" s="1184"/>
      <c r="Q899" s="1184"/>
      <c r="R899" s="1184"/>
      <c r="S899" s="1184"/>
      <c r="T899" s="1184"/>
      <c r="U899" s="1184"/>
      <c r="V899" s="1184"/>
      <c r="W899" s="1184"/>
      <c r="X899" s="1184"/>
      <c r="Y899" s="1184"/>
      <c r="Z899" s="1184"/>
    </row>
    <row r="900" spans="1:26" ht="15.5">
      <c r="A900" s="1184"/>
      <c r="B900" s="1184"/>
      <c r="C900" s="1184"/>
      <c r="D900" s="1184"/>
      <c r="E900" s="1184"/>
      <c r="F900" s="1184"/>
      <c r="G900" s="1184"/>
      <c r="H900" s="1184"/>
      <c r="I900" s="1184"/>
      <c r="J900" s="1184"/>
      <c r="K900" s="1184"/>
      <c r="L900" s="1184"/>
      <c r="M900" s="1184"/>
      <c r="N900" s="1184"/>
      <c r="O900" s="1184"/>
      <c r="P900" s="1184"/>
      <c r="Q900" s="1184"/>
      <c r="R900" s="1184"/>
      <c r="S900" s="1184"/>
      <c r="T900" s="1184"/>
      <c r="U900" s="1184"/>
      <c r="V900" s="1184"/>
      <c r="W900" s="1184"/>
      <c r="X900" s="1184"/>
      <c r="Y900" s="1184"/>
      <c r="Z900" s="1184"/>
    </row>
    <row r="901" spans="1:26" ht="15.5">
      <c r="A901" s="1184"/>
      <c r="B901" s="1184"/>
      <c r="C901" s="1184"/>
      <c r="D901" s="1184"/>
      <c r="E901" s="1184"/>
      <c r="F901" s="1184"/>
      <c r="G901" s="1184"/>
      <c r="H901" s="1184"/>
      <c r="I901" s="1184"/>
      <c r="J901" s="1184"/>
      <c r="K901" s="1184"/>
      <c r="L901" s="1184"/>
      <c r="M901" s="1184"/>
      <c r="N901" s="1184"/>
      <c r="O901" s="1184"/>
      <c r="P901" s="1184"/>
      <c r="Q901" s="1184"/>
      <c r="R901" s="1184"/>
      <c r="S901" s="1184"/>
      <c r="T901" s="1184"/>
      <c r="U901" s="1184"/>
      <c r="V901" s="1184"/>
      <c r="W901" s="1184"/>
      <c r="X901" s="1184"/>
      <c r="Y901" s="1184"/>
      <c r="Z901" s="1184"/>
    </row>
    <row r="902" spans="1:26" ht="15.5">
      <c r="A902" s="1184"/>
      <c r="B902" s="1184"/>
      <c r="C902" s="1184"/>
      <c r="D902" s="1184"/>
      <c r="E902" s="1184"/>
      <c r="F902" s="1184"/>
      <c r="G902" s="1184"/>
      <c r="H902" s="1184"/>
      <c r="I902" s="1184"/>
      <c r="J902" s="1184"/>
      <c r="K902" s="1184"/>
      <c r="L902" s="1184"/>
      <c r="M902" s="1184"/>
      <c r="N902" s="1184"/>
      <c r="O902" s="1184"/>
      <c r="P902" s="1184"/>
      <c r="Q902" s="1184"/>
      <c r="R902" s="1184"/>
      <c r="S902" s="1184"/>
      <c r="T902" s="1184"/>
      <c r="U902" s="1184"/>
      <c r="V902" s="1184"/>
      <c r="W902" s="1184"/>
      <c r="X902" s="1184"/>
      <c r="Y902" s="1184"/>
      <c r="Z902" s="1184"/>
    </row>
    <row r="903" spans="1:26" ht="15.5">
      <c r="A903" s="1184"/>
      <c r="B903" s="1184"/>
      <c r="C903" s="1184"/>
      <c r="D903" s="1184"/>
      <c r="E903" s="1184"/>
      <c r="F903" s="1184"/>
      <c r="G903" s="1184"/>
      <c r="H903" s="1184"/>
      <c r="I903" s="1184"/>
      <c r="J903" s="1184"/>
      <c r="K903" s="1184"/>
      <c r="L903" s="1184"/>
      <c r="M903" s="1184"/>
      <c r="N903" s="1184"/>
      <c r="O903" s="1184"/>
      <c r="P903" s="1184"/>
      <c r="Q903" s="1184"/>
      <c r="R903" s="1184"/>
      <c r="S903" s="1184"/>
      <c r="T903" s="1184"/>
      <c r="U903" s="1184"/>
      <c r="V903" s="1184"/>
      <c r="W903" s="1184"/>
      <c r="X903" s="1184"/>
      <c r="Y903" s="1184"/>
      <c r="Z903" s="1184"/>
    </row>
    <row r="904" spans="1:26" ht="15.5">
      <c r="A904" s="1184"/>
      <c r="B904" s="1184"/>
      <c r="C904" s="1184"/>
      <c r="D904" s="1184"/>
      <c r="E904" s="1184"/>
      <c r="F904" s="1184"/>
      <c r="G904" s="1184"/>
      <c r="H904" s="1184"/>
      <c r="I904" s="1184"/>
      <c r="J904" s="1184"/>
      <c r="K904" s="1184"/>
      <c r="L904" s="1184"/>
      <c r="M904" s="1184"/>
      <c r="N904" s="1184"/>
      <c r="O904" s="1184"/>
      <c r="P904" s="1184"/>
      <c r="Q904" s="1184"/>
      <c r="R904" s="1184"/>
      <c r="S904" s="1184"/>
      <c r="T904" s="1184"/>
      <c r="U904" s="1184"/>
      <c r="V904" s="1184"/>
      <c r="W904" s="1184"/>
      <c r="X904" s="1184"/>
      <c r="Y904" s="1184"/>
      <c r="Z904" s="1184"/>
    </row>
    <row r="905" spans="1:26" ht="15.5">
      <c r="A905" s="1184"/>
      <c r="B905" s="1184"/>
      <c r="C905" s="1184"/>
      <c r="D905" s="1184"/>
      <c r="E905" s="1184"/>
      <c r="F905" s="1184"/>
      <c r="G905" s="1184"/>
      <c r="H905" s="1184"/>
      <c r="I905" s="1184"/>
      <c r="J905" s="1184"/>
      <c r="K905" s="1184"/>
      <c r="L905" s="1184"/>
      <c r="M905" s="1184"/>
      <c r="N905" s="1184"/>
      <c r="O905" s="1184"/>
      <c r="P905" s="1184"/>
      <c r="Q905" s="1184"/>
      <c r="R905" s="1184"/>
      <c r="S905" s="1184"/>
      <c r="T905" s="1184"/>
      <c r="U905" s="1184"/>
      <c r="V905" s="1184"/>
      <c r="W905" s="1184"/>
      <c r="X905" s="1184"/>
      <c r="Y905" s="1184"/>
      <c r="Z905" s="1184"/>
    </row>
    <row r="906" spans="1:26" ht="15.5">
      <c r="A906" s="1184"/>
      <c r="B906" s="1184"/>
      <c r="C906" s="1184"/>
      <c r="D906" s="1184"/>
      <c r="E906" s="1184"/>
      <c r="F906" s="1184"/>
      <c r="G906" s="1184"/>
      <c r="H906" s="1184"/>
      <c r="I906" s="1184"/>
      <c r="J906" s="1184"/>
      <c r="K906" s="1184"/>
      <c r="L906" s="1184"/>
      <c r="M906" s="1184"/>
      <c r="N906" s="1184"/>
      <c r="O906" s="1184"/>
      <c r="P906" s="1184"/>
      <c r="Q906" s="1184"/>
      <c r="R906" s="1184"/>
      <c r="S906" s="1184"/>
      <c r="T906" s="1184"/>
      <c r="U906" s="1184"/>
      <c r="V906" s="1184"/>
      <c r="W906" s="1184"/>
      <c r="X906" s="1184"/>
      <c r="Y906" s="1184"/>
      <c r="Z906" s="1184"/>
    </row>
    <row r="907" spans="1:26" ht="15.5">
      <c r="A907" s="1184"/>
      <c r="B907" s="1184"/>
      <c r="C907" s="1184"/>
      <c r="D907" s="1184"/>
      <c r="E907" s="1184"/>
      <c r="F907" s="1184"/>
      <c r="G907" s="1184"/>
      <c r="H907" s="1184"/>
      <c r="I907" s="1184"/>
      <c r="J907" s="1184"/>
      <c r="K907" s="1184"/>
      <c r="L907" s="1184"/>
      <c r="M907" s="1184"/>
      <c r="N907" s="1184"/>
      <c r="O907" s="1184"/>
      <c r="P907" s="1184"/>
      <c r="Q907" s="1184"/>
      <c r="R907" s="1184"/>
      <c r="S907" s="1184"/>
      <c r="T907" s="1184"/>
      <c r="U907" s="1184"/>
      <c r="V907" s="1184"/>
      <c r="W907" s="1184"/>
      <c r="X907" s="1184"/>
      <c r="Y907" s="1184"/>
      <c r="Z907" s="1184"/>
    </row>
    <row r="908" spans="1:26" ht="15.5">
      <c r="A908" s="1184"/>
      <c r="B908" s="1184"/>
      <c r="C908" s="1184"/>
      <c r="D908" s="1184"/>
      <c r="E908" s="1184"/>
      <c r="F908" s="1184"/>
      <c r="G908" s="1184"/>
      <c r="H908" s="1184"/>
      <c r="I908" s="1184"/>
      <c r="J908" s="1184"/>
      <c r="K908" s="1184"/>
      <c r="L908" s="1184"/>
      <c r="M908" s="1184"/>
      <c r="N908" s="1184"/>
      <c r="O908" s="1184"/>
      <c r="P908" s="1184"/>
      <c r="Q908" s="1184"/>
      <c r="R908" s="1184"/>
      <c r="S908" s="1184"/>
      <c r="T908" s="1184"/>
      <c r="U908" s="1184"/>
      <c r="V908" s="1184"/>
      <c r="W908" s="1184"/>
      <c r="X908" s="1184"/>
      <c r="Y908" s="1184"/>
      <c r="Z908" s="1184"/>
    </row>
    <row r="909" spans="1:26" ht="15.5">
      <c r="A909" s="1184"/>
      <c r="B909" s="1184"/>
      <c r="C909" s="1184"/>
      <c r="D909" s="1184"/>
      <c r="E909" s="1184"/>
      <c r="F909" s="1184"/>
      <c r="G909" s="1184"/>
      <c r="H909" s="1184"/>
      <c r="I909" s="1184"/>
      <c r="J909" s="1184"/>
      <c r="K909" s="1184"/>
      <c r="L909" s="1184"/>
      <c r="M909" s="1184"/>
      <c r="N909" s="1184"/>
      <c r="O909" s="1184"/>
      <c r="P909" s="1184"/>
      <c r="Q909" s="1184"/>
      <c r="R909" s="1184"/>
      <c r="S909" s="1184"/>
      <c r="T909" s="1184"/>
      <c r="U909" s="1184"/>
      <c r="V909" s="1184"/>
      <c r="W909" s="1184"/>
      <c r="X909" s="1184"/>
      <c r="Y909" s="1184"/>
      <c r="Z909" s="1184"/>
    </row>
    <row r="910" spans="1:26" ht="15.5">
      <c r="A910" s="1184"/>
      <c r="B910" s="1184"/>
      <c r="C910" s="1184"/>
      <c r="D910" s="1184"/>
      <c r="E910" s="1184"/>
      <c r="F910" s="1184"/>
      <c r="G910" s="1184"/>
      <c r="H910" s="1184"/>
      <c r="I910" s="1184"/>
      <c r="J910" s="1184"/>
      <c r="K910" s="1184"/>
      <c r="L910" s="1184"/>
      <c r="M910" s="1184"/>
      <c r="N910" s="1184"/>
      <c r="O910" s="1184"/>
      <c r="P910" s="1184"/>
      <c r="Q910" s="1184"/>
      <c r="R910" s="1184"/>
      <c r="S910" s="1184"/>
      <c r="T910" s="1184"/>
      <c r="U910" s="1184"/>
      <c r="V910" s="1184"/>
      <c r="W910" s="1184"/>
      <c r="X910" s="1184"/>
      <c r="Y910" s="1184"/>
      <c r="Z910" s="1184"/>
    </row>
    <row r="911" spans="1:26" ht="15.5">
      <c r="A911" s="1184"/>
      <c r="B911" s="1184"/>
      <c r="C911" s="1184"/>
      <c r="D911" s="1184"/>
      <c r="E911" s="1184"/>
      <c r="F911" s="1184"/>
      <c r="G911" s="1184"/>
      <c r="H911" s="1184"/>
      <c r="I911" s="1184"/>
      <c r="J911" s="1184"/>
      <c r="K911" s="1184"/>
      <c r="L911" s="1184"/>
      <c r="M911" s="1184"/>
      <c r="N911" s="1184"/>
      <c r="O911" s="1184"/>
      <c r="P911" s="1184"/>
      <c r="Q911" s="1184"/>
      <c r="R911" s="1184"/>
      <c r="S911" s="1184"/>
      <c r="T911" s="1184"/>
      <c r="U911" s="1184"/>
      <c r="V911" s="1184"/>
      <c r="W911" s="1184"/>
      <c r="X911" s="1184"/>
      <c r="Y911" s="1184"/>
      <c r="Z911" s="1184"/>
    </row>
    <row r="912" spans="1:26" ht="15.5">
      <c r="A912" s="1184"/>
      <c r="B912" s="1184"/>
      <c r="C912" s="1184"/>
      <c r="D912" s="1184"/>
      <c r="E912" s="1184"/>
      <c r="F912" s="1184"/>
      <c r="G912" s="1184"/>
      <c r="H912" s="1184"/>
      <c r="I912" s="1184"/>
      <c r="J912" s="1184"/>
      <c r="K912" s="1184"/>
      <c r="L912" s="1184"/>
      <c r="M912" s="1184"/>
      <c r="N912" s="1184"/>
      <c r="O912" s="1184"/>
      <c r="P912" s="1184"/>
      <c r="Q912" s="1184"/>
      <c r="R912" s="1184"/>
      <c r="S912" s="1184"/>
      <c r="T912" s="1184"/>
      <c r="U912" s="1184"/>
      <c r="V912" s="1184"/>
      <c r="W912" s="1184"/>
      <c r="X912" s="1184"/>
      <c r="Y912" s="1184"/>
      <c r="Z912" s="1184"/>
    </row>
    <row r="913" spans="1:26" ht="15.5">
      <c r="A913" s="1184"/>
      <c r="B913" s="1184"/>
      <c r="C913" s="1184"/>
      <c r="D913" s="1184"/>
      <c r="E913" s="1184"/>
      <c r="F913" s="1184"/>
      <c r="G913" s="1184"/>
      <c r="H913" s="1184"/>
      <c r="I913" s="1184"/>
      <c r="J913" s="1184"/>
      <c r="K913" s="1184"/>
      <c r="L913" s="1184"/>
      <c r="M913" s="1184"/>
      <c r="N913" s="1184"/>
      <c r="O913" s="1184"/>
      <c r="P913" s="1184"/>
      <c r="Q913" s="1184"/>
      <c r="R913" s="1184"/>
      <c r="S913" s="1184"/>
      <c r="T913" s="1184"/>
      <c r="U913" s="1184"/>
      <c r="V913" s="1184"/>
      <c r="W913" s="1184"/>
      <c r="X913" s="1184"/>
      <c r="Y913" s="1184"/>
      <c r="Z913" s="1184"/>
    </row>
    <row r="914" spans="1:26" ht="15.5">
      <c r="A914" s="1184"/>
      <c r="B914" s="1184"/>
      <c r="C914" s="1184"/>
      <c r="D914" s="1184"/>
      <c r="E914" s="1184"/>
      <c r="F914" s="1184"/>
      <c r="G914" s="1184"/>
      <c r="H914" s="1184"/>
      <c r="I914" s="1184"/>
      <c r="J914" s="1184"/>
      <c r="K914" s="1184"/>
      <c r="L914" s="1184"/>
      <c r="M914" s="1184"/>
      <c r="N914" s="1184"/>
      <c r="O914" s="1184"/>
      <c r="P914" s="1184"/>
      <c r="Q914" s="1184"/>
      <c r="R914" s="1184"/>
      <c r="S914" s="1184"/>
      <c r="T914" s="1184"/>
      <c r="U914" s="1184"/>
      <c r="V914" s="1184"/>
      <c r="W914" s="1184"/>
      <c r="X914" s="1184"/>
      <c r="Y914" s="1184"/>
      <c r="Z914" s="1184"/>
    </row>
    <row r="915" spans="1:26" ht="15.5">
      <c r="A915" s="1184"/>
      <c r="B915" s="1184"/>
      <c r="C915" s="1184"/>
      <c r="D915" s="1184"/>
      <c r="E915" s="1184"/>
      <c r="F915" s="1184"/>
      <c r="G915" s="1184"/>
      <c r="H915" s="1184"/>
      <c r="I915" s="1184"/>
      <c r="J915" s="1184"/>
      <c r="K915" s="1184"/>
      <c r="L915" s="1184"/>
      <c r="M915" s="1184"/>
      <c r="N915" s="1184"/>
      <c r="O915" s="1184"/>
      <c r="P915" s="1184"/>
      <c r="Q915" s="1184"/>
      <c r="R915" s="1184"/>
      <c r="S915" s="1184"/>
      <c r="T915" s="1184"/>
      <c r="U915" s="1184"/>
      <c r="V915" s="1184"/>
      <c r="W915" s="1184"/>
      <c r="X915" s="1184"/>
      <c r="Y915" s="1184"/>
      <c r="Z915" s="1184"/>
    </row>
    <row r="916" spans="1:26" ht="15.5">
      <c r="A916" s="1184"/>
      <c r="B916" s="1184"/>
      <c r="C916" s="1184"/>
      <c r="D916" s="1184"/>
      <c r="E916" s="1184"/>
      <c r="F916" s="1184"/>
      <c r="G916" s="1184"/>
      <c r="H916" s="1184"/>
      <c r="I916" s="1184"/>
      <c r="J916" s="1184"/>
      <c r="K916" s="1184"/>
      <c r="L916" s="1184"/>
      <c r="M916" s="1184"/>
      <c r="N916" s="1184"/>
      <c r="O916" s="1184"/>
      <c r="P916" s="1184"/>
      <c r="Q916" s="1184"/>
      <c r="R916" s="1184"/>
      <c r="S916" s="1184"/>
      <c r="T916" s="1184"/>
      <c r="U916" s="1184"/>
      <c r="V916" s="1184"/>
      <c r="W916" s="1184"/>
      <c r="X916" s="1184"/>
      <c r="Y916" s="1184"/>
      <c r="Z916" s="1184"/>
    </row>
    <row r="917" spans="1:26" ht="15.5">
      <c r="A917" s="1184"/>
      <c r="B917" s="1184"/>
      <c r="C917" s="1184"/>
      <c r="D917" s="1184"/>
      <c r="E917" s="1184"/>
      <c r="F917" s="1184"/>
      <c r="G917" s="1184"/>
      <c r="H917" s="1184"/>
      <c r="I917" s="1184"/>
      <c r="J917" s="1184"/>
      <c r="K917" s="1184"/>
      <c r="L917" s="1184"/>
      <c r="M917" s="1184"/>
      <c r="N917" s="1184"/>
      <c r="O917" s="1184"/>
      <c r="P917" s="1184"/>
      <c r="Q917" s="1184"/>
      <c r="R917" s="1184"/>
      <c r="S917" s="1184"/>
      <c r="T917" s="1184"/>
      <c r="U917" s="1184"/>
      <c r="V917" s="1184"/>
      <c r="W917" s="1184"/>
      <c r="X917" s="1184"/>
      <c r="Y917" s="1184"/>
      <c r="Z917" s="1184"/>
    </row>
    <row r="918" spans="1:26" ht="15.5">
      <c r="A918" s="1184"/>
      <c r="B918" s="1184"/>
      <c r="C918" s="1184"/>
      <c r="D918" s="1184"/>
      <c r="E918" s="1184"/>
      <c r="F918" s="1184"/>
      <c r="G918" s="1184"/>
      <c r="H918" s="1184"/>
      <c r="I918" s="1184"/>
      <c r="J918" s="1184"/>
      <c r="K918" s="1184"/>
      <c r="L918" s="1184"/>
      <c r="M918" s="1184"/>
      <c r="N918" s="1184"/>
      <c r="O918" s="1184"/>
      <c r="P918" s="1184"/>
      <c r="Q918" s="1184"/>
      <c r="R918" s="1184"/>
      <c r="S918" s="1184"/>
      <c r="T918" s="1184"/>
      <c r="U918" s="1184"/>
      <c r="V918" s="1184"/>
      <c r="W918" s="1184"/>
      <c r="X918" s="1184"/>
      <c r="Y918" s="1184"/>
      <c r="Z918" s="1184"/>
    </row>
    <row r="919" spans="1:26" ht="15.5">
      <c r="A919" s="1184"/>
      <c r="B919" s="1184"/>
      <c r="C919" s="1184"/>
      <c r="D919" s="1184"/>
      <c r="E919" s="1184"/>
      <c r="F919" s="1184"/>
      <c r="G919" s="1184"/>
      <c r="H919" s="1184"/>
      <c r="I919" s="1184"/>
      <c r="J919" s="1184"/>
      <c r="K919" s="1184"/>
      <c r="L919" s="1184"/>
      <c r="M919" s="1184"/>
      <c r="N919" s="1184"/>
      <c r="O919" s="1184"/>
      <c r="P919" s="1184"/>
      <c r="Q919" s="1184"/>
      <c r="R919" s="1184"/>
      <c r="S919" s="1184"/>
      <c r="T919" s="1184"/>
      <c r="U919" s="1184"/>
      <c r="V919" s="1184"/>
      <c r="W919" s="1184"/>
      <c r="X919" s="1184"/>
      <c r="Y919" s="1184"/>
      <c r="Z919" s="1184"/>
    </row>
    <row r="920" spans="1:26" ht="15.5">
      <c r="A920" s="1184"/>
      <c r="B920" s="1184"/>
      <c r="C920" s="1184"/>
      <c r="D920" s="1184"/>
      <c r="E920" s="1184"/>
      <c r="F920" s="1184"/>
      <c r="G920" s="1184"/>
      <c r="H920" s="1184"/>
      <c r="I920" s="1184"/>
      <c r="J920" s="1184"/>
      <c r="K920" s="1184"/>
      <c r="L920" s="1184"/>
      <c r="M920" s="1184"/>
      <c r="N920" s="1184"/>
      <c r="O920" s="1184"/>
      <c r="P920" s="1184"/>
      <c r="Q920" s="1184"/>
      <c r="R920" s="1184"/>
      <c r="S920" s="1184"/>
      <c r="T920" s="1184"/>
      <c r="U920" s="1184"/>
      <c r="V920" s="1184"/>
      <c r="W920" s="1184"/>
      <c r="X920" s="1184"/>
      <c r="Y920" s="1184"/>
      <c r="Z920" s="1184"/>
    </row>
    <row r="921" spans="1:26" ht="15.5">
      <c r="A921" s="1184"/>
      <c r="B921" s="1184"/>
      <c r="C921" s="1184"/>
      <c r="D921" s="1184"/>
      <c r="E921" s="1184"/>
      <c r="F921" s="1184"/>
      <c r="G921" s="1184"/>
      <c r="H921" s="1184"/>
      <c r="I921" s="1184"/>
      <c r="J921" s="1184"/>
      <c r="K921" s="1184"/>
      <c r="L921" s="1184"/>
      <c r="M921" s="1184"/>
      <c r="N921" s="1184"/>
      <c r="O921" s="1184"/>
      <c r="P921" s="1184"/>
      <c r="Q921" s="1184"/>
      <c r="R921" s="1184"/>
      <c r="S921" s="1184"/>
      <c r="T921" s="1184"/>
      <c r="U921" s="1184"/>
      <c r="V921" s="1184"/>
      <c r="W921" s="1184"/>
      <c r="X921" s="1184"/>
      <c r="Y921" s="1184"/>
      <c r="Z921" s="1184"/>
    </row>
    <row r="922" spans="1:26" ht="15.5">
      <c r="A922" s="1184"/>
      <c r="B922" s="1184"/>
      <c r="C922" s="1184"/>
      <c r="D922" s="1184"/>
      <c r="E922" s="1184"/>
      <c r="F922" s="1184"/>
      <c r="G922" s="1184"/>
      <c r="H922" s="1184"/>
      <c r="I922" s="1184"/>
      <c r="J922" s="1184"/>
      <c r="K922" s="1184"/>
      <c r="L922" s="1184"/>
      <c r="M922" s="1184"/>
      <c r="N922" s="1184"/>
      <c r="O922" s="1184"/>
      <c r="P922" s="1184"/>
      <c r="Q922" s="1184"/>
      <c r="R922" s="1184"/>
      <c r="S922" s="1184"/>
      <c r="T922" s="1184"/>
      <c r="U922" s="1184"/>
      <c r="V922" s="1184"/>
      <c r="W922" s="1184"/>
      <c r="X922" s="1184"/>
      <c r="Y922" s="1184"/>
      <c r="Z922" s="1184"/>
    </row>
    <row r="923" spans="1:26" ht="15.5">
      <c r="A923" s="1184"/>
      <c r="B923" s="1184"/>
      <c r="C923" s="1184"/>
      <c r="D923" s="1184"/>
      <c r="E923" s="1184"/>
      <c r="F923" s="1184"/>
      <c r="G923" s="1184"/>
      <c r="H923" s="1184"/>
      <c r="I923" s="1184"/>
      <c r="J923" s="1184"/>
      <c r="K923" s="1184"/>
      <c r="L923" s="1184"/>
      <c r="M923" s="1184"/>
      <c r="N923" s="1184"/>
      <c r="O923" s="1184"/>
      <c r="P923" s="1184"/>
      <c r="Q923" s="1184"/>
      <c r="R923" s="1184"/>
      <c r="S923" s="1184"/>
      <c r="T923" s="1184"/>
      <c r="U923" s="1184"/>
      <c r="V923" s="1184"/>
      <c r="W923" s="1184"/>
      <c r="X923" s="1184"/>
      <c r="Y923" s="1184"/>
      <c r="Z923" s="1184"/>
    </row>
    <row r="924" spans="1:26" ht="15.5">
      <c r="A924" s="1184"/>
      <c r="B924" s="1184"/>
      <c r="C924" s="1184"/>
      <c r="D924" s="1184"/>
      <c r="E924" s="1184"/>
      <c r="F924" s="1184"/>
      <c r="G924" s="1184"/>
      <c r="H924" s="1184"/>
      <c r="I924" s="1184"/>
      <c r="J924" s="1184"/>
      <c r="K924" s="1184"/>
      <c r="L924" s="1184"/>
      <c r="M924" s="1184"/>
      <c r="N924" s="1184"/>
      <c r="O924" s="1184"/>
      <c r="P924" s="1184"/>
      <c r="Q924" s="1184"/>
      <c r="R924" s="1184"/>
      <c r="S924" s="1184"/>
      <c r="T924" s="1184"/>
      <c r="U924" s="1184"/>
      <c r="V924" s="1184"/>
      <c r="W924" s="1184"/>
      <c r="X924" s="1184"/>
      <c r="Y924" s="1184"/>
      <c r="Z924" s="1184"/>
    </row>
    <row r="925" spans="1:26" ht="15.5">
      <c r="A925" s="1184"/>
      <c r="B925" s="1184"/>
      <c r="C925" s="1184"/>
      <c r="D925" s="1184"/>
      <c r="E925" s="1184"/>
      <c r="F925" s="1184"/>
      <c r="G925" s="1184"/>
      <c r="H925" s="1184"/>
      <c r="I925" s="1184"/>
      <c r="J925" s="1184"/>
      <c r="K925" s="1184"/>
      <c r="L925" s="1184"/>
      <c r="M925" s="1184"/>
      <c r="N925" s="1184"/>
      <c r="O925" s="1184"/>
      <c r="P925" s="1184"/>
      <c r="Q925" s="1184"/>
      <c r="R925" s="1184"/>
      <c r="S925" s="1184"/>
      <c r="T925" s="1184"/>
      <c r="U925" s="1184"/>
      <c r="V925" s="1184"/>
      <c r="W925" s="1184"/>
      <c r="X925" s="1184"/>
      <c r="Y925" s="1184"/>
      <c r="Z925" s="1184"/>
    </row>
    <row r="926" spans="1:26" ht="15.5">
      <c r="A926" s="1184"/>
      <c r="B926" s="1184"/>
      <c r="C926" s="1184"/>
      <c r="D926" s="1184"/>
      <c r="E926" s="1184"/>
      <c r="F926" s="1184"/>
      <c r="G926" s="1184"/>
      <c r="H926" s="1184"/>
      <c r="I926" s="1184"/>
      <c r="J926" s="1184"/>
      <c r="K926" s="1184"/>
      <c r="L926" s="1184"/>
      <c r="M926" s="1184"/>
      <c r="N926" s="1184"/>
      <c r="O926" s="1184"/>
      <c r="P926" s="1184"/>
      <c r="Q926" s="1184"/>
      <c r="R926" s="1184"/>
      <c r="S926" s="1184"/>
      <c r="T926" s="1184"/>
      <c r="U926" s="1184"/>
      <c r="V926" s="1184"/>
      <c r="W926" s="1184"/>
      <c r="X926" s="1184"/>
      <c r="Y926" s="1184"/>
      <c r="Z926" s="1184"/>
    </row>
    <row r="927" spans="1:26" ht="15.5">
      <c r="A927" s="1184"/>
      <c r="B927" s="1184"/>
      <c r="C927" s="1184"/>
      <c r="D927" s="1184"/>
      <c r="E927" s="1184"/>
      <c r="F927" s="1184"/>
      <c r="G927" s="1184"/>
      <c r="H927" s="1184"/>
      <c r="I927" s="1184"/>
      <c r="J927" s="1184"/>
      <c r="K927" s="1184"/>
      <c r="L927" s="1184"/>
      <c r="M927" s="1184"/>
      <c r="N927" s="1184"/>
      <c r="O927" s="1184"/>
      <c r="P927" s="1184"/>
      <c r="Q927" s="1184"/>
      <c r="R927" s="1184"/>
      <c r="S927" s="1184"/>
      <c r="T927" s="1184"/>
      <c r="U927" s="1184"/>
      <c r="V927" s="1184"/>
      <c r="W927" s="1184"/>
      <c r="X927" s="1184"/>
      <c r="Y927" s="1184"/>
      <c r="Z927" s="1184"/>
    </row>
    <row r="928" spans="1:26" ht="15.5">
      <c r="A928" s="1184"/>
      <c r="B928" s="1184"/>
      <c r="C928" s="1184"/>
      <c r="D928" s="1184"/>
      <c r="E928" s="1184"/>
      <c r="F928" s="1184"/>
      <c r="G928" s="1184"/>
      <c r="H928" s="1184"/>
      <c r="I928" s="1184"/>
      <c r="J928" s="1184"/>
      <c r="K928" s="1184"/>
      <c r="L928" s="1184"/>
      <c r="M928" s="1184"/>
      <c r="N928" s="1184"/>
      <c r="O928" s="1184"/>
      <c r="P928" s="1184"/>
      <c r="Q928" s="1184"/>
      <c r="R928" s="1184"/>
      <c r="S928" s="1184"/>
      <c r="T928" s="1184"/>
      <c r="U928" s="1184"/>
      <c r="V928" s="1184"/>
      <c r="W928" s="1184"/>
      <c r="X928" s="1184"/>
      <c r="Y928" s="1184"/>
      <c r="Z928" s="1184"/>
    </row>
    <row r="929" spans="1:26" ht="15.5">
      <c r="A929" s="1184"/>
      <c r="B929" s="1184"/>
      <c r="C929" s="1184"/>
      <c r="D929" s="1184"/>
      <c r="E929" s="1184"/>
      <c r="F929" s="1184"/>
      <c r="G929" s="1184"/>
      <c r="H929" s="1184"/>
      <c r="I929" s="1184"/>
      <c r="J929" s="1184"/>
      <c r="K929" s="1184"/>
      <c r="L929" s="1184"/>
      <c r="M929" s="1184"/>
      <c r="N929" s="1184"/>
      <c r="O929" s="1184"/>
      <c r="P929" s="1184"/>
      <c r="Q929" s="1184"/>
      <c r="R929" s="1184"/>
      <c r="S929" s="1184"/>
      <c r="T929" s="1184"/>
      <c r="U929" s="1184"/>
      <c r="V929" s="1184"/>
      <c r="W929" s="1184"/>
      <c r="X929" s="1184"/>
      <c r="Y929" s="1184"/>
      <c r="Z929" s="1184"/>
    </row>
    <row r="930" spans="1:26" ht="15.5">
      <c r="A930" s="1184"/>
      <c r="B930" s="1184"/>
      <c r="C930" s="1184"/>
      <c r="D930" s="1184"/>
      <c r="E930" s="1184"/>
      <c r="F930" s="1184"/>
      <c r="G930" s="1184"/>
      <c r="H930" s="1184"/>
      <c r="I930" s="1184"/>
      <c r="J930" s="1184"/>
      <c r="K930" s="1184"/>
      <c r="L930" s="1184"/>
      <c r="M930" s="1184"/>
      <c r="N930" s="1184"/>
      <c r="O930" s="1184"/>
      <c r="P930" s="1184"/>
      <c r="Q930" s="1184"/>
      <c r="R930" s="1184"/>
      <c r="S930" s="1184"/>
      <c r="T930" s="1184"/>
      <c r="U930" s="1184"/>
      <c r="V930" s="1184"/>
      <c r="W930" s="1184"/>
      <c r="X930" s="1184"/>
      <c r="Y930" s="1184"/>
      <c r="Z930" s="1184"/>
    </row>
    <row r="931" spans="1:26" ht="15.5">
      <c r="A931" s="1184"/>
      <c r="B931" s="1184"/>
      <c r="C931" s="1184"/>
      <c r="D931" s="1184"/>
      <c r="E931" s="1184"/>
      <c r="F931" s="1184"/>
      <c r="G931" s="1184"/>
      <c r="H931" s="1184"/>
      <c r="I931" s="1184"/>
      <c r="J931" s="1184"/>
      <c r="K931" s="1184"/>
      <c r="L931" s="1184"/>
      <c r="M931" s="1184"/>
      <c r="N931" s="1184"/>
      <c r="O931" s="1184"/>
      <c r="P931" s="1184"/>
      <c r="Q931" s="1184"/>
      <c r="R931" s="1184"/>
      <c r="S931" s="1184"/>
      <c r="T931" s="1184"/>
      <c r="U931" s="1184"/>
      <c r="V931" s="1184"/>
      <c r="W931" s="1184"/>
      <c r="X931" s="1184"/>
      <c r="Y931" s="1184"/>
      <c r="Z931" s="1184"/>
    </row>
    <row r="932" spans="1:26" ht="15.5">
      <c r="A932" s="1184"/>
      <c r="B932" s="1184"/>
      <c r="C932" s="1184"/>
      <c r="D932" s="1184"/>
      <c r="E932" s="1184"/>
      <c r="F932" s="1184"/>
      <c r="G932" s="1184"/>
      <c r="H932" s="1184"/>
      <c r="I932" s="1184"/>
      <c r="J932" s="1184"/>
      <c r="K932" s="1184"/>
      <c r="L932" s="1184"/>
      <c r="M932" s="1184"/>
      <c r="N932" s="1184"/>
      <c r="O932" s="1184"/>
      <c r="P932" s="1184"/>
      <c r="Q932" s="1184"/>
      <c r="R932" s="1184"/>
      <c r="S932" s="1184"/>
      <c r="T932" s="1184"/>
      <c r="U932" s="1184"/>
      <c r="V932" s="1184"/>
      <c r="W932" s="1184"/>
      <c r="X932" s="1184"/>
      <c r="Y932" s="1184"/>
      <c r="Z932" s="1184"/>
    </row>
    <row r="933" spans="1:26" ht="15.5">
      <c r="A933" s="1184"/>
      <c r="B933" s="1184"/>
      <c r="C933" s="1184"/>
      <c r="D933" s="1184"/>
      <c r="E933" s="1184"/>
      <c r="F933" s="1184"/>
      <c r="G933" s="1184"/>
      <c r="H933" s="1184"/>
      <c r="I933" s="1184"/>
      <c r="J933" s="1184"/>
      <c r="K933" s="1184"/>
      <c r="L933" s="1184"/>
      <c r="M933" s="1184"/>
      <c r="N933" s="1184"/>
      <c r="O933" s="1184"/>
      <c r="P933" s="1184"/>
      <c r="Q933" s="1184"/>
      <c r="R933" s="1184"/>
      <c r="S933" s="1184"/>
      <c r="T933" s="1184"/>
      <c r="U933" s="1184"/>
      <c r="V933" s="1184"/>
      <c r="W933" s="1184"/>
      <c r="X933" s="1184"/>
      <c r="Y933" s="1184"/>
      <c r="Z933" s="1184"/>
    </row>
    <row r="934" spans="1:26" ht="15.5">
      <c r="A934" s="1184"/>
      <c r="B934" s="1184"/>
      <c r="C934" s="1184"/>
      <c r="D934" s="1184"/>
      <c r="E934" s="1184"/>
      <c r="F934" s="1184"/>
      <c r="G934" s="1184"/>
      <c r="H934" s="1184"/>
      <c r="I934" s="1184"/>
      <c r="J934" s="1184"/>
      <c r="K934" s="1184"/>
      <c r="L934" s="1184"/>
      <c r="M934" s="1184"/>
      <c r="N934" s="1184"/>
      <c r="O934" s="1184"/>
      <c r="P934" s="1184"/>
      <c r="Q934" s="1184"/>
      <c r="R934" s="1184"/>
      <c r="S934" s="1184"/>
      <c r="T934" s="1184"/>
      <c r="U934" s="1184"/>
      <c r="V934" s="1184"/>
      <c r="W934" s="1184"/>
      <c r="X934" s="1184"/>
      <c r="Y934" s="1184"/>
      <c r="Z934" s="1184"/>
    </row>
    <row r="935" spans="1:26" ht="15.5">
      <c r="A935" s="1184"/>
      <c r="B935" s="1184"/>
      <c r="C935" s="1184"/>
      <c r="D935" s="1184"/>
      <c r="E935" s="1184"/>
      <c r="F935" s="1184"/>
      <c r="G935" s="1184"/>
      <c r="H935" s="1184"/>
      <c r="I935" s="1184"/>
      <c r="J935" s="1184"/>
      <c r="K935" s="1184"/>
      <c r="L935" s="1184"/>
      <c r="M935" s="1184"/>
      <c r="N935" s="1184"/>
      <c r="O935" s="1184"/>
      <c r="P935" s="1184"/>
      <c r="Q935" s="1184"/>
      <c r="R935" s="1184"/>
      <c r="S935" s="1184"/>
      <c r="T935" s="1184"/>
      <c r="U935" s="1184"/>
      <c r="V935" s="1184"/>
      <c r="W935" s="1184"/>
      <c r="X935" s="1184"/>
      <c r="Y935" s="1184"/>
      <c r="Z935" s="1184"/>
    </row>
    <row r="936" spans="1:26" ht="15.5">
      <c r="A936" s="1184"/>
      <c r="B936" s="1184"/>
      <c r="C936" s="1184"/>
      <c r="D936" s="1184"/>
      <c r="E936" s="1184"/>
      <c r="F936" s="1184"/>
      <c r="G936" s="1184"/>
      <c r="H936" s="1184"/>
      <c r="I936" s="1184"/>
      <c r="J936" s="1184"/>
      <c r="K936" s="1184"/>
      <c r="L936" s="1184"/>
      <c r="M936" s="1184"/>
      <c r="N936" s="1184"/>
      <c r="O936" s="1184"/>
      <c r="P936" s="1184"/>
      <c r="Q936" s="1184"/>
      <c r="R936" s="1184"/>
      <c r="S936" s="1184"/>
      <c r="T936" s="1184"/>
      <c r="U936" s="1184"/>
      <c r="V936" s="1184"/>
      <c r="W936" s="1184"/>
      <c r="X936" s="1184"/>
      <c r="Y936" s="1184"/>
      <c r="Z936" s="1184"/>
    </row>
    <row r="937" spans="1:26" ht="15.5">
      <c r="A937" s="1184"/>
      <c r="B937" s="1184"/>
      <c r="C937" s="1184"/>
      <c r="D937" s="1184"/>
      <c r="E937" s="1184"/>
      <c r="F937" s="1184"/>
      <c r="G937" s="1184"/>
      <c r="H937" s="1184"/>
      <c r="I937" s="1184"/>
      <c r="J937" s="1184"/>
      <c r="K937" s="1184"/>
      <c r="L937" s="1184"/>
      <c r="M937" s="1184"/>
      <c r="N937" s="1184"/>
      <c r="O937" s="1184"/>
      <c r="P937" s="1184"/>
      <c r="Q937" s="1184"/>
      <c r="R937" s="1184"/>
      <c r="S937" s="1184"/>
      <c r="T937" s="1184"/>
      <c r="U937" s="1184"/>
      <c r="V937" s="1184"/>
      <c r="W937" s="1184"/>
      <c r="X937" s="1184"/>
      <c r="Y937" s="1184"/>
      <c r="Z937" s="1184"/>
    </row>
    <row r="938" spans="1:26" ht="15.5">
      <c r="A938" s="1184"/>
      <c r="B938" s="1184"/>
      <c r="C938" s="1184"/>
      <c r="D938" s="1184"/>
      <c r="E938" s="1184"/>
      <c r="F938" s="1184"/>
      <c r="G938" s="1184"/>
      <c r="H938" s="1184"/>
      <c r="I938" s="1184"/>
      <c r="J938" s="1184"/>
      <c r="K938" s="1184"/>
      <c r="L938" s="1184"/>
      <c r="M938" s="1184"/>
      <c r="N938" s="1184"/>
      <c r="O938" s="1184"/>
      <c r="P938" s="1184"/>
      <c r="Q938" s="1184"/>
      <c r="R938" s="1184"/>
      <c r="S938" s="1184"/>
      <c r="T938" s="1184"/>
      <c r="U938" s="1184"/>
      <c r="V938" s="1184"/>
      <c r="W938" s="1184"/>
      <c r="X938" s="1184"/>
      <c r="Y938" s="1184"/>
      <c r="Z938" s="1184"/>
    </row>
    <row r="939" spans="1:26" ht="15.5">
      <c r="A939" s="1184"/>
      <c r="B939" s="1184"/>
      <c r="C939" s="1184"/>
      <c r="D939" s="1184"/>
      <c r="E939" s="1184"/>
      <c r="F939" s="1184"/>
      <c r="G939" s="1184"/>
      <c r="H939" s="1184"/>
      <c r="I939" s="1184"/>
      <c r="J939" s="1184"/>
      <c r="K939" s="1184"/>
      <c r="L939" s="1184"/>
      <c r="M939" s="1184"/>
      <c r="N939" s="1184"/>
      <c r="O939" s="1184"/>
      <c r="P939" s="1184"/>
      <c r="Q939" s="1184"/>
      <c r="R939" s="1184"/>
      <c r="S939" s="1184"/>
      <c r="T939" s="1184"/>
      <c r="U939" s="1184"/>
      <c r="V939" s="1184"/>
      <c r="W939" s="1184"/>
      <c r="X939" s="1184"/>
      <c r="Y939" s="1184"/>
      <c r="Z939" s="1184"/>
    </row>
    <row r="940" spans="1:26" ht="15.5">
      <c r="A940" s="1184"/>
      <c r="B940" s="1184"/>
      <c r="C940" s="1184"/>
      <c r="D940" s="1184"/>
      <c r="E940" s="1184"/>
      <c r="F940" s="1184"/>
      <c r="G940" s="1184"/>
      <c r="H940" s="1184"/>
      <c r="I940" s="1184"/>
      <c r="J940" s="1184"/>
      <c r="K940" s="1184"/>
      <c r="L940" s="1184"/>
      <c r="M940" s="1184"/>
      <c r="N940" s="1184"/>
      <c r="O940" s="1184"/>
      <c r="P940" s="1184"/>
      <c r="Q940" s="1184"/>
      <c r="R940" s="1184"/>
      <c r="S940" s="1184"/>
      <c r="T940" s="1184"/>
      <c r="U940" s="1184"/>
      <c r="V940" s="1184"/>
      <c r="W940" s="1184"/>
      <c r="X940" s="1184"/>
      <c r="Y940" s="1184"/>
      <c r="Z940" s="1184"/>
    </row>
    <row r="941" spans="1:26" ht="15.5">
      <c r="A941" s="1184"/>
      <c r="B941" s="1184"/>
      <c r="C941" s="1184"/>
      <c r="D941" s="1184"/>
      <c r="E941" s="1184"/>
      <c r="F941" s="1184"/>
      <c r="G941" s="1184"/>
      <c r="H941" s="1184"/>
      <c r="I941" s="1184"/>
      <c r="J941" s="1184"/>
      <c r="K941" s="1184"/>
      <c r="L941" s="1184"/>
      <c r="M941" s="1184"/>
      <c r="N941" s="1184"/>
      <c r="O941" s="1184"/>
      <c r="P941" s="1184"/>
      <c r="Q941" s="1184"/>
      <c r="R941" s="1184"/>
      <c r="S941" s="1184"/>
      <c r="T941" s="1184"/>
      <c r="U941" s="1184"/>
      <c r="V941" s="1184"/>
      <c r="W941" s="1184"/>
      <c r="X941" s="1184"/>
      <c r="Y941" s="1184"/>
      <c r="Z941" s="1184"/>
    </row>
    <row r="942" spans="1:26" ht="15.5">
      <c r="A942" s="1184"/>
      <c r="B942" s="1184"/>
      <c r="C942" s="1184"/>
      <c r="D942" s="1184"/>
      <c r="E942" s="1184"/>
      <c r="F942" s="1184"/>
      <c r="G942" s="1184"/>
      <c r="H942" s="1184"/>
      <c r="I942" s="1184"/>
      <c r="J942" s="1184"/>
      <c r="K942" s="1184"/>
      <c r="L942" s="1184"/>
      <c r="M942" s="1184"/>
      <c r="N942" s="1184"/>
      <c r="O942" s="1184"/>
      <c r="P942" s="1184"/>
      <c r="Q942" s="1184"/>
      <c r="R942" s="1184"/>
      <c r="S942" s="1184"/>
      <c r="T942" s="1184"/>
      <c r="U942" s="1184"/>
      <c r="V942" s="1184"/>
      <c r="W942" s="1184"/>
      <c r="X942" s="1184"/>
      <c r="Y942" s="1184"/>
      <c r="Z942" s="1184"/>
    </row>
    <row r="943" spans="1:26" ht="15.5">
      <c r="A943" s="1184"/>
      <c r="B943" s="1184"/>
      <c r="C943" s="1184"/>
      <c r="D943" s="1184"/>
      <c r="E943" s="1184"/>
      <c r="F943" s="1184"/>
      <c r="G943" s="1184"/>
      <c r="H943" s="1184"/>
      <c r="I943" s="1184"/>
      <c r="J943" s="1184"/>
      <c r="K943" s="1184"/>
      <c r="L943" s="1184"/>
      <c r="M943" s="1184"/>
      <c r="N943" s="1184"/>
      <c r="O943" s="1184"/>
      <c r="P943" s="1184"/>
      <c r="Q943" s="1184"/>
      <c r="R943" s="1184"/>
      <c r="S943" s="1184"/>
      <c r="T943" s="1184"/>
      <c r="U943" s="1184"/>
      <c r="V943" s="1184"/>
      <c r="W943" s="1184"/>
      <c r="X943" s="1184"/>
      <c r="Y943" s="1184"/>
      <c r="Z943" s="1184"/>
    </row>
    <row r="944" spans="1:26" ht="15.5">
      <c r="A944" s="1184"/>
      <c r="B944" s="1184"/>
      <c r="C944" s="1184"/>
      <c r="D944" s="1184"/>
      <c r="E944" s="1184"/>
      <c r="F944" s="1184"/>
      <c r="G944" s="1184"/>
      <c r="H944" s="1184"/>
      <c r="I944" s="1184"/>
      <c r="J944" s="1184"/>
      <c r="K944" s="1184"/>
      <c r="L944" s="1184"/>
      <c r="M944" s="1184"/>
      <c r="N944" s="1184"/>
      <c r="O944" s="1184"/>
      <c r="P944" s="1184"/>
      <c r="Q944" s="1184"/>
      <c r="R944" s="1184"/>
      <c r="S944" s="1184"/>
      <c r="T944" s="1184"/>
      <c r="U944" s="1184"/>
      <c r="V944" s="1184"/>
      <c r="W944" s="1184"/>
      <c r="X944" s="1184"/>
      <c r="Y944" s="1184"/>
      <c r="Z944" s="1184"/>
    </row>
    <row r="945" spans="1:26" ht="15.5">
      <c r="A945" s="1184"/>
      <c r="B945" s="1184"/>
      <c r="C945" s="1184"/>
      <c r="D945" s="1184"/>
      <c r="E945" s="1184"/>
      <c r="F945" s="1184"/>
      <c r="G945" s="1184"/>
      <c r="H945" s="1184"/>
      <c r="I945" s="1184"/>
      <c r="J945" s="1184"/>
      <c r="K945" s="1184"/>
      <c r="L945" s="1184"/>
      <c r="M945" s="1184"/>
      <c r="N945" s="1184"/>
      <c r="O945" s="1184"/>
      <c r="P945" s="1184"/>
      <c r="Q945" s="1184"/>
      <c r="R945" s="1184"/>
      <c r="S945" s="1184"/>
      <c r="T945" s="1184"/>
      <c r="U945" s="1184"/>
      <c r="V945" s="1184"/>
      <c r="W945" s="1184"/>
      <c r="X945" s="1184"/>
      <c r="Y945" s="1184"/>
      <c r="Z945" s="1184"/>
    </row>
    <row r="946" spans="1:26" ht="15.5">
      <c r="A946" s="1184"/>
      <c r="B946" s="1184"/>
      <c r="C946" s="1184"/>
      <c r="D946" s="1184"/>
      <c r="E946" s="1184"/>
      <c r="F946" s="1184"/>
      <c r="G946" s="1184"/>
      <c r="H946" s="1184"/>
      <c r="I946" s="1184"/>
      <c r="J946" s="1184"/>
      <c r="K946" s="1184"/>
      <c r="L946" s="1184"/>
      <c r="M946" s="1184"/>
      <c r="N946" s="1184"/>
      <c r="O946" s="1184"/>
      <c r="P946" s="1184"/>
      <c r="Q946" s="1184"/>
      <c r="R946" s="1184"/>
      <c r="S946" s="1184"/>
      <c r="T946" s="1184"/>
      <c r="U946" s="1184"/>
      <c r="V946" s="1184"/>
      <c r="W946" s="1184"/>
      <c r="X946" s="1184"/>
      <c r="Y946" s="1184"/>
      <c r="Z946" s="1184"/>
    </row>
    <row r="947" spans="1:26" ht="15.5">
      <c r="A947" s="1184"/>
      <c r="B947" s="1184"/>
      <c r="C947" s="1184"/>
      <c r="D947" s="1184"/>
      <c r="E947" s="1184"/>
      <c r="F947" s="1184"/>
      <c r="G947" s="1184"/>
      <c r="H947" s="1184"/>
      <c r="I947" s="1184"/>
      <c r="J947" s="1184"/>
      <c r="K947" s="1184"/>
      <c r="L947" s="1184"/>
      <c r="M947" s="1184"/>
      <c r="N947" s="1184"/>
      <c r="O947" s="1184"/>
      <c r="P947" s="1184"/>
      <c r="Q947" s="1184"/>
      <c r="R947" s="1184"/>
      <c r="S947" s="1184"/>
      <c r="T947" s="1184"/>
      <c r="U947" s="1184"/>
      <c r="V947" s="1184"/>
      <c r="W947" s="1184"/>
      <c r="X947" s="1184"/>
      <c r="Y947" s="1184"/>
      <c r="Z947" s="1184"/>
    </row>
    <row r="948" spans="1:26" ht="15.5">
      <c r="A948" s="1184"/>
      <c r="B948" s="1184"/>
      <c r="C948" s="1184"/>
      <c r="D948" s="1184"/>
      <c r="E948" s="1184"/>
      <c r="F948" s="1184"/>
      <c r="G948" s="1184"/>
      <c r="H948" s="1184"/>
      <c r="I948" s="1184"/>
      <c r="J948" s="1184"/>
      <c r="K948" s="1184"/>
      <c r="L948" s="1184"/>
      <c r="M948" s="1184"/>
      <c r="N948" s="1184"/>
      <c r="O948" s="1184"/>
      <c r="P948" s="1184"/>
      <c r="Q948" s="1184"/>
      <c r="R948" s="1184"/>
      <c r="S948" s="1184"/>
      <c r="T948" s="1184"/>
      <c r="U948" s="1184"/>
      <c r="V948" s="1184"/>
      <c r="W948" s="1184"/>
      <c r="X948" s="1184"/>
      <c r="Y948" s="1184"/>
      <c r="Z948" s="1184"/>
    </row>
    <row r="949" spans="1:26" ht="15.5">
      <c r="A949" s="1184"/>
      <c r="B949" s="1184"/>
      <c r="C949" s="1184"/>
      <c r="D949" s="1184"/>
      <c r="E949" s="1184"/>
      <c r="F949" s="1184"/>
      <c r="G949" s="1184"/>
      <c r="H949" s="1184"/>
      <c r="I949" s="1184"/>
      <c r="J949" s="1184"/>
      <c r="K949" s="1184"/>
      <c r="L949" s="1184"/>
      <c r="M949" s="1184"/>
      <c r="N949" s="1184"/>
      <c r="O949" s="1184"/>
      <c r="P949" s="1184"/>
      <c r="Q949" s="1184"/>
      <c r="R949" s="1184"/>
      <c r="S949" s="1184"/>
      <c r="T949" s="1184"/>
      <c r="U949" s="1184"/>
      <c r="V949" s="1184"/>
      <c r="W949" s="1184"/>
      <c r="X949" s="1184"/>
      <c r="Y949" s="1184"/>
      <c r="Z949" s="1184"/>
    </row>
    <row r="950" spans="1:26" ht="15.5">
      <c r="A950" s="1184"/>
      <c r="B950" s="1184"/>
      <c r="C950" s="1184"/>
      <c r="D950" s="1184"/>
      <c r="E950" s="1184"/>
      <c r="F950" s="1184"/>
      <c r="G950" s="1184"/>
      <c r="H950" s="1184"/>
      <c r="I950" s="1184"/>
      <c r="J950" s="1184"/>
      <c r="K950" s="1184"/>
      <c r="L950" s="1184"/>
      <c r="M950" s="1184"/>
      <c r="N950" s="1184"/>
      <c r="O950" s="1184"/>
      <c r="P950" s="1184"/>
      <c r="Q950" s="1184"/>
      <c r="R950" s="1184"/>
      <c r="S950" s="1184"/>
      <c r="T950" s="1184"/>
      <c r="U950" s="1184"/>
      <c r="V950" s="1184"/>
      <c r="W950" s="1184"/>
      <c r="X950" s="1184"/>
      <c r="Y950" s="1184"/>
      <c r="Z950" s="1184"/>
    </row>
    <row r="951" spans="1:26" ht="15.5">
      <c r="A951" s="1184"/>
      <c r="B951" s="1184"/>
      <c r="C951" s="1184"/>
      <c r="D951" s="1184"/>
      <c r="E951" s="1184"/>
      <c r="F951" s="1184"/>
      <c r="G951" s="1184"/>
      <c r="H951" s="1184"/>
      <c r="I951" s="1184"/>
      <c r="J951" s="1184"/>
      <c r="K951" s="1184"/>
      <c r="L951" s="1184"/>
      <c r="M951" s="1184"/>
      <c r="N951" s="1184"/>
      <c r="O951" s="1184"/>
      <c r="P951" s="1184"/>
      <c r="Q951" s="1184"/>
      <c r="R951" s="1184"/>
      <c r="S951" s="1184"/>
      <c r="T951" s="1184"/>
      <c r="U951" s="1184"/>
      <c r="V951" s="1184"/>
      <c r="W951" s="1184"/>
      <c r="X951" s="1184"/>
      <c r="Y951" s="1184"/>
      <c r="Z951" s="1184"/>
    </row>
    <row r="952" spans="1:26" ht="15.5">
      <c r="A952" s="1184"/>
      <c r="B952" s="1184"/>
      <c r="C952" s="1184"/>
      <c r="D952" s="1184"/>
      <c r="E952" s="1184"/>
      <c r="F952" s="1184"/>
      <c r="G952" s="1184"/>
      <c r="H952" s="1184"/>
      <c r="I952" s="1184"/>
      <c r="J952" s="1184"/>
      <c r="K952" s="1184"/>
      <c r="L952" s="1184"/>
      <c r="M952" s="1184"/>
      <c r="N952" s="1184"/>
      <c r="O952" s="1184"/>
      <c r="P952" s="1184"/>
      <c r="Q952" s="1184"/>
      <c r="R952" s="1184"/>
      <c r="S952" s="1184"/>
      <c r="T952" s="1184"/>
      <c r="U952" s="1184"/>
      <c r="V952" s="1184"/>
      <c r="W952" s="1184"/>
      <c r="X952" s="1184"/>
      <c r="Y952" s="1184"/>
      <c r="Z952" s="1184"/>
    </row>
    <row r="953" spans="1:26" ht="15.5">
      <c r="A953" s="1184"/>
      <c r="B953" s="1184"/>
      <c r="C953" s="1184"/>
      <c r="D953" s="1184"/>
      <c r="E953" s="1184"/>
      <c r="F953" s="1184"/>
      <c r="G953" s="1184"/>
      <c r="H953" s="1184"/>
      <c r="I953" s="1184"/>
      <c r="J953" s="1184"/>
      <c r="K953" s="1184"/>
      <c r="L953" s="1184"/>
      <c r="M953" s="1184"/>
      <c r="N953" s="1184"/>
      <c r="O953" s="1184"/>
      <c r="P953" s="1184"/>
      <c r="Q953" s="1184"/>
      <c r="R953" s="1184"/>
      <c r="S953" s="1184"/>
      <c r="T953" s="1184"/>
      <c r="U953" s="1184"/>
      <c r="V953" s="1184"/>
      <c r="W953" s="1184"/>
      <c r="X953" s="1184"/>
      <c r="Y953" s="1184"/>
      <c r="Z953" s="1184"/>
    </row>
    <row r="954" spans="1:26" ht="15.5">
      <c r="A954" s="1184"/>
      <c r="B954" s="1184"/>
      <c r="C954" s="1184"/>
      <c r="D954" s="1184"/>
      <c r="E954" s="1184"/>
      <c r="F954" s="1184"/>
      <c r="G954" s="1184"/>
      <c r="H954" s="1184"/>
      <c r="I954" s="1184"/>
      <c r="J954" s="1184"/>
      <c r="K954" s="1184"/>
      <c r="L954" s="1184"/>
      <c r="M954" s="1184"/>
      <c r="N954" s="1184"/>
      <c r="O954" s="1184"/>
      <c r="P954" s="1184"/>
      <c r="Q954" s="1184"/>
      <c r="R954" s="1184"/>
      <c r="S954" s="1184"/>
      <c r="T954" s="1184"/>
      <c r="U954" s="1184"/>
      <c r="V954" s="1184"/>
      <c r="W954" s="1184"/>
      <c r="X954" s="1184"/>
      <c r="Y954" s="1184"/>
      <c r="Z954" s="1184"/>
    </row>
    <row r="955" spans="1:26" ht="15.5">
      <c r="A955" s="1184"/>
      <c r="B955" s="1184"/>
      <c r="C955" s="1184"/>
      <c r="D955" s="1184"/>
      <c r="E955" s="1184"/>
      <c r="F955" s="1184"/>
      <c r="G955" s="1184"/>
      <c r="H955" s="1184"/>
      <c r="I955" s="1184"/>
      <c r="J955" s="1184"/>
      <c r="K955" s="1184"/>
      <c r="L955" s="1184"/>
      <c r="M955" s="1184"/>
      <c r="N955" s="1184"/>
      <c r="O955" s="1184"/>
      <c r="P955" s="1184"/>
      <c r="Q955" s="1184"/>
      <c r="R955" s="1184"/>
      <c r="S955" s="1184"/>
      <c r="T955" s="1184"/>
      <c r="U955" s="1184"/>
      <c r="V955" s="1184"/>
      <c r="W955" s="1184"/>
      <c r="X955" s="1184"/>
      <c r="Y955" s="1184"/>
      <c r="Z955" s="1184"/>
    </row>
    <row r="956" spans="1:26" ht="15.5">
      <c r="A956" s="1184"/>
      <c r="B956" s="1184"/>
      <c r="C956" s="1184"/>
      <c r="D956" s="1184"/>
      <c r="E956" s="1184"/>
      <c r="F956" s="1184"/>
      <c r="G956" s="1184"/>
      <c r="H956" s="1184"/>
      <c r="I956" s="1184"/>
      <c r="J956" s="1184"/>
      <c r="K956" s="1184"/>
      <c r="L956" s="1184"/>
      <c r="M956" s="1184"/>
      <c r="N956" s="1184"/>
      <c r="O956" s="1184"/>
      <c r="P956" s="1184"/>
      <c r="Q956" s="1184"/>
      <c r="R956" s="1184"/>
      <c r="S956" s="1184"/>
      <c r="T956" s="1184"/>
      <c r="U956" s="1184"/>
      <c r="V956" s="1184"/>
      <c r="W956" s="1184"/>
      <c r="X956" s="1184"/>
      <c r="Y956" s="1184"/>
      <c r="Z956" s="1184"/>
    </row>
    <row r="957" spans="1:26" ht="15.5">
      <c r="A957" s="1184"/>
      <c r="B957" s="1184"/>
      <c r="C957" s="1184"/>
      <c r="D957" s="1184"/>
      <c r="E957" s="1184"/>
      <c r="F957" s="1184"/>
      <c r="G957" s="1184"/>
      <c r="H957" s="1184"/>
      <c r="I957" s="1184"/>
      <c r="J957" s="1184"/>
      <c r="K957" s="1184"/>
      <c r="L957" s="1184"/>
      <c r="M957" s="1184"/>
      <c r="N957" s="1184"/>
      <c r="O957" s="1184"/>
      <c r="P957" s="1184"/>
      <c r="Q957" s="1184"/>
      <c r="R957" s="1184"/>
      <c r="S957" s="1184"/>
      <c r="T957" s="1184"/>
      <c r="U957" s="1184"/>
      <c r="V957" s="1184"/>
      <c r="W957" s="1184"/>
      <c r="X957" s="1184"/>
      <c r="Y957" s="1184"/>
      <c r="Z957" s="1184"/>
    </row>
    <row r="958" spans="1:26" ht="15.5">
      <c r="A958" s="1184"/>
      <c r="B958" s="1184"/>
      <c r="C958" s="1184"/>
      <c r="D958" s="1184"/>
      <c r="E958" s="1184"/>
      <c r="F958" s="1184"/>
      <c r="G958" s="1184"/>
      <c r="H958" s="1184"/>
      <c r="I958" s="1184"/>
      <c r="J958" s="1184"/>
      <c r="K958" s="1184"/>
      <c r="L958" s="1184"/>
      <c r="M958" s="1184"/>
      <c r="N958" s="1184"/>
      <c r="O958" s="1184"/>
      <c r="P958" s="1184"/>
      <c r="Q958" s="1184"/>
      <c r="R958" s="1184"/>
      <c r="S958" s="1184"/>
      <c r="T958" s="1184"/>
      <c r="U958" s="1184"/>
      <c r="V958" s="1184"/>
      <c r="W958" s="1184"/>
      <c r="X958" s="1184"/>
      <c r="Y958" s="1184"/>
      <c r="Z958" s="1184"/>
    </row>
    <row r="959" spans="1:26" ht="15.5">
      <c r="A959" s="1184"/>
      <c r="B959" s="1184"/>
      <c r="C959" s="1184"/>
      <c r="D959" s="1184"/>
      <c r="E959" s="1184"/>
      <c r="F959" s="1184"/>
      <c r="G959" s="1184"/>
      <c r="H959" s="1184"/>
      <c r="I959" s="1184"/>
      <c r="J959" s="1184"/>
      <c r="K959" s="1184"/>
      <c r="L959" s="1184"/>
      <c r="M959" s="1184"/>
      <c r="N959" s="1184"/>
      <c r="O959" s="1184"/>
      <c r="P959" s="1184"/>
      <c r="Q959" s="1184"/>
      <c r="R959" s="1184"/>
      <c r="S959" s="1184"/>
      <c r="T959" s="1184"/>
      <c r="U959" s="1184"/>
      <c r="V959" s="1184"/>
      <c r="W959" s="1184"/>
      <c r="X959" s="1184"/>
      <c r="Y959" s="1184"/>
      <c r="Z959" s="1184"/>
    </row>
    <row r="960" spans="1:26" ht="15.5">
      <c r="A960" s="1184"/>
      <c r="B960" s="1184"/>
      <c r="C960" s="1184"/>
      <c r="D960" s="1184"/>
      <c r="E960" s="1184"/>
      <c r="F960" s="1184"/>
      <c r="G960" s="1184"/>
      <c r="H960" s="1184"/>
      <c r="I960" s="1184"/>
      <c r="J960" s="1184"/>
      <c r="K960" s="1184"/>
      <c r="L960" s="1184"/>
      <c r="M960" s="1184"/>
      <c r="N960" s="1184"/>
      <c r="O960" s="1184"/>
      <c r="P960" s="1184"/>
      <c r="Q960" s="1184"/>
      <c r="R960" s="1184"/>
      <c r="S960" s="1184"/>
      <c r="T960" s="1184"/>
      <c r="U960" s="1184"/>
      <c r="V960" s="1184"/>
      <c r="W960" s="1184"/>
      <c r="X960" s="1184"/>
      <c r="Y960" s="1184"/>
      <c r="Z960" s="1184"/>
    </row>
    <row r="961" spans="1:26" ht="15.5">
      <c r="A961" s="1184"/>
      <c r="B961" s="1184"/>
      <c r="C961" s="1184"/>
      <c r="D961" s="1184"/>
      <c r="E961" s="1184"/>
      <c r="F961" s="1184"/>
      <c r="G961" s="1184"/>
      <c r="H961" s="1184"/>
      <c r="I961" s="1184"/>
      <c r="J961" s="1184"/>
      <c r="K961" s="1184"/>
      <c r="L961" s="1184"/>
      <c r="M961" s="1184"/>
      <c r="N961" s="1184"/>
      <c r="O961" s="1184"/>
      <c r="P961" s="1184"/>
      <c r="Q961" s="1184"/>
      <c r="R961" s="1184"/>
      <c r="S961" s="1184"/>
      <c r="T961" s="1184"/>
      <c r="U961" s="1184"/>
      <c r="V961" s="1184"/>
      <c r="W961" s="1184"/>
      <c r="X961" s="1184"/>
      <c r="Y961" s="1184"/>
      <c r="Z961" s="1184"/>
    </row>
    <row r="962" spans="1:26" ht="15.5">
      <c r="A962" s="1184"/>
      <c r="B962" s="1184"/>
      <c r="C962" s="1184"/>
      <c r="D962" s="1184"/>
      <c r="E962" s="1184"/>
      <c r="F962" s="1184"/>
      <c r="G962" s="1184"/>
      <c r="H962" s="1184"/>
      <c r="I962" s="1184"/>
      <c r="J962" s="1184"/>
      <c r="K962" s="1184"/>
      <c r="L962" s="1184"/>
      <c r="M962" s="1184"/>
      <c r="N962" s="1184"/>
      <c r="O962" s="1184"/>
      <c r="P962" s="1184"/>
      <c r="Q962" s="1184"/>
      <c r="R962" s="1184"/>
      <c r="S962" s="1184"/>
      <c r="T962" s="1184"/>
      <c r="U962" s="1184"/>
      <c r="V962" s="1184"/>
      <c r="W962" s="1184"/>
      <c r="X962" s="1184"/>
      <c r="Y962" s="1184"/>
      <c r="Z962" s="1184"/>
    </row>
    <row r="963" spans="1:26" ht="15.5">
      <c r="A963" s="1184"/>
      <c r="B963" s="1184"/>
      <c r="C963" s="1184"/>
      <c r="D963" s="1184"/>
      <c r="E963" s="1184"/>
      <c r="F963" s="1184"/>
      <c r="G963" s="1184"/>
      <c r="H963" s="1184"/>
      <c r="I963" s="1184"/>
      <c r="J963" s="1184"/>
      <c r="K963" s="1184"/>
      <c r="L963" s="1184"/>
      <c r="M963" s="1184"/>
      <c r="N963" s="1184"/>
      <c r="O963" s="1184"/>
      <c r="P963" s="1184"/>
      <c r="Q963" s="1184"/>
      <c r="R963" s="1184"/>
      <c r="S963" s="1184"/>
      <c r="T963" s="1184"/>
      <c r="U963" s="1184"/>
      <c r="V963" s="1184"/>
      <c r="W963" s="1184"/>
      <c r="X963" s="1184"/>
      <c r="Y963" s="1184"/>
      <c r="Z963" s="1184"/>
    </row>
    <row r="964" spans="1:26" ht="15.5">
      <c r="A964" s="1184"/>
      <c r="B964" s="1184"/>
      <c r="C964" s="1184"/>
      <c r="D964" s="1184"/>
      <c r="E964" s="1184"/>
      <c r="F964" s="1184"/>
      <c r="G964" s="1184"/>
      <c r="H964" s="1184"/>
      <c r="I964" s="1184"/>
      <c r="J964" s="1184"/>
      <c r="K964" s="1184"/>
      <c r="L964" s="1184"/>
      <c r="M964" s="1184"/>
      <c r="N964" s="1184"/>
      <c r="O964" s="1184"/>
      <c r="P964" s="1184"/>
      <c r="Q964" s="1184"/>
      <c r="R964" s="1184"/>
      <c r="S964" s="1184"/>
      <c r="T964" s="1184"/>
      <c r="U964" s="1184"/>
      <c r="V964" s="1184"/>
      <c r="W964" s="1184"/>
      <c r="X964" s="1184"/>
      <c r="Y964" s="1184"/>
      <c r="Z964" s="1184"/>
    </row>
    <row r="965" spans="1:26" ht="15.5">
      <c r="A965" s="1184"/>
      <c r="B965" s="1184"/>
      <c r="C965" s="1184"/>
      <c r="D965" s="1184"/>
      <c r="E965" s="1184"/>
      <c r="F965" s="1184"/>
      <c r="G965" s="1184"/>
      <c r="H965" s="1184"/>
      <c r="I965" s="1184"/>
      <c r="J965" s="1184"/>
      <c r="K965" s="1184"/>
      <c r="L965" s="1184"/>
      <c r="M965" s="1184"/>
      <c r="N965" s="1184"/>
      <c r="O965" s="1184"/>
      <c r="P965" s="1184"/>
      <c r="Q965" s="1184"/>
      <c r="R965" s="1184"/>
      <c r="S965" s="1184"/>
      <c r="T965" s="1184"/>
      <c r="U965" s="1184"/>
      <c r="V965" s="1184"/>
      <c r="W965" s="1184"/>
      <c r="X965" s="1184"/>
      <c r="Y965" s="1184"/>
      <c r="Z965" s="1184"/>
    </row>
    <row r="966" spans="1:26" ht="15.5">
      <c r="A966" s="1184"/>
      <c r="B966" s="1184"/>
      <c r="C966" s="1184"/>
      <c r="D966" s="1184"/>
      <c r="E966" s="1184"/>
      <c r="F966" s="1184"/>
      <c r="G966" s="1184"/>
      <c r="H966" s="1184"/>
      <c r="I966" s="1184"/>
      <c r="J966" s="1184"/>
      <c r="K966" s="1184"/>
      <c r="L966" s="1184"/>
      <c r="M966" s="1184"/>
      <c r="N966" s="1184"/>
      <c r="O966" s="1184"/>
      <c r="P966" s="1184"/>
      <c r="Q966" s="1184"/>
      <c r="R966" s="1184"/>
      <c r="S966" s="1184"/>
      <c r="T966" s="1184"/>
      <c r="U966" s="1184"/>
      <c r="V966" s="1184"/>
      <c r="W966" s="1184"/>
      <c r="X966" s="1184"/>
      <c r="Y966" s="1184"/>
      <c r="Z966" s="1184"/>
    </row>
    <row r="967" spans="1:26" ht="15.5">
      <c r="A967" s="1184"/>
      <c r="B967" s="1184"/>
      <c r="C967" s="1184"/>
      <c r="D967" s="1184"/>
      <c r="E967" s="1184"/>
      <c r="F967" s="1184"/>
      <c r="G967" s="1184"/>
      <c r="H967" s="1184"/>
      <c r="I967" s="1184"/>
      <c r="J967" s="1184"/>
      <c r="K967" s="1184"/>
      <c r="L967" s="1184"/>
      <c r="M967" s="1184"/>
      <c r="N967" s="1184"/>
      <c r="O967" s="1184"/>
      <c r="P967" s="1184"/>
      <c r="Q967" s="1184"/>
      <c r="R967" s="1184"/>
      <c r="S967" s="1184"/>
      <c r="T967" s="1184"/>
      <c r="U967" s="1184"/>
      <c r="V967" s="1184"/>
      <c r="W967" s="1184"/>
      <c r="X967" s="1184"/>
      <c r="Y967" s="1184"/>
      <c r="Z967" s="1184"/>
    </row>
    <row r="968" spans="1:26" ht="15.5">
      <c r="A968" s="1184"/>
      <c r="B968" s="1184"/>
      <c r="C968" s="1184"/>
      <c r="D968" s="1184"/>
      <c r="E968" s="1184"/>
      <c r="F968" s="1184"/>
      <c r="G968" s="1184"/>
      <c r="H968" s="1184"/>
      <c r="I968" s="1184"/>
      <c r="J968" s="1184"/>
      <c r="K968" s="1184"/>
      <c r="L968" s="1184"/>
      <c r="M968" s="1184"/>
      <c r="N968" s="1184"/>
      <c r="O968" s="1184"/>
      <c r="P968" s="1184"/>
      <c r="Q968" s="1184"/>
      <c r="R968" s="1184"/>
      <c r="S968" s="1184"/>
      <c r="T968" s="1184"/>
      <c r="U968" s="1184"/>
      <c r="V968" s="1184"/>
      <c r="W968" s="1184"/>
      <c r="X968" s="1184"/>
      <c r="Y968" s="1184"/>
      <c r="Z968" s="1184"/>
    </row>
    <row r="969" spans="1:26" ht="15.5">
      <c r="A969" s="1184"/>
      <c r="B969" s="1184"/>
      <c r="C969" s="1184"/>
      <c r="D969" s="1184"/>
      <c r="E969" s="1184"/>
      <c r="F969" s="1184"/>
      <c r="G969" s="1184"/>
      <c r="H969" s="1184"/>
      <c r="I969" s="1184"/>
      <c r="J969" s="1184"/>
      <c r="K969" s="1184"/>
      <c r="L969" s="1184"/>
      <c r="M969" s="1184"/>
      <c r="N969" s="1184"/>
      <c r="O969" s="1184"/>
      <c r="P969" s="1184"/>
      <c r="Q969" s="1184"/>
      <c r="R969" s="1184"/>
      <c r="S969" s="1184"/>
      <c r="T969" s="1184"/>
      <c r="U969" s="1184"/>
      <c r="V969" s="1184"/>
      <c r="W969" s="1184"/>
      <c r="X969" s="1184"/>
      <c r="Y969" s="1184"/>
      <c r="Z969" s="1184"/>
    </row>
    <row r="970" spans="1:26" ht="15.5">
      <c r="A970" s="1184"/>
      <c r="B970" s="1184"/>
      <c r="C970" s="1184"/>
      <c r="D970" s="1184"/>
      <c r="E970" s="1184"/>
      <c r="F970" s="1184"/>
      <c r="G970" s="1184"/>
      <c r="H970" s="1184"/>
      <c r="I970" s="1184"/>
      <c r="J970" s="1184"/>
      <c r="K970" s="1184"/>
      <c r="L970" s="1184"/>
      <c r="M970" s="1184"/>
      <c r="N970" s="1184"/>
      <c r="O970" s="1184"/>
      <c r="P970" s="1184"/>
      <c r="Q970" s="1184"/>
      <c r="R970" s="1184"/>
      <c r="S970" s="1184"/>
      <c r="T970" s="1184"/>
      <c r="U970" s="1184"/>
      <c r="V970" s="1184"/>
      <c r="W970" s="1184"/>
      <c r="X970" s="1184"/>
      <c r="Y970" s="1184"/>
      <c r="Z970" s="1184"/>
    </row>
    <row r="971" spans="1:26" ht="15.5">
      <c r="A971" s="1184"/>
      <c r="B971" s="1184"/>
      <c r="C971" s="1184"/>
      <c r="D971" s="1184"/>
      <c r="E971" s="1184"/>
      <c r="F971" s="1184"/>
      <c r="G971" s="1184"/>
      <c r="H971" s="1184"/>
      <c r="I971" s="1184"/>
      <c r="J971" s="1184"/>
      <c r="K971" s="1184"/>
      <c r="L971" s="1184"/>
      <c r="M971" s="1184"/>
      <c r="N971" s="1184"/>
      <c r="O971" s="1184"/>
      <c r="P971" s="1184"/>
      <c r="Q971" s="1184"/>
      <c r="R971" s="1184"/>
      <c r="S971" s="1184"/>
      <c r="T971" s="1184"/>
      <c r="U971" s="1184"/>
      <c r="V971" s="1184"/>
      <c r="W971" s="1184"/>
      <c r="X971" s="1184"/>
      <c r="Y971" s="1184"/>
      <c r="Z971" s="1184"/>
    </row>
    <row r="972" spans="1:26" ht="15.5">
      <c r="A972" s="1184"/>
      <c r="B972" s="1184"/>
      <c r="C972" s="1184"/>
      <c r="D972" s="1184"/>
      <c r="E972" s="1184"/>
      <c r="F972" s="1184"/>
      <c r="G972" s="1184"/>
      <c r="H972" s="1184"/>
      <c r="I972" s="1184"/>
      <c r="J972" s="1184"/>
      <c r="K972" s="1184"/>
      <c r="L972" s="1184"/>
      <c r="M972" s="1184"/>
      <c r="N972" s="1184"/>
      <c r="O972" s="1184"/>
      <c r="P972" s="1184"/>
      <c r="Q972" s="1184"/>
      <c r="R972" s="1184"/>
      <c r="S972" s="1184"/>
      <c r="T972" s="1184"/>
      <c r="U972" s="1184"/>
      <c r="V972" s="1184"/>
      <c r="W972" s="1184"/>
      <c r="X972" s="1184"/>
      <c r="Y972" s="1184"/>
      <c r="Z972" s="1184"/>
    </row>
    <row r="973" spans="1:26" ht="15.5">
      <c r="A973" s="1184"/>
      <c r="B973" s="1184"/>
      <c r="C973" s="1184"/>
      <c r="D973" s="1184"/>
      <c r="E973" s="1184"/>
      <c r="F973" s="1184"/>
      <c r="G973" s="1184"/>
      <c r="H973" s="1184"/>
      <c r="I973" s="1184"/>
      <c r="J973" s="1184"/>
      <c r="K973" s="1184"/>
      <c r="L973" s="1184"/>
      <c r="M973" s="1184"/>
      <c r="N973" s="1184"/>
      <c r="O973" s="1184"/>
      <c r="P973" s="1184"/>
      <c r="Q973" s="1184"/>
      <c r="R973" s="1184"/>
      <c r="S973" s="1184"/>
      <c r="T973" s="1184"/>
      <c r="U973" s="1184"/>
      <c r="V973" s="1184"/>
      <c r="W973" s="1184"/>
      <c r="X973" s="1184"/>
      <c r="Y973" s="1184"/>
      <c r="Z973" s="1184"/>
    </row>
    <row r="974" spans="1:26" ht="15.5">
      <c r="A974" s="1184"/>
      <c r="B974" s="1184"/>
      <c r="C974" s="1184"/>
      <c r="D974" s="1184"/>
      <c r="E974" s="1184"/>
      <c r="F974" s="1184"/>
      <c r="G974" s="1184"/>
      <c r="H974" s="1184"/>
      <c r="I974" s="1184"/>
      <c r="J974" s="1184"/>
      <c r="K974" s="1184"/>
      <c r="L974" s="1184"/>
      <c r="M974" s="1184"/>
      <c r="N974" s="1184"/>
      <c r="O974" s="1184"/>
      <c r="P974" s="1184"/>
      <c r="Q974" s="1184"/>
      <c r="R974" s="1184"/>
      <c r="S974" s="1184"/>
      <c r="T974" s="1184"/>
      <c r="U974" s="1184"/>
      <c r="V974" s="1184"/>
      <c r="W974" s="1184"/>
      <c r="X974" s="1184"/>
      <c r="Y974" s="1184"/>
      <c r="Z974" s="1184"/>
    </row>
    <row r="975" spans="1:26" ht="15.5">
      <c r="A975" s="1184"/>
      <c r="B975" s="1184"/>
      <c r="C975" s="1184"/>
      <c r="D975" s="1184"/>
      <c r="E975" s="1184"/>
      <c r="F975" s="1184"/>
      <c r="G975" s="1184"/>
      <c r="H975" s="1184"/>
      <c r="I975" s="1184"/>
      <c r="J975" s="1184"/>
      <c r="K975" s="1184"/>
      <c r="L975" s="1184"/>
      <c r="M975" s="1184"/>
      <c r="N975" s="1184"/>
      <c r="O975" s="1184"/>
      <c r="P975" s="1184"/>
      <c r="Q975" s="1184"/>
      <c r="R975" s="1184"/>
      <c r="S975" s="1184"/>
      <c r="T975" s="1184"/>
      <c r="U975" s="1184"/>
      <c r="V975" s="1184"/>
      <c r="W975" s="1184"/>
      <c r="X975" s="1184"/>
      <c r="Y975" s="1184"/>
      <c r="Z975" s="1184"/>
    </row>
    <row r="976" spans="1:26" ht="15.5">
      <c r="A976" s="1184"/>
      <c r="B976" s="1184"/>
      <c r="C976" s="1184"/>
      <c r="D976" s="1184"/>
      <c r="E976" s="1184"/>
      <c r="F976" s="1184"/>
      <c r="G976" s="1184"/>
      <c r="H976" s="1184"/>
      <c r="I976" s="1184"/>
      <c r="J976" s="1184"/>
      <c r="K976" s="1184"/>
      <c r="L976" s="1184"/>
      <c r="M976" s="1184"/>
      <c r="N976" s="1184"/>
      <c r="O976" s="1184"/>
      <c r="P976" s="1184"/>
      <c r="Q976" s="1184"/>
      <c r="R976" s="1184"/>
      <c r="S976" s="1184"/>
      <c r="T976" s="1184"/>
      <c r="U976" s="1184"/>
      <c r="V976" s="1184"/>
      <c r="W976" s="1184"/>
      <c r="X976" s="1184"/>
      <c r="Y976" s="1184"/>
      <c r="Z976" s="1184"/>
    </row>
    <row r="977" spans="1:26" ht="15.5">
      <c r="A977" s="1184"/>
      <c r="B977" s="1184"/>
      <c r="C977" s="1184"/>
      <c r="D977" s="1184"/>
      <c r="E977" s="1184"/>
      <c r="F977" s="1184"/>
      <c r="G977" s="1184"/>
      <c r="H977" s="1184"/>
      <c r="I977" s="1184"/>
      <c r="J977" s="1184"/>
      <c r="K977" s="1184"/>
      <c r="L977" s="1184"/>
      <c r="M977" s="1184"/>
      <c r="N977" s="1184"/>
      <c r="O977" s="1184"/>
      <c r="P977" s="1184"/>
      <c r="Q977" s="1184"/>
      <c r="R977" s="1184"/>
      <c r="S977" s="1184"/>
      <c r="T977" s="1184"/>
      <c r="U977" s="1184"/>
      <c r="V977" s="1184"/>
      <c r="W977" s="1184"/>
      <c r="X977" s="1184"/>
      <c r="Y977" s="1184"/>
      <c r="Z977" s="1184"/>
    </row>
    <row r="978" spans="1:26" ht="15.5">
      <c r="A978" s="1184"/>
      <c r="B978" s="1184"/>
      <c r="C978" s="1184"/>
      <c r="D978" s="1184"/>
      <c r="E978" s="1184"/>
      <c r="F978" s="1184"/>
      <c r="G978" s="1184"/>
      <c r="H978" s="1184"/>
      <c r="I978" s="1184"/>
      <c r="J978" s="1184"/>
      <c r="K978" s="1184"/>
      <c r="L978" s="1184"/>
      <c r="M978" s="1184"/>
      <c r="N978" s="1184"/>
      <c r="O978" s="1184"/>
      <c r="P978" s="1184"/>
      <c r="Q978" s="1184"/>
      <c r="R978" s="1184"/>
      <c r="S978" s="1184"/>
      <c r="T978" s="1184"/>
      <c r="U978" s="1184"/>
      <c r="V978" s="1184"/>
      <c r="W978" s="1184"/>
      <c r="X978" s="1184"/>
      <c r="Y978" s="1184"/>
      <c r="Z978" s="1184"/>
    </row>
    <row r="979" spans="1:26" ht="15.5">
      <c r="A979" s="1184"/>
      <c r="B979" s="1184"/>
      <c r="C979" s="1184"/>
      <c r="D979" s="1184"/>
      <c r="E979" s="1184"/>
      <c r="F979" s="1184"/>
      <c r="G979" s="1184"/>
      <c r="H979" s="1184"/>
      <c r="I979" s="1184"/>
      <c r="J979" s="1184"/>
      <c r="K979" s="1184"/>
      <c r="L979" s="1184"/>
      <c r="M979" s="1184"/>
      <c r="N979" s="1184"/>
      <c r="O979" s="1184"/>
      <c r="P979" s="1184"/>
      <c r="Q979" s="1184"/>
      <c r="R979" s="1184"/>
      <c r="S979" s="1184"/>
      <c r="T979" s="1184"/>
      <c r="U979" s="1184"/>
      <c r="V979" s="1184"/>
      <c r="W979" s="1184"/>
      <c r="X979" s="1184"/>
      <c r="Y979" s="1184"/>
      <c r="Z979" s="1184"/>
    </row>
    <row r="980" spans="1:26" ht="15.5">
      <c r="A980" s="1184"/>
      <c r="B980" s="1184"/>
      <c r="C980" s="1184"/>
      <c r="D980" s="1184"/>
      <c r="E980" s="1184"/>
      <c r="F980" s="1184"/>
      <c r="G980" s="1184"/>
      <c r="H980" s="1184"/>
      <c r="I980" s="1184"/>
      <c r="J980" s="1184"/>
      <c r="K980" s="1184"/>
      <c r="L980" s="1184"/>
      <c r="M980" s="1184"/>
      <c r="N980" s="1184"/>
      <c r="O980" s="1184"/>
      <c r="P980" s="1184"/>
      <c r="Q980" s="1184"/>
      <c r="R980" s="1184"/>
      <c r="S980" s="1184"/>
      <c r="T980" s="1184"/>
      <c r="U980" s="1184"/>
      <c r="V980" s="1184"/>
      <c r="W980" s="1184"/>
      <c r="X980" s="1184"/>
      <c r="Y980" s="1184"/>
      <c r="Z980" s="1184"/>
    </row>
    <row r="981" spans="1:26" ht="15.5">
      <c r="A981" s="1184"/>
      <c r="B981" s="1184"/>
      <c r="C981" s="1184"/>
      <c r="D981" s="1184"/>
      <c r="E981" s="1184"/>
      <c r="F981" s="1184"/>
      <c r="G981" s="1184"/>
      <c r="H981" s="1184"/>
      <c r="I981" s="1184"/>
      <c r="J981" s="1184"/>
      <c r="K981" s="1184"/>
      <c r="L981" s="1184"/>
      <c r="M981" s="1184"/>
      <c r="N981" s="1184"/>
      <c r="O981" s="1184"/>
      <c r="P981" s="1184"/>
      <c r="Q981" s="1184"/>
      <c r="R981" s="1184"/>
      <c r="S981" s="1184"/>
      <c r="T981" s="1184"/>
      <c r="U981" s="1184"/>
      <c r="V981" s="1184"/>
      <c r="W981" s="1184"/>
      <c r="X981" s="1184"/>
      <c r="Y981" s="1184"/>
      <c r="Z981" s="1184"/>
    </row>
    <row r="982" spans="1:26" ht="15.5">
      <c r="A982" s="1184"/>
      <c r="B982" s="1184"/>
      <c r="C982" s="1184"/>
      <c r="D982" s="1184"/>
      <c r="E982" s="1184"/>
      <c r="F982" s="1184"/>
      <c r="G982" s="1184"/>
      <c r="H982" s="1184"/>
      <c r="I982" s="1184"/>
      <c r="J982" s="1184"/>
      <c r="K982" s="1184"/>
      <c r="L982" s="1184"/>
      <c r="M982" s="1184"/>
      <c r="N982" s="1184"/>
      <c r="O982" s="1184"/>
      <c r="P982" s="1184"/>
      <c r="Q982" s="1184"/>
      <c r="R982" s="1184"/>
      <c r="S982" s="1184"/>
      <c r="T982" s="1184"/>
      <c r="U982" s="1184"/>
      <c r="V982" s="1184"/>
      <c r="W982" s="1184"/>
      <c r="X982" s="1184"/>
      <c r="Y982" s="1184"/>
      <c r="Z982" s="1184"/>
    </row>
    <row r="983" spans="1:26" ht="15.5">
      <c r="A983" s="1184"/>
      <c r="B983" s="1184"/>
      <c r="C983" s="1184"/>
      <c r="D983" s="1184"/>
      <c r="E983" s="1184"/>
      <c r="F983" s="1184"/>
      <c r="G983" s="1184"/>
      <c r="H983" s="1184"/>
      <c r="I983" s="1184"/>
      <c r="J983" s="1184"/>
      <c r="K983" s="1184"/>
      <c r="L983" s="1184"/>
      <c r="M983" s="1184"/>
      <c r="N983" s="1184"/>
      <c r="O983" s="1184"/>
      <c r="P983" s="1184"/>
      <c r="Q983" s="1184"/>
      <c r="R983" s="1184"/>
      <c r="S983" s="1184"/>
      <c r="T983" s="1184"/>
      <c r="U983" s="1184"/>
      <c r="V983" s="1184"/>
      <c r="W983" s="1184"/>
      <c r="X983" s="1184"/>
      <c r="Y983" s="1184"/>
      <c r="Z983" s="1184"/>
    </row>
    <row r="984" spans="1:26" ht="15.5">
      <c r="A984" s="1184"/>
      <c r="B984" s="1184"/>
      <c r="C984" s="1184"/>
      <c r="D984" s="1184"/>
      <c r="E984" s="1184"/>
      <c r="F984" s="1184"/>
      <c r="G984" s="1184"/>
      <c r="H984" s="1184"/>
      <c r="I984" s="1184"/>
      <c r="J984" s="1184"/>
      <c r="K984" s="1184"/>
      <c r="L984" s="1184"/>
      <c r="M984" s="1184"/>
      <c r="N984" s="1184"/>
      <c r="O984" s="1184"/>
      <c r="P984" s="1184"/>
      <c r="Q984" s="1184"/>
      <c r="R984" s="1184"/>
      <c r="S984" s="1184"/>
      <c r="T984" s="1184"/>
      <c r="U984" s="1184"/>
      <c r="V984" s="1184"/>
      <c r="W984" s="1184"/>
      <c r="X984" s="1184"/>
      <c r="Y984" s="1184"/>
      <c r="Z984" s="1184"/>
    </row>
    <row r="985" spans="1:26" ht="15.5">
      <c r="A985" s="1184"/>
      <c r="B985" s="1184"/>
      <c r="C985" s="1184"/>
      <c r="D985" s="1184"/>
      <c r="E985" s="1184"/>
      <c r="F985" s="1184"/>
      <c r="G985" s="1184"/>
      <c r="H985" s="1184"/>
      <c r="I985" s="1184"/>
      <c r="J985" s="1184"/>
      <c r="K985" s="1184"/>
      <c r="L985" s="1184"/>
      <c r="M985" s="1184"/>
      <c r="N985" s="1184"/>
      <c r="O985" s="1184"/>
      <c r="P985" s="1184"/>
      <c r="Q985" s="1184"/>
      <c r="R985" s="1184"/>
      <c r="S985" s="1184"/>
      <c r="T985" s="1184"/>
      <c r="U985" s="1184"/>
      <c r="V985" s="1184"/>
      <c r="W985" s="1184"/>
      <c r="X985" s="1184"/>
      <c r="Y985" s="1184"/>
      <c r="Z985" s="1184"/>
    </row>
    <row r="986" spans="1:26" ht="15.5">
      <c r="A986" s="1184"/>
      <c r="B986" s="1184"/>
      <c r="C986" s="1184"/>
      <c r="D986" s="1184"/>
      <c r="E986" s="1184"/>
      <c r="F986" s="1184"/>
      <c r="G986" s="1184"/>
      <c r="H986" s="1184"/>
      <c r="I986" s="1184"/>
      <c r="J986" s="1184"/>
      <c r="K986" s="1184"/>
      <c r="L986" s="1184"/>
      <c r="M986" s="1184"/>
      <c r="N986" s="1184"/>
      <c r="O986" s="1184"/>
      <c r="P986" s="1184"/>
      <c r="Q986" s="1184"/>
      <c r="R986" s="1184"/>
      <c r="S986" s="1184"/>
      <c r="T986" s="1184"/>
      <c r="U986" s="1184"/>
      <c r="V986" s="1184"/>
      <c r="W986" s="1184"/>
      <c r="X986" s="1184"/>
      <c r="Y986" s="1184"/>
      <c r="Z986" s="1184"/>
    </row>
    <row r="987" spans="1:26" ht="15.5">
      <c r="A987" s="1184"/>
      <c r="B987" s="1184"/>
      <c r="C987" s="1184"/>
      <c r="D987" s="1184"/>
      <c r="E987" s="1184"/>
      <c r="F987" s="1184"/>
      <c r="G987" s="1184"/>
      <c r="H987" s="1184"/>
      <c r="I987" s="1184"/>
      <c r="J987" s="1184"/>
      <c r="K987" s="1184"/>
      <c r="L987" s="1184"/>
      <c r="M987" s="1184"/>
      <c r="N987" s="1184"/>
      <c r="O987" s="1184"/>
      <c r="P987" s="1184"/>
      <c r="Q987" s="1184"/>
      <c r="R987" s="1184"/>
      <c r="S987" s="1184"/>
      <c r="T987" s="1184"/>
      <c r="U987" s="1184"/>
      <c r="V987" s="1184"/>
      <c r="W987" s="1184"/>
      <c r="X987" s="1184"/>
      <c r="Y987" s="1184"/>
      <c r="Z987" s="1184"/>
    </row>
    <row r="988" spans="1:26" ht="15.5">
      <c r="A988" s="1184"/>
      <c r="B988" s="1184"/>
      <c r="C988" s="1184"/>
      <c r="D988" s="1184"/>
      <c r="E988" s="1184"/>
      <c r="F988" s="1184"/>
      <c r="G988" s="1184"/>
      <c r="H988" s="1184"/>
      <c r="I988" s="1184"/>
      <c r="J988" s="1184"/>
      <c r="K988" s="1184"/>
      <c r="L988" s="1184"/>
      <c r="M988" s="1184"/>
      <c r="N988" s="1184"/>
      <c r="O988" s="1184"/>
      <c r="P988" s="1184"/>
      <c r="Q988" s="1184"/>
      <c r="R988" s="1184"/>
      <c r="S988" s="1184"/>
      <c r="T988" s="1184"/>
      <c r="U988" s="1184"/>
      <c r="V988" s="1184"/>
      <c r="W988" s="1184"/>
      <c r="X988" s="1184"/>
      <c r="Y988" s="1184"/>
      <c r="Z988" s="1184"/>
    </row>
    <row r="989" spans="1:26" ht="15.5">
      <c r="A989" s="1184"/>
      <c r="B989" s="1184"/>
      <c r="C989" s="1184"/>
      <c r="D989" s="1184"/>
      <c r="E989" s="1184"/>
      <c r="F989" s="1184"/>
      <c r="G989" s="1184"/>
      <c r="H989" s="1184"/>
      <c r="I989" s="1184"/>
      <c r="J989" s="1184"/>
      <c r="K989" s="1184"/>
      <c r="L989" s="1184"/>
      <c r="M989" s="1184"/>
      <c r="N989" s="1184"/>
      <c r="O989" s="1184"/>
      <c r="P989" s="1184"/>
      <c r="Q989" s="1184"/>
      <c r="R989" s="1184"/>
      <c r="S989" s="1184"/>
      <c r="T989" s="1184"/>
      <c r="U989" s="1184"/>
      <c r="V989" s="1184"/>
      <c r="W989" s="1184"/>
      <c r="X989" s="1184"/>
      <c r="Y989" s="1184"/>
      <c r="Z989" s="1184"/>
    </row>
    <row r="990" spans="1:26" ht="15.5">
      <c r="A990" s="1184"/>
      <c r="B990" s="1184"/>
      <c r="C990" s="1184"/>
      <c r="D990" s="1184"/>
      <c r="E990" s="1184"/>
      <c r="F990" s="1184"/>
      <c r="G990" s="1184"/>
      <c r="H990" s="1184"/>
      <c r="I990" s="1184"/>
      <c r="J990" s="1184"/>
      <c r="K990" s="1184"/>
      <c r="L990" s="1184"/>
      <c r="M990" s="1184"/>
      <c r="N990" s="1184"/>
      <c r="O990" s="1184"/>
      <c r="P990" s="1184"/>
      <c r="Q990" s="1184"/>
      <c r="R990" s="1184"/>
      <c r="S990" s="1184"/>
      <c r="T990" s="1184"/>
      <c r="U990" s="1184"/>
      <c r="V990" s="1184"/>
      <c r="W990" s="1184"/>
      <c r="X990" s="1184"/>
      <c r="Y990" s="1184"/>
      <c r="Z990" s="1184"/>
    </row>
    <row r="991" spans="1:26" ht="15.5">
      <c r="A991" s="1184"/>
      <c r="B991" s="1184"/>
      <c r="C991" s="1184"/>
      <c r="D991" s="1184"/>
      <c r="E991" s="1184"/>
      <c r="F991" s="1184"/>
      <c r="G991" s="1184"/>
      <c r="H991" s="1184"/>
      <c r="I991" s="1184"/>
      <c r="J991" s="1184"/>
      <c r="K991" s="1184"/>
      <c r="L991" s="1184"/>
      <c r="M991" s="1184"/>
      <c r="N991" s="1184"/>
      <c r="O991" s="1184"/>
      <c r="P991" s="1184"/>
      <c r="Q991" s="1184"/>
      <c r="R991" s="1184"/>
      <c r="S991" s="1184"/>
      <c r="T991" s="1184"/>
      <c r="U991" s="1184"/>
      <c r="V991" s="1184"/>
      <c r="W991" s="1184"/>
      <c r="X991" s="1184"/>
      <c r="Y991" s="1184"/>
      <c r="Z991" s="1184"/>
    </row>
    <row r="992" spans="1:26" ht="15.5">
      <c r="A992" s="1184"/>
      <c r="B992" s="1184"/>
      <c r="C992" s="1184"/>
      <c r="D992" s="1184"/>
      <c r="E992" s="1184"/>
      <c r="F992" s="1184"/>
      <c r="G992" s="1184"/>
      <c r="H992" s="1184"/>
      <c r="I992" s="1184"/>
      <c r="J992" s="1184"/>
      <c r="K992" s="1184"/>
      <c r="L992" s="1184"/>
      <c r="M992" s="1184"/>
      <c r="N992" s="1184"/>
      <c r="O992" s="1184"/>
      <c r="P992" s="1184"/>
      <c r="Q992" s="1184"/>
      <c r="R992" s="1184"/>
      <c r="S992" s="1184"/>
      <c r="T992" s="1184"/>
      <c r="U992" s="1184"/>
      <c r="V992" s="1184"/>
      <c r="W992" s="1184"/>
      <c r="X992" s="1184"/>
      <c r="Y992" s="1184"/>
      <c r="Z992" s="1184"/>
    </row>
    <row r="993" spans="1:26" ht="15.5">
      <c r="A993" s="1184"/>
      <c r="B993" s="1184"/>
      <c r="C993" s="1184"/>
      <c r="D993" s="1184"/>
      <c r="E993" s="1184"/>
      <c r="F993" s="1184"/>
      <c r="G993" s="1184"/>
      <c r="H993" s="1184"/>
      <c r="I993" s="1184"/>
      <c r="J993" s="1184"/>
      <c r="K993" s="1184"/>
      <c r="L993" s="1184"/>
      <c r="M993" s="1184"/>
      <c r="N993" s="1184"/>
      <c r="O993" s="1184"/>
      <c r="P993" s="1184"/>
      <c r="Q993" s="1184"/>
      <c r="R993" s="1184"/>
      <c r="S993" s="1184"/>
      <c r="T993" s="1184"/>
      <c r="U993" s="1184"/>
      <c r="V993" s="1184"/>
      <c r="W993" s="1184"/>
      <c r="X993" s="1184"/>
      <c r="Y993" s="1184"/>
      <c r="Z993" s="1184"/>
    </row>
    <row r="994" spans="1:26" ht="15.5">
      <c r="A994" s="1184"/>
      <c r="B994" s="1184"/>
      <c r="C994" s="1184"/>
      <c r="D994" s="1184"/>
      <c r="E994" s="1184"/>
      <c r="F994" s="1184"/>
      <c r="G994" s="1184"/>
      <c r="H994" s="1184"/>
      <c r="I994" s="1184"/>
      <c r="J994" s="1184"/>
      <c r="K994" s="1184"/>
      <c r="L994" s="1184"/>
      <c r="M994" s="1184"/>
      <c r="N994" s="1184"/>
      <c r="O994" s="1184"/>
      <c r="P994" s="1184"/>
      <c r="Q994" s="1184"/>
      <c r="R994" s="1184"/>
      <c r="S994" s="1184"/>
      <c r="T994" s="1184"/>
      <c r="U994" s="1184"/>
      <c r="V994" s="1184"/>
      <c r="W994" s="1184"/>
      <c r="X994" s="1184"/>
      <c r="Y994" s="1184"/>
      <c r="Z994" s="1184"/>
    </row>
    <row r="995" spans="1:26" ht="15.5">
      <c r="A995" s="1184"/>
      <c r="B995" s="1184"/>
      <c r="C995" s="1184"/>
      <c r="D995" s="1184"/>
      <c r="E995" s="1184"/>
      <c r="F995" s="1184"/>
      <c r="G995" s="1184"/>
      <c r="H995" s="1184"/>
      <c r="I995" s="1184"/>
      <c r="J995" s="1184"/>
      <c r="K995" s="1184"/>
      <c r="L995" s="1184"/>
      <c r="M995" s="1184"/>
      <c r="N995" s="1184"/>
      <c r="O995" s="1184"/>
      <c r="P995" s="1184"/>
      <c r="Q995" s="1184"/>
      <c r="R995" s="1184"/>
      <c r="S995" s="1184"/>
      <c r="T995" s="1184"/>
      <c r="U995" s="1184"/>
      <c r="V995" s="1184"/>
      <c r="W995" s="1184"/>
      <c r="X995" s="1184"/>
      <c r="Y995" s="1184"/>
      <c r="Z995" s="1184"/>
    </row>
    <row r="996" spans="1:26" ht="15.5">
      <c r="A996" s="1184"/>
      <c r="B996" s="1184"/>
      <c r="C996" s="1184"/>
      <c r="D996" s="1184"/>
      <c r="E996" s="1184"/>
      <c r="F996" s="1184"/>
      <c r="G996" s="1184"/>
      <c r="H996" s="1184"/>
      <c r="I996" s="1184"/>
      <c r="J996" s="1184"/>
      <c r="K996" s="1184"/>
      <c r="L996" s="1184"/>
      <c r="M996" s="1184"/>
      <c r="N996" s="1184"/>
      <c r="O996" s="1184"/>
      <c r="P996" s="1184"/>
      <c r="Q996" s="1184"/>
      <c r="R996" s="1184"/>
      <c r="S996" s="1184"/>
      <c r="T996" s="1184"/>
      <c r="U996" s="1184"/>
      <c r="V996" s="1184"/>
      <c r="W996" s="1184"/>
      <c r="X996" s="1184"/>
      <c r="Y996" s="1184"/>
      <c r="Z996" s="1184"/>
    </row>
    <row r="997" spans="1:26" ht="15.5">
      <c r="A997" s="1184"/>
      <c r="B997" s="1184"/>
      <c r="C997" s="1184"/>
      <c r="D997" s="1184"/>
      <c r="E997" s="1184"/>
      <c r="F997" s="1184"/>
      <c r="G997" s="1184"/>
      <c r="H997" s="1184"/>
      <c r="I997" s="1184"/>
      <c r="J997" s="1184"/>
      <c r="K997" s="1184"/>
      <c r="L997" s="1184"/>
      <c r="M997" s="1184"/>
      <c r="N997" s="1184"/>
      <c r="O997" s="1184"/>
      <c r="P997" s="1184"/>
      <c r="Q997" s="1184"/>
      <c r="R997" s="1184"/>
      <c r="S997" s="1184"/>
      <c r="T997" s="1184"/>
      <c r="U997" s="1184"/>
      <c r="V997" s="1184"/>
      <c r="W997" s="1184"/>
      <c r="X997" s="1184"/>
      <c r="Y997" s="1184"/>
      <c r="Z997" s="1184"/>
    </row>
    <row r="998" spans="1:26" ht="15.5">
      <c r="A998" s="1184"/>
      <c r="B998" s="1184"/>
      <c r="C998" s="1184"/>
      <c r="D998" s="1184"/>
      <c r="E998" s="1184"/>
      <c r="F998" s="1184"/>
      <c r="G998" s="1184"/>
      <c r="H998" s="1184"/>
      <c r="I998" s="1184"/>
      <c r="J998" s="1184"/>
      <c r="K998" s="1184"/>
      <c r="L998" s="1184"/>
      <c r="M998" s="1184"/>
      <c r="N998" s="1184"/>
      <c r="O998" s="1184"/>
      <c r="P998" s="1184"/>
      <c r="Q998" s="1184"/>
      <c r="R998" s="1184"/>
      <c r="S998" s="1184"/>
      <c r="T998" s="1184"/>
      <c r="U998" s="1184"/>
      <c r="V998" s="1184"/>
      <c r="W998" s="1184"/>
      <c r="X998" s="1184"/>
      <c r="Y998" s="1184"/>
      <c r="Z998" s="1184"/>
    </row>
    <row r="999" spans="1:26" ht="15.5">
      <c r="A999" s="1184"/>
      <c r="B999" s="1184"/>
      <c r="C999" s="1184"/>
      <c r="D999" s="1184"/>
      <c r="E999" s="1184"/>
      <c r="F999" s="1184"/>
      <c r="G999" s="1184"/>
      <c r="H999" s="1184"/>
      <c r="I999" s="1184"/>
      <c r="J999" s="1184"/>
      <c r="K999" s="1184"/>
      <c r="L999" s="1184"/>
      <c r="M999" s="1184"/>
      <c r="N999" s="1184"/>
      <c r="O999" s="1184"/>
      <c r="P999" s="1184"/>
      <c r="Q999" s="1184"/>
      <c r="R999" s="1184"/>
      <c r="S999" s="1184"/>
      <c r="T999" s="1184"/>
      <c r="U999" s="1184"/>
      <c r="V999" s="1184"/>
      <c r="W999" s="1184"/>
      <c r="X999" s="1184"/>
      <c r="Y999" s="1184"/>
      <c r="Z999" s="1184"/>
    </row>
    <row r="1000" spans="1:26" ht="15.5">
      <c r="A1000" s="1184"/>
      <c r="B1000" s="1184"/>
      <c r="C1000" s="1184"/>
      <c r="D1000" s="1184"/>
      <c r="E1000" s="1184"/>
      <c r="F1000" s="1184"/>
      <c r="G1000" s="1184"/>
      <c r="H1000" s="1184"/>
      <c r="I1000" s="1184"/>
      <c r="J1000" s="1184"/>
      <c r="K1000" s="1184"/>
      <c r="L1000" s="1184"/>
      <c r="M1000" s="1184"/>
      <c r="N1000" s="1184"/>
      <c r="O1000" s="1184"/>
      <c r="P1000" s="1184"/>
      <c r="Q1000" s="1184"/>
      <c r="R1000" s="1184"/>
      <c r="S1000" s="1184"/>
      <c r="T1000" s="1184"/>
      <c r="U1000" s="1184"/>
      <c r="V1000" s="1184"/>
      <c r="W1000" s="1184"/>
      <c r="X1000" s="1184"/>
      <c r="Y1000" s="1184"/>
      <c r="Z1000" s="1184"/>
    </row>
    <row r="1001" spans="1:26" ht="15.5">
      <c r="A1001" s="1184"/>
      <c r="B1001" s="1184"/>
      <c r="C1001" s="1184"/>
      <c r="D1001" s="1184"/>
      <c r="E1001" s="1184"/>
      <c r="F1001" s="1184"/>
      <c r="G1001" s="1184"/>
      <c r="H1001" s="1184"/>
      <c r="I1001" s="1184"/>
      <c r="J1001" s="1184"/>
      <c r="K1001" s="1184"/>
      <c r="L1001" s="1184"/>
      <c r="M1001" s="1184"/>
      <c r="N1001" s="1184"/>
      <c r="O1001" s="1184"/>
      <c r="P1001" s="1184"/>
      <c r="Q1001" s="1184"/>
      <c r="R1001" s="1184"/>
      <c r="S1001" s="1184"/>
      <c r="T1001" s="1184"/>
      <c r="U1001" s="1184"/>
      <c r="V1001" s="1184"/>
      <c r="W1001" s="1184"/>
      <c r="X1001" s="1184"/>
      <c r="Y1001" s="1184"/>
      <c r="Z1001" s="1184"/>
    </row>
    <row r="1002" spans="1:26" ht="15.5">
      <c r="A1002" s="1184"/>
      <c r="B1002" s="1184"/>
      <c r="C1002" s="1184"/>
      <c r="D1002" s="1184"/>
      <c r="E1002" s="1184"/>
      <c r="F1002" s="1184"/>
      <c r="G1002" s="1184"/>
      <c r="H1002" s="1184"/>
      <c r="I1002" s="1184"/>
      <c r="J1002" s="1184"/>
      <c r="K1002" s="1184"/>
      <c r="L1002" s="1184"/>
      <c r="M1002" s="1184"/>
      <c r="N1002" s="1184"/>
      <c r="O1002" s="1184"/>
      <c r="P1002" s="1184"/>
      <c r="Q1002" s="1184"/>
      <c r="R1002" s="1184"/>
      <c r="S1002" s="1184"/>
      <c r="T1002" s="1184"/>
      <c r="U1002" s="1184"/>
      <c r="V1002" s="1184"/>
      <c r="W1002" s="1184"/>
      <c r="X1002" s="1184"/>
      <c r="Y1002" s="1184"/>
      <c r="Z1002" s="1184"/>
    </row>
    <row r="1003" spans="1:26" ht="15.5">
      <c r="A1003" s="1184"/>
      <c r="B1003" s="1184"/>
      <c r="C1003" s="1184"/>
      <c r="D1003" s="1184"/>
      <c r="E1003" s="1184"/>
      <c r="F1003" s="1184"/>
      <c r="G1003" s="1184"/>
      <c r="H1003" s="1184"/>
      <c r="I1003" s="1184"/>
      <c r="J1003" s="1184"/>
      <c r="K1003" s="1184"/>
      <c r="L1003" s="1184"/>
      <c r="M1003" s="1184"/>
      <c r="N1003" s="1184"/>
      <c r="O1003" s="1184"/>
      <c r="P1003" s="1184"/>
      <c r="Q1003" s="1184"/>
      <c r="R1003" s="1184"/>
      <c r="S1003" s="1184"/>
      <c r="T1003" s="1184"/>
      <c r="U1003" s="1184"/>
      <c r="V1003" s="1184"/>
      <c r="W1003" s="1184"/>
      <c r="X1003" s="1184"/>
      <c r="Y1003" s="1184"/>
      <c r="Z1003" s="1184"/>
    </row>
    <row r="1004" spans="1:26" ht="15.5">
      <c r="A1004" s="1184"/>
      <c r="B1004" s="1184"/>
      <c r="C1004" s="1184"/>
      <c r="D1004" s="1184"/>
      <c r="E1004" s="1184"/>
      <c r="F1004" s="1184"/>
      <c r="G1004" s="1184"/>
      <c r="H1004" s="1184"/>
      <c r="I1004" s="1184"/>
      <c r="J1004" s="1184"/>
      <c r="K1004" s="1184"/>
      <c r="L1004" s="1184"/>
      <c r="M1004" s="1184"/>
      <c r="N1004" s="1184"/>
      <c r="O1004" s="1184"/>
      <c r="P1004" s="1184"/>
      <c r="Q1004" s="1184"/>
      <c r="R1004" s="1184"/>
      <c r="S1004" s="1184"/>
      <c r="T1004" s="1184"/>
      <c r="U1004" s="1184"/>
      <c r="V1004" s="1184"/>
      <c r="W1004" s="1184"/>
      <c r="X1004" s="1184"/>
      <c r="Y1004" s="1184"/>
      <c r="Z1004" s="1184"/>
    </row>
    <row r="1005" spans="1:26" ht="15.5">
      <c r="A1005" s="1184"/>
      <c r="B1005" s="1184"/>
      <c r="C1005" s="1184"/>
      <c r="D1005" s="1184"/>
      <c r="E1005" s="1184"/>
      <c r="F1005" s="1184"/>
      <c r="G1005" s="1184"/>
      <c r="H1005" s="1184"/>
      <c r="I1005" s="1184"/>
      <c r="J1005" s="1184"/>
      <c r="K1005" s="1184"/>
      <c r="L1005" s="1184"/>
      <c r="M1005" s="1184"/>
      <c r="N1005" s="1184"/>
      <c r="O1005" s="1184"/>
      <c r="P1005" s="1184"/>
      <c r="Q1005" s="1184"/>
      <c r="R1005" s="1184"/>
      <c r="S1005" s="1184"/>
      <c r="T1005" s="1184"/>
      <c r="U1005" s="1184"/>
      <c r="V1005" s="1184"/>
      <c r="W1005" s="1184"/>
      <c r="X1005" s="1184"/>
      <c r="Y1005" s="1184"/>
      <c r="Z1005" s="1184"/>
    </row>
    <row r="1006" spans="1:26" ht="15.5">
      <c r="A1006" s="1184"/>
      <c r="B1006" s="1184"/>
      <c r="C1006" s="1184"/>
      <c r="D1006" s="1184"/>
      <c r="E1006" s="1184"/>
      <c r="F1006" s="1184"/>
      <c r="G1006" s="1184"/>
      <c r="H1006" s="1184"/>
      <c r="I1006" s="1184"/>
      <c r="J1006" s="1184"/>
      <c r="K1006" s="1184"/>
      <c r="L1006" s="1184"/>
      <c r="M1006" s="1184"/>
      <c r="N1006" s="1184"/>
      <c r="O1006" s="1184"/>
      <c r="P1006" s="1184"/>
      <c r="Q1006" s="1184"/>
      <c r="R1006" s="1184"/>
      <c r="S1006" s="1184"/>
      <c r="T1006" s="1184"/>
      <c r="U1006" s="1184"/>
      <c r="V1006" s="1184"/>
      <c r="W1006" s="1184"/>
      <c r="X1006" s="1184"/>
      <c r="Y1006" s="1184"/>
      <c r="Z1006" s="1184"/>
    </row>
    <row r="1007" spans="1:26" ht="15.5">
      <c r="A1007" s="1184"/>
      <c r="B1007" s="1184"/>
      <c r="C1007" s="1184"/>
      <c r="D1007" s="1184"/>
      <c r="E1007" s="1184"/>
      <c r="F1007" s="1184"/>
      <c r="G1007" s="1184"/>
      <c r="H1007" s="1184"/>
      <c r="I1007" s="1184"/>
      <c r="J1007" s="1184"/>
      <c r="K1007" s="1184"/>
      <c r="L1007" s="1184"/>
      <c r="M1007" s="1184"/>
      <c r="N1007" s="1184"/>
      <c r="O1007" s="1184"/>
      <c r="P1007" s="1184"/>
      <c r="Q1007" s="1184"/>
      <c r="R1007" s="1184"/>
      <c r="S1007" s="1184"/>
      <c r="T1007" s="1184"/>
      <c r="U1007" s="1184"/>
      <c r="V1007" s="1184"/>
      <c r="W1007" s="1184"/>
      <c r="X1007" s="1184"/>
      <c r="Y1007" s="1184"/>
      <c r="Z1007" s="1184"/>
    </row>
    <row r="1008" spans="1:26" ht="15.5">
      <c r="A1008" s="1184"/>
      <c r="B1008" s="1184"/>
      <c r="C1008" s="1184"/>
      <c r="D1008" s="1184"/>
      <c r="E1008" s="1184"/>
      <c r="F1008" s="1184"/>
      <c r="G1008" s="1184"/>
      <c r="H1008" s="1184"/>
      <c r="I1008" s="1184"/>
      <c r="J1008" s="1184"/>
      <c r="K1008" s="1184"/>
      <c r="L1008" s="1184"/>
      <c r="M1008" s="1184"/>
      <c r="N1008" s="1184"/>
      <c r="O1008" s="1184"/>
      <c r="P1008" s="1184"/>
      <c r="Q1008" s="1184"/>
      <c r="R1008" s="1184"/>
      <c r="S1008" s="1184"/>
      <c r="T1008" s="1184"/>
      <c r="U1008" s="1184"/>
      <c r="V1008" s="1184"/>
      <c r="W1008" s="1184"/>
      <c r="X1008" s="1184"/>
      <c r="Y1008" s="1184"/>
      <c r="Z1008" s="1184"/>
    </row>
    <row r="1009" spans="1:26" ht="15.5">
      <c r="A1009" s="1184"/>
      <c r="B1009" s="1184"/>
      <c r="C1009" s="1184"/>
      <c r="D1009" s="1184"/>
      <c r="E1009" s="1184"/>
      <c r="F1009" s="1184"/>
      <c r="G1009" s="1184"/>
      <c r="H1009" s="1184"/>
      <c r="I1009" s="1184"/>
      <c r="J1009" s="1184"/>
      <c r="K1009" s="1184"/>
      <c r="L1009" s="1184"/>
      <c r="M1009" s="1184"/>
      <c r="N1009" s="1184"/>
      <c r="O1009" s="1184"/>
      <c r="P1009" s="1184"/>
      <c r="Q1009" s="1184"/>
      <c r="R1009" s="1184"/>
      <c r="S1009" s="1184"/>
      <c r="T1009" s="1184"/>
      <c r="U1009" s="1184"/>
      <c r="V1009" s="1184"/>
      <c r="W1009" s="1184"/>
      <c r="X1009" s="1184"/>
      <c r="Y1009" s="1184"/>
      <c r="Z1009" s="1184"/>
    </row>
    <row r="1010" spans="1:26" ht="15.5">
      <c r="A1010" s="1184"/>
      <c r="B1010" s="1184"/>
      <c r="C1010" s="1184"/>
      <c r="D1010" s="1184"/>
      <c r="E1010" s="1184"/>
      <c r="F1010" s="1184"/>
      <c r="G1010" s="1184"/>
      <c r="H1010" s="1184"/>
      <c r="I1010" s="1184"/>
      <c r="J1010" s="1184"/>
      <c r="K1010" s="1184"/>
      <c r="L1010" s="1184"/>
      <c r="M1010" s="1184"/>
      <c r="N1010" s="1184"/>
      <c r="O1010" s="1184"/>
      <c r="P1010" s="1184"/>
      <c r="Q1010" s="1184"/>
      <c r="R1010" s="1184"/>
      <c r="S1010" s="1184"/>
      <c r="T1010" s="1184"/>
      <c r="U1010" s="1184"/>
      <c r="V1010" s="1184"/>
      <c r="W1010" s="1184"/>
      <c r="X1010" s="1184"/>
      <c r="Y1010" s="1184"/>
      <c r="Z1010" s="1184"/>
    </row>
    <row r="1011" spans="1:26" ht="15.5">
      <c r="A1011" s="1184"/>
      <c r="B1011" s="1184"/>
      <c r="C1011" s="1184"/>
      <c r="D1011" s="1184"/>
      <c r="E1011" s="1184"/>
      <c r="F1011" s="1184"/>
      <c r="G1011" s="1184"/>
      <c r="H1011" s="1184"/>
      <c r="I1011" s="1184"/>
      <c r="J1011" s="1184"/>
      <c r="K1011" s="1184"/>
      <c r="L1011" s="1184"/>
      <c r="M1011" s="1184"/>
      <c r="N1011" s="1184"/>
      <c r="O1011" s="1184"/>
      <c r="P1011" s="1184"/>
      <c r="Q1011" s="1184"/>
      <c r="R1011" s="1184"/>
      <c r="S1011" s="1184"/>
      <c r="T1011" s="1184"/>
      <c r="U1011" s="1184"/>
      <c r="V1011" s="1184"/>
      <c r="W1011" s="1184"/>
      <c r="X1011" s="1184"/>
      <c r="Y1011" s="1184"/>
      <c r="Z1011" s="1184"/>
    </row>
    <row r="1012" spans="1:26" ht="15.5">
      <c r="A1012" s="1184"/>
      <c r="B1012" s="1184"/>
      <c r="C1012" s="1184"/>
      <c r="D1012" s="1184"/>
      <c r="E1012" s="1184"/>
      <c r="F1012" s="1184"/>
      <c r="G1012" s="1184"/>
      <c r="H1012" s="1184"/>
      <c r="I1012" s="1184"/>
      <c r="J1012" s="1184"/>
      <c r="K1012" s="1184"/>
      <c r="L1012" s="1184"/>
      <c r="M1012" s="1184"/>
      <c r="N1012" s="1184"/>
      <c r="O1012" s="1184"/>
      <c r="P1012" s="1184"/>
      <c r="Q1012" s="1184"/>
      <c r="R1012" s="1184"/>
      <c r="S1012" s="1184"/>
      <c r="T1012" s="1184"/>
      <c r="U1012" s="1184"/>
      <c r="V1012" s="1184"/>
      <c r="W1012" s="1184"/>
      <c r="X1012" s="1184"/>
      <c r="Y1012" s="1184"/>
      <c r="Z1012" s="1184"/>
    </row>
    <row r="1013" spans="1:26" ht="15.5">
      <c r="A1013" s="1184"/>
      <c r="B1013" s="1184"/>
      <c r="C1013" s="1184"/>
      <c r="D1013" s="1184"/>
      <c r="E1013" s="1184"/>
      <c r="F1013" s="1184"/>
      <c r="G1013" s="1184"/>
      <c r="H1013" s="1184"/>
      <c r="I1013" s="1184"/>
      <c r="J1013" s="1184"/>
      <c r="K1013" s="1184"/>
      <c r="L1013" s="1184"/>
      <c r="M1013" s="1184"/>
      <c r="N1013" s="1184"/>
      <c r="O1013" s="1184"/>
      <c r="P1013" s="1184"/>
      <c r="Q1013" s="1184"/>
      <c r="R1013" s="1184"/>
      <c r="S1013" s="1184"/>
      <c r="T1013" s="1184"/>
      <c r="U1013" s="1184"/>
      <c r="V1013" s="1184"/>
      <c r="W1013" s="1184"/>
      <c r="X1013" s="1184"/>
      <c r="Y1013" s="1184"/>
      <c r="Z1013" s="1184"/>
    </row>
    <row r="1014" spans="1:26" ht="15.5">
      <c r="A1014" s="1184"/>
      <c r="B1014" s="1184"/>
      <c r="C1014" s="1184"/>
      <c r="D1014" s="1184"/>
      <c r="E1014" s="1184"/>
      <c r="F1014" s="1184"/>
      <c r="G1014" s="1184"/>
      <c r="H1014" s="1184"/>
      <c r="I1014" s="1184"/>
      <c r="J1014" s="1184"/>
      <c r="K1014" s="1184"/>
      <c r="L1014" s="1184"/>
      <c r="M1014" s="1184"/>
      <c r="N1014" s="1184"/>
      <c r="O1014" s="1184"/>
      <c r="P1014" s="1184"/>
      <c r="Q1014" s="1184"/>
      <c r="R1014" s="1184"/>
      <c r="S1014" s="1184"/>
      <c r="T1014" s="1184"/>
      <c r="U1014" s="1184"/>
      <c r="V1014" s="1184"/>
      <c r="W1014" s="1184"/>
      <c r="X1014" s="1184"/>
      <c r="Y1014" s="1184"/>
      <c r="Z1014" s="1184"/>
    </row>
    <row r="1015" spans="1:26" ht="15.5">
      <c r="A1015" s="1184"/>
      <c r="B1015" s="1184"/>
      <c r="C1015" s="1184"/>
      <c r="D1015" s="1184"/>
      <c r="E1015" s="1184"/>
      <c r="F1015" s="1184"/>
      <c r="G1015" s="1184"/>
      <c r="H1015" s="1184"/>
      <c r="I1015" s="1184"/>
      <c r="J1015" s="1184"/>
      <c r="K1015" s="1184"/>
      <c r="L1015" s="1184"/>
      <c r="M1015" s="1184"/>
      <c r="N1015" s="1184"/>
      <c r="O1015" s="1184"/>
      <c r="P1015" s="1184"/>
      <c r="Q1015" s="1184"/>
      <c r="R1015" s="1184"/>
      <c r="S1015" s="1184"/>
      <c r="T1015" s="1184"/>
      <c r="U1015" s="1184"/>
      <c r="V1015" s="1184"/>
      <c r="W1015" s="1184"/>
      <c r="X1015" s="1184"/>
      <c r="Y1015" s="1184"/>
      <c r="Z1015" s="1184"/>
    </row>
    <row r="1016" spans="1:26" ht="15.5">
      <c r="A1016" s="1184"/>
      <c r="B1016" s="1184"/>
      <c r="C1016" s="1184"/>
      <c r="D1016" s="1184"/>
      <c r="E1016" s="1184"/>
      <c r="F1016" s="1184"/>
      <c r="G1016" s="1184"/>
      <c r="H1016" s="1184"/>
      <c r="I1016" s="1184"/>
      <c r="J1016" s="1184"/>
      <c r="K1016" s="1184"/>
      <c r="L1016" s="1184"/>
      <c r="M1016" s="1184"/>
      <c r="N1016" s="1184"/>
      <c r="O1016" s="1184"/>
      <c r="P1016" s="1184"/>
      <c r="Q1016" s="1184"/>
      <c r="R1016" s="1184"/>
      <c r="S1016" s="1184"/>
      <c r="T1016" s="1184"/>
      <c r="U1016" s="1184"/>
      <c r="V1016" s="1184"/>
      <c r="W1016" s="1184"/>
      <c r="X1016" s="1184"/>
      <c r="Y1016" s="1184"/>
      <c r="Z1016" s="1184"/>
    </row>
    <row r="1017" spans="1:26" ht="15.5">
      <c r="A1017" s="1184"/>
      <c r="B1017" s="1184"/>
      <c r="C1017" s="1184"/>
      <c r="D1017" s="1184"/>
      <c r="E1017" s="1184"/>
      <c r="F1017" s="1184"/>
      <c r="G1017" s="1184"/>
      <c r="H1017" s="1184"/>
      <c r="I1017" s="1184"/>
      <c r="J1017" s="1184"/>
      <c r="K1017" s="1184"/>
      <c r="L1017" s="1184"/>
      <c r="M1017" s="1184"/>
      <c r="N1017" s="1184"/>
      <c r="O1017" s="1184"/>
      <c r="P1017" s="1184"/>
      <c r="Q1017" s="1184"/>
      <c r="R1017" s="1184"/>
      <c r="S1017" s="1184"/>
      <c r="T1017" s="1184"/>
      <c r="U1017" s="1184"/>
      <c r="V1017" s="1184"/>
      <c r="W1017" s="1184"/>
      <c r="X1017" s="1184"/>
      <c r="Y1017" s="1184"/>
      <c r="Z1017" s="1184"/>
    </row>
    <row r="1018" spans="1:26" ht="15.5">
      <c r="A1018" s="1184"/>
      <c r="B1018" s="1184"/>
      <c r="C1018" s="1184"/>
      <c r="D1018" s="1184"/>
      <c r="E1018" s="1184"/>
      <c r="F1018" s="1184"/>
      <c r="G1018" s="1184"/>
      <c r="H1018" s="1184"/>
      <c r="I1018" s="1184"/>
      <c r="J1018" s="1184"/>
      <c r="K1018" s="1184"/>
      <c r="L1018" s="1184"/>
      <c r="M1018" s="1184"/>
      <c r="N1018" s="1184"/>
      <c r="O1018" s="1184"/>
      <c r="P1018" s="1184"/>
      <c r="Q1018" s="1184"/>
      <c r="R1018" s="1184"/>
      <c r="S1018" s="1184"/>
      <c r="T1018" s="1184"/>
      <c r="U1018" s="1184"/>
      <c r="V1018" s="1184"/>
      <c r="W1018" s="1184"/>
      <c r="X1018" s="1184"/>
      <c r="Y1018" s="1184"/>
      <c r="Z1018" s="1184"/>
    </row>
    <row r="1019" spans="1:26" ht="15.5">
      <c r="A1019" s="1184"/>
      <c r="B1019" s="1184"/>
      <c r="C1019" s="1184"/>
      <c r="D1019" s="1184"/>
      <c r="E1019" s="1184"/>
      <c r="F1019" s="1184"/>
      <c r="G1019" s="1184"/>
      <c r="H1019" s="1184"/>
      <c r="I1019" s="1184"/>
      <c r="J1019" s="1184"/>
      <c r="K1019" s="1184"/>
      <c r="L1019" s="1184"/>
      <c r="M1019" s="1184"/>
      <c r="N1019" s="1184"/>
      <c r="O1019" s="1184"/>
      <c r="P1019" s="1184"/>
      <c r="Q1019" s="1184"/>
      <c r="R1019" s="1184"/>
      <c r="S1019" s="1184"/>
      <c r="T1019" s="1184"/>
      <c r="U1019" s="1184"/>
      <c r="V1019" s="1184"/>
      <c r="W1019" s="1184"/>
      <c r="X1019" s="1184"/>
      <c r="Y1019" s="1184"/>
      <c r="Z1019" s="1184"/>
    </row>
    <row r="1020" spans="1:26" ht="15.5">
      <c r="A1020" s="1184"/>
      <c r="B1020" s="1184"/>
      <c r="C1020" s="1184"/>
      <c r="D1020" s="1184"/>
      <c r="E1020" s="1184"/>
      <c r="F1020" s="1184"/>
      <c r="G1020" s="1184"/>
      <c r="H1020" s="1184"/>
      <c r="I1020" s="1184"/>
      <c r="J1020" s="1184"/>
      <c r="K1020" s="1184"/>
      <c r="L1020" s="1184"/>
      <c r="M1020" s="1184"/>
      <c r="N1020" s="1184"/>
      <c r="O1020" s="1184"/>
      <c r="P1020" s="1184"/>
      <c r="Q1020" s="1184"/>
      <c r="R1020" s="1184"/>
      <c r="S1020" s="1184"/>
      <c r="T1020" s="1184"/>
      <c r="U1020" s="1184"/>
      <c r="V1020" s="1184"/>
      <c r="W1020" s="1184"/>
      <c r="X1020" s="1184"/>
      <c r="Y1020" s="1184"/>
      <c r="Z1020" s="1184"/>
    </row>
    <row r="1021" spans="1:26" ht="15.5">
      <c r="A1021" s="1184"/>
      <c r="B1021" s="1184"/>
      <c r="C1021" s="1184"/>
      <c r="D1021" s="1184"/>
      <c r="E1021" s="1184"/>
      <c r="F1021" s="1184"/>
      <c r="G1021" s="1184"/>
      <c r="H1021" s="1184"/>
      <c r="I1021" s="1184"/>
      <c r="J1021" s="1184"/>
      <c r="K1021" s="1184"/>
      <c r="L1021" s="1184"/>
      <c r="M1021" s="1184"/>
      <c r="N1021" s="1184"/>
      <c r="O1021" s="1184"/>
      <c r="P1021" s="1184"/>
      <c r="Q1021" s="1184"/>
      <c r="R1021" s="1184"/>
      <c r="S1021" s="1184"/>
      <c r="T1021" s="1184"/>
      <c r="U1021" s="1184"/>
      <c r="V1021" s="1184"/>
      <c r="W1021" s="1184"/>
      <c r="X1021" s="1184"/>
      <c r="Y1021" s="1184"/>
      <c r="Z1021" s="1184"/>
    </row>
    <row r="1022" spans="1:26" ht="15.5">
      <c r="A1022" s="1184"/>
      <c r="B1022" s="1184"/>
      <c r="C1022" s="1184"/>
      <c r="D1022" s="1184"/>
      <c r="E1022" s="1184"/>
      <c r="F1022" s="1184"/>
      <c r="G1022" s="1184"/>
      <c r="H1022" s="1184"/>
      <c r="I1022" s="1184"/>
      <c r="J1022" s="1184"/>
      <c r="K1022" s="1184"/>
      <c r="L1022" s="1184"/>
      <c r="M1022" s="1184"/>
      <c r="N1022" s="1184"/>
      <c r="O1022" s="1184"/>
      <c r="P1022" s="1184"/>
      <c r="Q1022" s="1184"/>
      <c r="R1022" s="1184"/>
      <c r="S1022" s="1184"/>
      <c r="T1022" s="1184"/>
      <c r="U1022" s="1184"/>
      <c r="V1022" s="1184"/>
      <c r="W1022" s="1184"/>
      <c r="X1022" s="1184"/>
      <c r="Y1022" s="1184"/>
      <c r="Z1022" s="1184"/>
    </row>
    <row r="1023" spans="1:26" ht="15.5">
      <c r="A1023" s="1184"/>
      <c r="B1023" s="1184"/>
      <c r="C1023" s="1184"/>
      <c r="D1023" s="1184"/>
      <c r="E1023" s="1184"/>
      <c r="F1023" s="1184"/>
      <c r="G1023" s="1184"/>
      <c r="H1023" s="1184"/>
      <c r="I1023" s="1184"/>
      <c r="J1023" s="1184"/>
      <c r="K1023" s="1184"/>
      <c r="L1023" s="1184"/>
      <c r="M1023" s="1184"/>
      <c r="N1023" s="1184"/>
      <c r="O1023" s="1184"/>
      <c r="P1023" s="1184"/>
      <c r="Q1023" s="1184"/>
      <c r="R1023" s="1184"/>
      <c r="S1023" s="1184"/>
      <c r="T1023" s="1184"/>
      <c r="U1023" s="1184"/>
      <c r="V1023" s="1184"/>
      <c r="W1023" s="1184"/>
      <c r="X1023" s="1184"/>
      <c r="Y1023" s="1184"/>
      <c r="Z1023" s="1184"/>
    </row>
    <row r="1024" spans="1:26" ht="15.5">
      <c r="A1024" s="1184"/>
      <c r="B1024" s="1184"/>
      <c r="C1024" s="1184"/>
      <c r="D1024" s="1184"/>
      <c r="E1024" s="1184"/>
      <c r="F1024" s="1184"/>
      <c r="G1024" s="1184"/>
      <c r="H1024" s="1184"/>
      <c r="I1024" s="1184"/>
      <c r="J1024" s="1184"/>
      <c r="K1024" s="1184"/>
      <c r="L1024" s="1184"/>
      <c r="M1024" s="1184"/>
      <c r="N1024" s="1184"/>
      <c r="O1024" s="1184"/>
      <c r="P1024" s="1184"/>
      <c r="Q1024" s="1184"/>
      <c r="R1024" s="1184"/>
      <c r="S1024" s="1184"/>
      <c r="T1024" s="1184"/>
      <c r="U1024" s="1184"/>
      <c r="V1024" s="1184"/>
      <c r="W1024" s="1184"/>
      <c r="X1024" s="1184"/>
      <c r="Y1024" s="1184"/>
      <c r="Z1024" s="1184"/>
    </row>
    <row r="1025" spans="1:26" ht="15.5">
      <c r="A1025" s="1184"/>
      <c r="B1025" s="1184"/>
      <c r="C1025" s="1184"/>
      <c r="D1025" s="1184"/>
      <c r="E1025" s="1184"/>
      <c r="F1025" s="1184"/>
      <c r="G1025" s="1184"/>
      <c r="H1025" s="1184"/>
      <c r="I1025" s="1184"/>
      <c r="J1025" s="1184"/>
      <c r="K1025" s="1184"/>
      <c r="L1025" s="1184"/>
      <c r="M1025" s="1184"/>
      <c r="N1025" s="1184"/>
      <c r="O1025" s="1184"/>
      <c r="P1025" s="1184"/>
      <c r="Q1025" s="1184"/>
      <c r="R1025" s="1184"/>
      <c r="S1025" s="1184"/>
      <c r="T1025" s="1184"/>
      <c r="U1025" s="1184"/>
      <c r="V1025" s="1184"/>
      <c r="W1025" s="1184"/>
      <c r="X1025" s="1184"/>
      <c r="Y1025" s="1184"/>
      <c r="Z1025" s="1184"/>
    </row>
    <row r="1026" spans="1:26" ht="15.5">
      <c r="A1026" s="1184"/>
      <c r="B1026" s="1184"/>
      <c r="C1026" s="1184"/>
      <c r="D1026" s="1184"/>
      <c r="E1026" s="1184"/>
      <c r="F1026" s="1184"/>
      <c r="G1026" s="1184"/>
      <c r="H1026" s="1184"/>
      <c r="I1026" s="1184"/>
      <c r="J1026" s="1184"/>
      <c r="K1026" s="1184"/>
      <c r="L1026" s="1184"/>
      <c r="M1026" s="1184"/>
      <c r="N1026" s="1184"/>
      <c r="O1026" s="1184"/>
      <c r="P1026" s="1184"/>
      <c r="Q1026" s="1184"/>
      <c r="R1026" s="1184"/>
      <c r="S1026" s="1184"/>
      <c r="T1026" s="1184"/>
      <c r="U1026" s="1184"/>
      <c r="V1026" s="1184"/>
      <c r="W1026" s="1184"/>
      <c r="X1026" s="1184"/>
      <c r="Y1026" s="1184"/>
      <c r="Z1026" s="1184"/>
    </row>
    <row r="1027" spans="1:26" ht="15.5">
      <c r="A1027" s="1184"/>
      <c r="B1027" s="1184"/>
      <c r="C1027" s="1184"/>
      <c r="D1027" s="1184"/>
      <c r="E1027" s="1184"/>
      <c r="F1027" s="1184"/>
      <c r="G1027" s="1184"/>
      <c r="H1027" s="1184"/>
      <c r="I1027" s="1184"/>
      <c r="J1027" s="1184"/>
      <c r="K1027" s="1184"/>
      <c r="L1027" s="1184"/>
      <c r="M1027" s="1184"/>
      <c r="N1027" s="1184"/>
      <c r="O1027" s="1184"/>
      <c r="P1027" s="1184"/>
      <c r="Q1027" s="1184"/>
      <c r="R1027" s="1184"/>
      <c r="S1027" s="1184"/>
      <c r="T1027" s="1184"/>
      <c r="U1027" s="1184"/>
      <c r="V1027" s="1184"/>
      <c r="W1027" s="1184"/>
      <c r="X1027" s="1184"/>
      <c r="Y1027" s="1184"/>
      <c r="Z1027" s="1184"/>
    </row>
    <row r="1028" spans="1:26" ht="15.5">
      <c r="A1028" s="1184"/>
      <c r="B1028" s="1184"/>
      <c r="C1028" s="1184"/>
      <c r="D1028" s="1184"/>
      <c r="E1028" s="1184"/>
      <c r="F1028" s="1184"/>
      <c r="G1028" s="1184"/>
      <c r="H1028" s="1184"/>
      <c r="I1028" s="1184"/>
      <c r="J1028" s="1184"/>
      <c r="K1028" s="1184"/>
      <c r="L1028" s="1184"/>
      <c r="M1028" s="1184"/>
      <c r="N1028" s="1184"/>
      <c r="O1028" s="1184"/>
      <c r="P1028" s="1184"/>
      <c r="Q1028" s="1184"/>
      <c r="R1028" s="1184"/>
      <c r="S1028" s="1184"/>
      <c r="T1028" s="1184"/>
      <c r="U1028" s="1184"/>
      <c r="V1028" s="1184"/>
      <c r="W1028" s="1184"/>
      <c r="X1028" s="1184"/>
      <c r="Y1028" s="1184"/>
      <c r="Z1028" s="1184"/>
    </row>
    <row r="1029" spans="1:26" ht="15.5">
      <c r="A1029" s="1184"/>
      <c r="B1029" s="1184"/>
      <c r="C1029" s="1184"/>
      <c r="D1029" s="1184"/>
      <c r="E1029" s="1184"/>
      <c r="F1029" s="1184"/>
      <c r="G1029" s="1184"/>
      <c r="H1029" s="1184"/>
      <c r="I1029" s="1184"/>
      <c r="J1029" s="1184"/>
      <c r="K1029" s="1184"/>
      <c r="L1029" s="1184"/>
      <c r="M1029" s="1184"/>
      <c r="N1029" s="1184"/>
      <c r="O1029" s="1184"/>
      <c r="P1029" s="1184"/>
      <c r="Q1029" s="1184"/>
      <c r="R1029" s="1184"/>
      <c r="S1029" s="1184"/>
      <c r="T1029" s="1184"/>
      <c r="U1029" s="1184"/>
      <c r="V1029" s="1184"/>
      <c r="W1029" s="1184"/>
      <c r="X1029" s="1184"/>
      <c r="Y1029" s="1184"/>
      <c r="Z1029" s="1184"/>
    </row>
    <row r="1030" spans="1:26" ht="15.5">
      <c r="A1030" s="1184"/>
      <c r="B1030" s="1184"/>
      <c r="C1030" s="1184"/>
      <c r="D1030" s="1184"/>
      <c r="E1030" s="1184"/>
      <c r="F1030" s="1184"/>
      <c r="G1030" s="1184"/>
      <c r="H1030" s="1184"/>
      <c r="I1030" s="1184"/>
      <c r="J1030" s="1184"/>
      <c r="K1030" s="1184"/>
      <c r="L1030" s="1184"/>
      <c r="M1030" s="1184"/>
      <c r="N1030" s="1184"/>
      <c r="O1030" s="1184"/>
      <c r="P1030" s="1184"/>
      <c r="Q1030" s="1184"/>
      <c r="R1030" s="1184"/>
      <c r="S1030" s="1184"/>
      <c r="T1030" s="1184"/>
      <c r="U1030" s="1184"/>
      <c r="V1030" s="1184"/>
      <c r="W1030" s="1184"/>
      <c r="X1030" s="1184"/>
      <c r="Y1030" s="1184"/>
      <c r="Z1030" s="1184"/>
    </row>
    <row r="1031" spans="1:26" ht="15.5">
      <c r="A1031" s="1184"/>
      <c r="B1031" s="1184"/>
      <c r="C1031" s="1184"/>
      <c r="D1031" s="1184"/>
      <c r="E1031" s="1184"/>
      <c r="F1031" s="1184"/>
      <c r="G1031" s="1184"/>
      <c r="H1031" s="1184"/>
      <c r="I1031" s="1184"/>
      <c r="J1031" s="1184"/>
      <c r="K1031" s="1184"/>
      <c r="L1031" s="1184"/>
      <c r="M1031" s="1184"/>
      <c r="N1031" s="1184"/>
      <c r="O1031" s="1184"/>
      <c r="P1031" s="1184"/>
      <c r="Q1031" s="1184"/>
      <c r="R1031" s="1184"/>
      <c r="S1031" s="1184"/>
      <c r="T1031" s="1184"/>
      <c r="U1031" s="1184"/>
      <c r="V1031" s="1184"/>
      <c r="W1031" s="1184"/>
      <c r="X1031" s="1184"/>
      <c r="Y1031" s="1184"/>
      <c r="Z1031" s="1184"/>
    </row>
    <row r="1032" spans="1:26" ht="15.5">
      <c r="A1032" s="1184"/>
      <c r="B1032" s="1184"/>
      <c r="C1032" s="1184"/>
      <c r="D1032" s="1184"/>
      <c r="E1032" s="1184"/>
      <c r="F1032" s="1184"/>
      <c r="G1032" s="1184"/>
      <c r="H1032" s="1184"/>
      <c r="I1032" s="1184"/>
      <c r="J1032" s="1184"/>
      <c r="K1032" s="1184"/>
      <c r="L1032" s="1184"/>
      <c r="M1032" s="1184"/>
      <c r="N1032" s="1184"/>
      <c r="O1032" s="1184"/>
      <c r="P1032" s="1184"/>
      <c r="Q1032" s="1184"/>
      <c r="R1032" s="1184"/>
      <c r="S1032" s="1184"/>
      <c r="T1032" s="1184"/>
      <c r="U1032" s="1184"/>
      <c r="V1032" s="1184"/>
      <c r="W1032" s="1184"/>
      <c r="X1032" s="1184"/>
      <c r="Y1032" s="1184"/>
      <c r="Z1032" s="1184"/>
    </row>
    <row r="1033" spans="1:26" ht="15.5">
      <c r="A1033" s="1184"/>
      <c r="B1033" s="1184"/>
      <c r="C1033" s="1184"/>
      <c r="D1033" s="1184"/>
      <c r="E1033" s="1184"/>
      <c r="F1033" s="1184"/>
      <c r="G1033" s="1184"/>
      <c r="H1033" s="1184"/>
      <c r="I1033" s="1184"/>
      <c r="J1033" s="1184"/>
      <c r="K1033" s="1184"/>
      <c r="L1033" s="1184"/>
      <c r="M1033" s="1184"/>
      <c r="N1033" s="1184"/>
      <c r="O1033" s="1184"/>
      <c r="P1033" s="1184"/>
      <c r="Q1033" s="1184"/>
      <c r="R1033" s="1184"/>
      <c r="S1033" s="1184"/>
      <c r="T1033" s="1184"/>
      <c r="U1033" s="1184"/>
      <c r="V1033" s="1184"/>
      <c r="W1033" s="1184"/>
      <c r="X1033" s="1184"/>
      <c r="Y1033" s="1184"/>
      <c r="Z1033" s="1184"/>
    </row>
    <row r="1034" spans="1:26" ht="15.5">
      <c r="A1034" s="1184"/>
      <c r="B1034" s="1184"/>
      <c r="C1034" s="1184"/>
      <c r="D1034" s="1184"/>
      <c r="E1034" s="1184"/>
      <c r="F1034" s="1184"/>
      <c r="G1034" s="1184"/>
      <c r="H1034" s="1184"/>
      <c r="I1034" s="1184"/>
      <c r="J1034" s="1184"/>
      <c r="K1034" s="1184"/>
      <c r="L1034" s="1184"/>
      <c r="M1034" s="1184"/>
      <c r="N1034" s="1184"/>
      <c r="O1034" s="1184"/>
      <c r="P1034" s="1184"/>
      <c r="Q1034" s="1184"/>
      <c r="R1034" s="1184"/>
      <c r="S1034" s="1184"/>
      <c r="T1034" s="1184"/>
      <c r="U1034" s="1184"/>
      <c r="V1034" s="1184"/>
      <c r="W1034" s="1184"/>
      <c r="X1034" s="1184"/>
      <c r="Y1034" s="1184"/>
      <c r="Z1034" s="1184"/>
    </row>
    <row r="1035" spans="1:26" ht="15.5">
      <c r="A1035" s="1184"/>
      <c r="B1035" s="1184"/>
      <c r="C1035" s="1184"/>
      <c r="D1035" s="1184"/>
      <c r="E1035" s="1184"/>
      <c r="F1035" s="1184"/>
      <c r="G1035" s="1184"/>
      <c r="H1035" s="1184"/>
      <c r="I1035" s="1184"/>
      <c r="J1035" s="1184"/>
      <c r="K1035" s="1184"/>
      <c r="L1035" s="1184"/>
      <c r="M1035" s="1184"/>
      <c r="N1035" s="1184"/>
      <c r="O1035" s="1184"/>
      <c r="P1035" s="1184"/>
      <c r="Q1035" s="1184"/>
      <c r="R1035" s="1184"/>
      <c r="S1035" s="1184"/>
      <c r="T1035" s="1184"/>
      <c r="U1035" s="1184"/>
      <c r="V1035" s="1184"/>
      <c r="W1035" s="1184"/>
      <c r="X1035" s="1184"/>
      <c r="Y1035" s="1184"/>
      <c r="Z1035" s="1184"/>
    </row>
    <row r="1036" spans="1:26" ht="15.5">
      <c r="A1036" s="1184"/>
      <c r="B1036" s="1184"/>
      <c r="C1036" s="1184"/>
      <c r="D1036" s="1184"/>
      <c r="E1036" s="1184"/>
      <c r="F1036" s="1184"/>
      <c r="G1036" s="1184"/>
      <c r="H1036" s="1184"/>
      <c r="I1036" s="1184"/>
      <c r="J1036" s="1184"/>
      <c r="K1036" s="1184"/>
      <c r="L1036" s="1184"/>
      <c r="M1036" s="1184"/>
      <c r="N1036" s="1184"/>
      <c r="O1036" s="1184"/>
      <c r="P1036" s="1184"/>
      <c r="Q1036" s="1184"/>
      <c r="R1036" s="1184"/>
      <c r="S1036" s="1184"/>
      <c r="T1036" s="1184"/>
      <c r="U1036" s="1184"/>
      <c r="V1036" s="1184"/>
      <c r="W1036" s="1184"/>
      <c r="X1036" s="1184"/>
      <c r="Y1036" s="1184"/>
      <c r="Z1036" s="1184"/>
    </row>
    <row r="1037" spans="1:26" ht="15.5">
      <c r="A1037" s="1184"/>
      <c r="B1037" s="1184"/>
      <c r="C1037" s="1184"/>
      <c r="D1037" s="1184"/>
      <c r="E1037" s="1184"/>
      <c r="F1037" s="1184"/>
      <c r="G1037" s="1184"/>
      <c r="H1037" s="1184"/>
      <c r="I1037" s="1184"/>
      <c r="J1037" s="1184"/>
      <c r="K1037" s="1184"/>
      <c r="L1037" s="1184"/>
      <c r="M1037" s="1184"/>
      <c r="N1037" s="1184"/>
      <c r="O1037" s="1184"/>
      <c r="P1037" s="1184"/>
      <c r="Q1037" s="1184"/>
      <c r="R1037" s="1184"/>
      <c r="S1037" s="1184"/>
      <c r="T1037" s="1184"/>
      <c r="U1037" s="1184"/>
      <c r="V1037" s="1184"/>
      <c r="W1037" s="1184"/>
      <c r="X1037" s="1184"/>
      <c r="Y1037" s="1184"/>
      <c r="Z1037" s="1184"/>
    </row>
    <row r="1038" spans="1:26" ht="15.5">
      <c r="A1038" s="1184"/>
      <c r="B1038" s="1184"/>
      <c r="C1038" s="1184"/>
      <c r="D1038" s="1184"/>
      <c r="E1038" s="1184"/>
      <c r="F1038" s="1184"/>
      <c r="G1038" s="1184"/>
      <c r="H1038" s="1184"/>
      <c r="I1038" s="1184"/>
      <c r="J1038" s="1184"/>
      <c r="K1038" s="1184"/>
      <c r="L1038" s="1184"/>
      <c r="M1038" s="1184"/>
      <c r="N1038" s="1184"/>
      <c r="O1038" s="1184"/>
      <c r="P1038" s="1184"/>
      <c r="Q1038" s="1184"/>
      <c r="R1038" s="1184"/>
      <c r="S1038" s="1184"/>
      <c r="T1038" s="1184"/>
      <c r="U1038" s="1184"/>
      <c r="V1038" s="1184"/>
      <c r="W1038" s="1184"/>
      <c r="X1038" s="1184"/>
      <c r="Y1038" s="1184"/>
      <c r="Z1038" s="1184"/>
    </row>
    <row r="1039" spans="1:26" ht="15.5">
      <c r="A1039" s="1184"/>
      <c r="B1039" s="1184"/>
      <c r="C1039" s="1184"/>
      <c r="D1039" s="1184"/>
      <c r="E1039" s="1184"/>
      <c r="F1039" s="1184"/>
      <c r="G1039" s="1184"/>
      <c r="H1039" s="1184"/>
      <c r="I1039" s="1184"/>
      <c r="J1039" s="1184"/>
      <c r="K1039" s="1184"/>
      <c r="L1039" s="1184"/>
      <c r="M1039" s="1184"/>
      <c r="N1039" s="1184"/>
      <c r="O1039" s="1184"/>
      <c r="P1039" s="1184"/>
      <c r="Q1039" s="1184"/>
      <c r="R1039" s="1184"/>
      <c r="S1039" s="1184"/>
      <c r="T1039" s="1184"/>
      <c r="U1039" s="1184"/>
      <c r="V1039" s="1184"/>
      <c r="W1039" s="1184"/>
      <c r="X1039" s="1184"/>
      <c r="Y1039" s="1184"/>
      <c r="Z1039" s="1184"/>
    </row>
    <row r="1040" spans="1:26" ht="15.5">
      <c r="A1040" s="1184"/>
      <c r="B1040" s="1184"/>
      <c r="C1040" s="1184"/>
      <c r="D1040" s="1184"/>
      <c r="E1040" s="1184"/>
      <c r="F1040" s="1184"/>
      <c r="G1040" s="1184"/>
      <c r="H1040" s="1184"/>
      <c r="I1040" s="1184"/>
      <c r="J1040" s="1184"/>
      <c r="K1040" s="1184"/>
      <c r="L1040" s="1184"/>
      <c r="M1040" s="1184"/>
      <c r="N1040" s="1184"/>
      <c r="O1040" s="1184"/>
      <c r="P1040" s="1184"/>
      <c r="Q1040" s="1184"/>
      <c r="R1040" s="1184"/>
      <c r="S1040" s="1184"/>
      <c r="T1040" s="1184"/>
      <c r="U1040" s="1184"/>
      <c r="V1040" s="1184"/>
      <c r="W1040" s="1184"/>
      <c r="X1040" s="1184"/>
      <c r="Y1040" s="1184"/>
      <c r="Z1040" s="1184"/>
    </row>
    <row r="1041" spans="1:26" ht="15.5">
      <c r="A1041" s="1184"/>
      <c r="B1041" s="1184"/>
      <c r="C1041" s="1184"/>
      <c r="D1041" s="1184"/>
      <c r="E1041" s="1184"/>
      <c r="F1041" s="1184"/>
      <c r="G1041" s="1184"/>
      <c r="H1041" s="1184"/>
      <c r="I1041" s="1184"/>
      <c r="J1041" s="1184"/>
      <c r="K1041" s="1184"/>
      <c r="L1041" s="1184"/>
      <c r="M1041" s="1184"/>
      <c r="N1041" s="1184"/>
      <c r="O1041" s="1184"/>
      <c r="P1041" s="1184"/>
      <c r="Q1041" s="1184"/>
      <c r="R1041" s="1184"/>
      <c r="S1041" s="1184"/>
      <c r="T1041" s="1184"/>
      <c r="U1041" s="1184"/>
      <c r="V1041" s="1184"/>
      <c r="W1041" s="1184"/>
      <c r="X1041" s="1184"/>
      <c r="Y1041" s="1184"/>
      <c r="Z1041" s="1184"/>
    </row>
    <row r="1042" spans="1:26" ht="15.5">
      <c r="A1042" s="1184"/>
      <c r="B1042" s="1184"/>
      <c r="C1042" s="1184"/>
      <c r="D1042" s="1184"/>
      <c r="E1042" s="1184"/>
      <c r="F1042" s="1184"/>
      <c r="G1042" s="1184"/>
      <c r="H1042" s="1184"/>
      <c r="I1042" s="1184"/>
      <c r="J1042" s="1184"/>
      <c r="K1042" s="1184"/>
      <c r="L1042" s="1184"/>
      <c r="M1042" s="1184"/>
      <c r="N1042" s="1184"/>
      <c r="O1042" s="1184"/>
      <c r="P1042" s="1184"/>
      <c r="Q1042" s="1184"/>
      <c r="R1042" s="1184"/>
      <c r="S1042" s="1184"/>
      <c r="T1042" s="1184"/>
      <c r="U1042" s="1184"/>
      <c r="V1042" s="1184"/>
      <c r="W1042" s="1184"/>
      <c r="X1042" s="1184"/>
      <c r="Y1042" s="1184"/>
      <c r="Z1042" s="1184"/>
    </row>
    <row r="1043" spans="1:26" ht="15.5">
      <c r="A1043" s="1184"/>
      <c r="B1043" s="1184"/>
      <c r="C1043" s="1184"/>
      <c r="D1043" s="1184"/>
      <c r="E1043" s="1184"/>
      <c r="F1043" s="1184"/>
      <c r="G1043" s="1184"/>
      <c r="H1043" s="1184"/>
      <c r="I1043" s="1184"/>
      <c r="J1043" s="1184"/>
      <c r="K1043" s="1184"/>
      <c r="L1043" s="1184"/>
      <c r="M1043" s="1184"/>
      <c r="N1043" s="1184"/>
      <c r="O1043" s="1184"/>
      <c r="P1043" s="1184"/>
      <c r="Q1043" s="1184"/>
      <c r="R1043" s="1184"/>
      <c r="S1043" s="1184"/>
      <c r="T1043" s="1184"/>
      <c r="U1043" s="1184"/>
      <c r="V1043" s="1184"/>
      <c r="W1043" s="1184"/>
      <c r="X1043" s="1184"/>
      <c r="Y1043" s="1184"/>
      <c r="Z1043" s="1184"/>
    </row>
    <row r="1044" spans="1:26" ht="15.5">
      <c r="A1044" s="1184"/>
      <c r="B1044" s="1184"/>
      <c r="C1044" s="1184"/>
      <c r="D1044" s="1184"/>
      <c r="E1044" s="1184"/>
      <c r="F1044" s="1184"/>
      <c r="G1044" s="1184"/>
      <c r="H1044" s="1184"/>
      <c r="I1044" s="1184"/>
      <c r="J1044" s="1184"/>
      <c r="K1044" s="1184"/>
      <c r="L1044" s="1184"/>
      <c r="M1044" s="1184"/>
      <c r="N1044" s="1184"/>
      <c r="O1044" s="1184"/>
      <c r="P1044" s="1184"/>
      <c r="Q1044" s="1184"/>
      <c r="R1044" s="1184"/>
      <c r="S1044" s="1184"/>
      <c r="T1044" s="1184"/>
      <c r="U1044" s="1184"/>
      <c r="V1044" s="1184"/>
      <c r="W1044" s="1184"/>
      <c r="X1044" s="1184"/>
      <c r="Y1044" s="1184"/>
      <c r="Z1044" s="1184"/>
    </row>
    <row r="1045" spans="1:26" ht="15.5">
      <c r="A1045" s="1184"/>
      <c r="B1045" s="1184"/>
      <c r="C1045" s="1184"/>
      <c r="D1045" s="1184"/>
      <c r="E1045" s="1184"/>
      <c r="F1045" s="1184"/>
      <c r="G1045" s="1184"/>
      <c r="H1045" s="1184"/>
      <c r="I1045" s="1184"/>
      <c r="J1045" s="1184"/>
      <c r="K1045" s="1184"/>
      <c r="L1045" s="1184"/>
      <c r="M1045" s="1184"/>
      <c r="N1045" s="1184"/>
      <c r="O1045" s="1184"/>
      <c r="P1045" s="1184"/>
      <c r="Q1045" s="1184"/>
      <c r="R1045" s="1184"/>
      <c r="S1045" s="1184"/>
      <c r="T1045" s="1184"/>
      <c r="U1045" s="1184"/>
      <c r="V1045" s="1184"/>
      <c r="W1045" s="1184"/>
      <c r="X1045" s="1184"/>
      <c r="Y1045" s="1184"/>
      <c r="Z1045" s="1184"/>
    </row>
    <row r="1046" spans="1:26" ht="15.5">
      <c r="A1046" s="1184"/>
      <c r="B1046" s="1184"/>
      <c r="C1046" s="1184"/>
      <c r="D1046" s="1184"/>
      <c r="E1046" s="1184"/>
      <c r="F1046" s="1184"/>
      <c r="G1046" s="1184"/>
      <c r="H1046" s="1184"/>
      <c r="I1046" s="1184"/>
      <c r="J1046" s="1184"/>
      <c r="K1046" s="1184"/>
      <c r="L1046" s="1184"/>
      <c r="M1046" s="1184"/>
      <c r="N1046" s="1184"/>
      <c r="O1046" s="1184"/>
      <c r="P1046" s="1184"/>
      <c r="Q1046" s="1184"/>
      <c r="R1046" s="1184"/>
      <c r="S1046" s="1184"/>
      <c r="T1046" s="1184"/>
      <c r="U1046" s="1184"/>
      <c r="V1046" s="1184"/>
      <c r="W1046" s="1184"/>
      <c r="X1046" s="1184"/>
      <c r="Y1046" s="1184"/>
      <c r="Z1046" s="1184"/>
    </row>
    <row r="1047" spans="1:26" ht="15.5">
      <c r="A1047" s="1184"/>
      <c r="B1047" s="1184"/>
      <c r="C1047" s="1184"/>
      <c r="D1047" s="1184"/>
      <c r="E1047" s="1184"/>
      <c r="F1047" s="1184"/>
      <c r="G1047" s="1184"/>
      <c r="H1047" s="1184"/>
      <c r="I1047" s="1184"/>
      <c r="J1047" s="1184"/>
      <c r="K1047" s="1184"/>
      <c r="L1047" s="1184"/>
      <c r="M1047" s="1184"/>
      <c r="N1047" s="1184"/>
      <c r="O1047" s="1184"/>
      <c r="P1047" s="1184"/>
      <c r="Q1047" s="1184"/>
      <c r="R1047" s="1184"/>
      <c r="S1047" s="1184"/>
      <c r="T1047" s="1184"/>
      <c r="U1047" s="1184"/>
      <c r="V1047" s="1184"/>
      <c r="W1047" s="1184"/>
      <c r="X1047" s="1184"/>
      <c r="Y1047" s="1184"/>
      <c r="Z1047" s="1184"/>
    </row>
    <row r="1048" spans="1:26" ht="15.5">
      <c r="A1048" s="1184"/>
      <c r="B1048" s="1184"/>
      <c r="C1048" s="1184"/>
      <c r="D1048" s="1184"/>
      <c r="E1048" s="1184"/>
      <c r="F1048" s="1184"/>
      <c r="G1048" s="1184"/>
      <c r="H1048" s="1184"/>
      <c r="I1048" s="1184"/>
      <c r="J1048" s="1184"/>
      <c r="K1048" s="1184"/>
      <c r="L1048" s="1184"/>
      <c r="M1048" s="1184"/>
      <c r="N1048" s="1184"/>
      <c r="O1048" s="1184"/>
      <c r="P1048" s="1184"/>
      <c r="Q1048" s="1184"/>
      <c r="R1048" s="1184"/>
      <c r="S1048" s="1184"/>
      <c r="T1048" s="1184"/>
      <c r="U1048" s="1184"/>
      <c r="V1048" s="1184"/>
      <c r="W1048" s="1184"/>
      <c r="X1048" s="1184"/>
      <c r="Y1048" s="1184"/>
      <c r="Z1048" s="1184"/>
    </row>
    <row r="1049" spans="1:26" ht="15.5">
      <c r="A1049" s="1184"/>
      <c r="B1049" s="1184"/>
      <c r="C1049" s="1184"/>
      <c r="D1049" s="1184"/>
      <c r="E1049" s="1184"/>
      <c r="F1049" s="1184"/>
      <c r="G1049" s="1184"/>
      <c r="H1049" s="1184"/>
      <c r="I1049" s="1184"/>
      <c r="J1049" s="1184"/>
      <c r="K1049" s="1184"/>
      <c r="L1049" s="1184"/>
      <c r="M1049" s="1184"/>
      <c r="N1049" s="1184"/>
      <c r="O1049" s="1184"/>
      <c r="P1049" s="1184"/>
      <c r="Q1049" s="1184"/>
      <c r="R1049" s="1184"/>
      <c r="S1049" s="1184"/>
      <c r="T1049" s="1184"/>
      <c r="U1049" s="1184"/>
      <c r="V1049" s="1184"/>
      <c r="W1049" s="1184"/>
      <c r="X1049" s="1184"/>
      <c r="Y1049" s="1184"/>
      <c r="Z1049" s="1184"/>
    </row>
    <row r="1050" spans="1:26" ht="15.5">
      <c r="A1050" s="1184"/>
      <c r="B1050" s="1184"/>
      <c r="C1050" s="1184"/>
      <c r="D1050" s="1184"/>
      <c r="E1050" s="1184"/>
      <c r="F1050" s="1184"/>
      <c r="G1050" s="1184"/>
      <c r="H1050" s="1184"/>
      <c r="I1050" s="1184"/>
      <c r="J1050" s="1184"/>
      <c r="K1050" s="1184"/>
      <c r="L1050" s="1184"/>
      <c r="M1050" s="1184"/>
      <c r="N1050" s="1184"/>
      <c r="O1050" s="1184"/>
      <c r="P1050" s="1184"/>
      <c r="Q1050" s="1184"/>
      <c r="R1050" s="1184"/>
      <c r="S1050" s="1184"/>
      <c r="T1050" s="1184"/>
      <c r="U1050" s="1184"/>
      <c r="V1050" s="1184"/>
      <c r="W1050" s="1184"/>
      <c r="X1050" s="1184"/>
      <c r="Y1050" s="1184"/>
      <c r="Z1050" s="1184"/>
    </row>
    <row r="1051" spans="1:26" ht="15.5">
      <c r="A1051" s="1184"/>
      <c r="B1051" s="1184"/>
      <c r="C1051" s="1184"/>
      <c r="D1051" s="1184"/>
      <c r="E1051" s="1184"/>
      <c r="F1051" s="1184"/>
      <c r="G1051" s="1184"/>
      <c r="H1051" s="1184"/>
      <c r="I1051" s="1184"/>
      <c r="J1051" s="1184"/>
      <c r="K1051" s="1184"/>
      <c r="L1051" s="1184"/>
      <c r="M1051" s="1184"/>
      <c r="N1051" s="1184"/>
      <c r="O1051" s="1184"/>
      <c r="P1051" s="1184"/>
      <c r="Q1051" s="1184"/>
      <c r="R1051" s="1184"/>
      <c r="S1051" s="1184"/>
      <c r="T1051" s="1184"/>
      <c r="U1051" s="1184"/>
      <c r="V1051" s="1184"/>
      <c r="W1051" s="1184"/>
      <c r="X1051" s="1184"/>
      <c r="Y1051" s="1184"/>
      <c r="Z1051" s="1184"/>
    </row>
    <row r="1052" spans="1:26" ht="15.5">
      <c r="A1052" s="1184"/>
      <c r="B1052" s="1184"/>
      <c r="C1052" s="1184"/>
      <c r="D1052" s="1184"/>
      <c r="E1052" s="1184"/>
      <c r="F1052" s="1184"/>
      <c r="G1052" s="1184"/>
      <c r="H1052" s="1184"/>
      <c r="I1052" s="1184"/>
      <c r="J1052" s="1184"/>
      <c r="K1052" s="1184"/>
      <c r="L1052" s="1184"/>
      <c r="M1052" s="1184"/>
      <c r="N1052" s="1184"/>
      <c r="O1052" s="1184"/>
      <c r="P1052" s="1184"/>
      <c r="Q1052" s="1184"/>
      <c r="R1052" s="1184"/>
      <c r="S1052" s="1184"/>
      <c r="T1052" s="1184"/>
      <c r="U1052" s="1184"/>
      <c r="V1052" s="1184"/>
      <c r="W1052" s="1184"/>
      <c r="X1052" s="1184"/>
      <c r="Y1052" s="1184"/>
      <c r="Z1052" s="1184"/>
    </row>
    <row r="1053" spans="1:26" ht="15.5">
      <c r="A1053" s="1184"/>
      <c r="B1053" s="1184"/>
      <c r="C1053" s="1184"/>
      <c r="D1053" s="1184"/>
      <c r="E1053" s="1184"/>
      <c r="F1053" s="1184"/>
      <c r="G1053" s="1184"/>
      <c r="H1053" s="1184"/>
      <c r="I1053" s="1184"/>
      <c r="J1053" s="1184"/>
      <c r="K1053" s="1184"/>
      <c r="L1053" s="1184"/>
      <c r="M1053" s="1184"/>
      <c r="N1053" s="1184"/>
      <c r="O1053" s="1184"/>
      <c r="P1053" s="1184"/>
      <c r="Q1053" s="1184"/>
      <c r="R1053" s="1184"/>
      <c r="S1053" s="1184"/>
      <c r="T1053" s="1184"/>
      <c r="U1053" s="1184"/>
      <c r="V1053" s="1184"/>
      <c r="W1053" s="1184"/>
      <c r="X1053" s="1184"/>
      <c r="Y1053" s="1184"/>
      <c r="Z1053" s="1184"/>
    </row>
    <row r="1054" spans="1:26" ht="15.5">
      <c r="A1054" s="1184"/>
      <c r="B1054" s="1184"/>
      <c r="C1054" s="1184"/>
      <c r="D1054" s="1184"/>
      <c r="E1054" s="1184"/>
      <c r="F1054" s="1184"/>
      <c r="G1054" s="1184"/>
      <c r="H1054" s="1184"/>
      <c r="I1054" s="1184"/>
      <c r="J1054" s="1184"/>
      <c r="K1054" s="1184"/>
      <c r="L1054" s="1184"/>
      <c r="M1054" s="1184"/>
      <c r="N1054" s="1184"/>
      <c r="O1054" s="1184"/>
      <c r="P1054" s="1184"/>
      <c r="Q1054" s="1184"/>
      <c r="R1054" s="1184"/>
      <c r="S1054" s="1184"/>
      <c r="T1054" s="1184"/>
      <c r="U1054" s="1184"/>
      <c r="V1054" s="1184"/>
      <c r="W1054" s="1184"/>
      <c r="X1054" s="1184"/>
      <c r="Y1054" s="1184"/>
      <c r="Z1054" s="1184"/>
    </row>
    <row r="1055" spans="1:26" ht="15.5">
      <c r="A1055" s="1184"/>
      <c r="B1055" s="1184"/>
      <c r="C1055" s="1184"/>
      <c r="D1055" s="1184"/>
      <c r="E1055" s="1184"/>
      <c r="F1055" s="1184"/>
      <c r="G1055" s="1184"/>
      <c r="H1055" s="1184"/>
      <c r="I1055" s="1184"/>
      <c r="J1055" s="1184"/>
      <c r="K1055" s="1184"/>
      <c r="L1055" s="1184"/>
      <c r="M1055" s="1184"/>
      <c r="N1055" s="1184"/>
      <c r="O1055" s="1184"/>
      <c r="P1055" s="1184"/>
      <c r="Q1055" s="1184"/>
      <c r="R1055" s="1184"/>
      <c r="S1055" s="1184"/>
      <c r="T1055" s="1184"/>
      <c r="U1055" s="1184"/>
      <c r="V1055" s="1184"/>
      <c r="W1055" s="1184"/>
      <c r="X1055" s="1184"/>
      <c r="Y1055" s="1184"/>
      <c r="Z1055" s="1184"/>
    </row>
    <row r="1056" spans="1:26" ht="15.5">
      <c r="A1056" s="1184"/>
      <c r="B1056" s="1184"/>
      <c r="C1056" s="1184"/>
      <c r="D1056" s="1184"/>
      <c r="E1056" s="1184"/>
      <c r="F1056" s="1184"/>
      <c r="G1056" s="1184"/>
      <c r="H1056" s="1184"/>
      <c r="I1056" s="1184"/>
      <c r="J1056" s="1184"/>
      <c r="K1056" s="1184"/>
      <c r="L1056" s="1184"/>
      <c r="M1056" s="1184"/>
      <c r="N1056" s="1184"/>
      <c r="O1056" s="1184"/>
      <c r="P1056" s="1184"/>
      <c r="Q1056" s="1184"/>
      <c r="R1056" s="1184"/>
      <c r="S1056" s="1184"/>
      <c r="T1056" s="1184"/>
      <c r="U1056" s="1184"/>
      <c r="V1056" s="1184"/>
      <c r="W1056" s="1184"/>
      <c r="X1056" s="1184"/>
      <c r="Y1056" s="1184"/>
      <c r="Z1056" s="1184"/>
    </row>
    <row r="1057" spans="1:26" ht="15.5">
      <c r="A1057" s="1184"/>
      <c r="B1057" s="1184"/>
      <c r="C1057" s="1184"/>
      <c r="D1057" s="1184"/>
      <c r="E1057" s="1184"/>
      <c r="F1057" s="1184"/>
      <c r="G1057" s="1184"/>
      <c r="H1057" s="1184"/>
      <c r="I1057" s="1184"/>
      <c r="J1057" s="1184"/>
      <c r="K1057" s="1184"/>
      <c r="L1057" s="1184"/>
      <c r="M1057" s="1184"/>
      <c r="N1057" s="1184"/>
      <c r="O1057" s="1184"/>
      <c r="P1057" s="1184"/>
      <c r="Q1057" s="1184"/>
      <c r="R1057" s="1184"/>
      <c r="S1057" s="1184"/>
      <c r="T1057" s="1184"/>
      <c r="U1057" s="1184"/>
      <c r="V1057" s="1184"/>
      <c r="W1057" s="1184"/>
      <c r="X1057" s="1184"/>
      <c r="Y1057" s="1184"/>
      <c r="Z1057" s="1184"/>
    </row>
    <row r="1058" spans="1:26" ht="15.5">
      <c r="A1058" s="1184"/>
      <c r="B1058" s="1184"/>
      <c r="C1058" s="1184"/>
      <c r="D1058" s="1184"/>
      <c r="E1058" s="1184"/>
      <c r="F1058" s="1184"/>
      <c r="G1058" s="1184"/>
      <c r="H1058" s="1184"/>
      <c r="I1058" s="1184"/>
      <c r="J1058" s="1184"/>
      <c r="K1058" s="1184"/>
      <c r="L1058" s="1184"/>
      <c r="M1058" s="1184"/>
      <c r="N1058" s="1184"/>
      <c r="O1058" s="1184"/>
      <c r="P1058" s="1184"/>
      <c r="Q1058" s="1184"/>
      <c r="R1058" s="1184"/>
      <c r="S1058" s="1184"/>
      <c r="T1058" s="1184"/>
      <c r="U1058" s="1184"/>
      <c r="V1058" s="1184"/>
      <c r="W1058" s="1184"/>
      <c r="X1058" s="1184"/>
      <c r="Y1058" s="1184"/>
      <c r="Z1058" s="1184"/>
    </row>
    <row r="1059" spans="1:26" ht="15.5">
      <c r="A1059" s="1184"/>
      <c r="B1059" s="1184"/>
      <c r="C1059" s="1184"/>
      <c r="D1059" s="1184"/>
      <c r="E1059" s="1184"/>
      <c r="F1059" s="1184"/>
      <c r="G1059" s="1184"/>
      <c r="H1059" s="1184"/>
      <c r="I1059" s="1184"/>
      <c r="J1059" s="1184"/>
      <c r="K1059" s="1184"/>
      <c r="L1059" s="1184"/>
      <c r="M1059" s="1184"/>
      <c r="N1059" s="1184"/>
      <c r="O1059" s="1184"/>
      <c r="P1059" s="1184"/>
      <c r="Q1059" s="1184"/>
      <c r="R1059" s="1184"/>
      <c r="S1059" s="1184"/>
      <c r="T1059" s="1184"/>
      <c r="U1059" s="1184"/>
      <c r="V1059" s="1184"/>
      <c r="W1059" s="1184"/>
      <c r="X1059" s="1184"/>
      <c r="Y1059" s="1184"/>
      <c r="Z1059" s="1184"/>
    </row>
    <row r="1060" spans="1:26" ht="15.5">
      <c r="A1060" s="1184"/>
      <c r="B1060" s="1184"/>
      <c r="C1060" s="1184"/>
      <c r="D1060" s="1184"/>
      <c r="E1060" s="1184"/>
      <c r="F1060" s="1184"/>
      <c r="G1060" s="1184"/>
      <c r="H1060" s="1184"/>
      <c r="I1060" s="1184"/>
      <c r="J1060" s="1184"/>
      <c r="K1060" s="1184"/>
      <c r="L1060" s="1184"/>
      <c r="M1060" s="1184"/>
      <c r="N1060" s="1184"/>
      <c r="O1060" s="1184"/>
      <c r="P1060" s="1184"/>
      <c r="Q1060" s="1184"/>
      <c r="R1060" s="1184"/>
      <c r="S1060" s="1184"/>
      <c r="T1060" s="1184"/>
      <c r="U1060" s="1184"/>
      <c r="V1060" s="1184"/>
      <c r="W1060" s="1184"/>
      <c r="X1060" s="1184"/>
      <c r="Y1060" s="1184"/>
      <c r="Z1060" s="1184"/>
    </row>
    <row r="1061" spans="1:26" ht="15.5">
      <c r="A1061" s="1184"/>
      <c r="B1061" s="1184"/>
      <c r="C1061" s="1184"/>
      <c r="D1061" s="1184"/>
      <c r="E1061" s="1184"/>
      <c r="F1061" s="1184"/>
      <c r="G1061" s="1184"/>
      <c r="H1061" s="1184"/>
      <c r="I1061" s="1184"/>
      <c r="J1061" s="1184"/>
      <c r="K1061" s="1184"/>
      <c r="L1061" s="1184"/>
      <c r="M1061" s="1184"/>
      <c r="N1061" s="1184"/>
      <c r="O1061" s="1184"/>
      <c r="P1061" s="1184"/>
      <c r="Q1061" s="1184"/>
      <c r="R1061" s="1184"/>
      <c r="S1061" s="1184"/>
      <c r="T1061" s="1184"/>
      <c r="U1061" s="1184"/>
      <c r="V1061" s="1184"/>
      <c r="W1061" s="1184"/>
      <c r="X1061" s="1184"/>
      <c r="Y1061" s="1184"/>
      <c r="Z1061" s="1184"/>
    </row>
    <row r="1062" spans="1:26" ht="15.5">
      <c r="A1062" s="1184"/>
      <c r="B1062" s="1184"/>
      <c r="C1062" s="1184"/>
      <c r="D1062" s="1184"/>
      <c r="E1062" s="1184"/>
      <c r="F1062" s="1184"/>
      <c r="G1062" s="1184"/>
      <c r="H1062" s="1184"/>
      <c r="I1062" s="1184"/>
      <c r="J1062" s="1184"/>
      <c r="K1062" s="1184"/>
      <c r="L1062" s="1184"/>
      <c r="M1062" s="1184"/>
      <c r="N1062" s="1184"/>
      <c r="O1062" s="1184"/>
      <c r="P1062" s="1184"/>
      <c r="Q1062" s="1184"/>
      <c r="R1062" s="1184"/>
      <c r="S1062" s="1184"/>
      <c r="T1062" s="1184"/>
      <c r="U1062" s="1184"/>
      <c r="V1062" s="1184"/>
      <c r="W1062" s="1184"/>
      <c r="X1062" s="1184"/>
      <c r="Y1062" s="1184"/>
      <c r="Z1062" s="1184"/>
    </row>
    <row r="1063" spans="1:26" ht="15.5">
      <c r="A1063" s="1184"/>
      <c r="B1063" s="1184"/>
      <c r="C1063" s="1184"/>
      <c r="D1063" s="1184"/>
      <c r="E1063" s="1184"/>
      <c r="F1063" s="1184"/>
      <c r="G1063" s="1184"/>
      <c r="H1063" s="1184"/>
      <c r="I1063" s="1184"/>
      <c r="J1063" s="1184"/>
      <c r="K1063" s="1184"/>
      <c r="L1063" s="1184"/>
      <c r="M1063" s="1184"/>
      <c r="N1063" s="1184"/>
      <c r="O1063" s="1184"/>
      <c r="P1063" s="1184"/>
      <c r="Q1063" s="1184"/>
      <c r="R1063" s="1184"/>
      <c r="S1063" s="1184"/>
      <c r="T1063" s="1184"/>
      <c r="U1063" s="1184"/>
      <c r="V1063" s="1184"/>
      <c r="W1063" s="1184"/>
      <c r="X1063" s="1184"/>
      <c r="Y1063" s="1184"/>
      <c r="Z1063" s="1184"/>
    </row>
    <row r="1064" spans="1:26" ht="15.5">
      <c r="A1064" s="1184"/>
      <c r="B1064" s="1184"/>
      <c r="C1064" s="1184"/>
      <c r="D1064" s="1184"/>
      <c r="E1064" s="1184"/>
      <c r="F1064" s="1184"/>
      <c r="G1064" s="1184"/>
      <c r="H1064" s="1184"/>
      <c r="I1064" s="1184"/>
      <c r="J1064" s="1184"/>
      <c r="K1064" s="1184"/>
      <c r="L1064" s="1184"/>
      <c r="M1064" s="1184"/>
      <c r="N1064" s="1184"/>
      <c r="O1064" s="1184"/>
      <c r="P1064" s="1184"/>
      <c r="Q1064" s="1184"/>
      <c r="R1064" s="1184"/>
      <c r="S1064" s="1184"/>
      <c r="T1064" s="1184"/>
      <c r="U1064" s="1184"/>
      <c r="V1064" s="1184"/>
      <c r="W1064" s="1184"/>
      <c r="X1064" s="1184"/>
      <c r="Y1064" s="1184"/>
      <c r="Z1064" s="1184"/>
    </row>
    <row r="1065" spans="1:26" ht="15.5">
      <c r="A1065" s="1184"/>
      <c r="B1065" s="1184"/>
      <c r="C1065" s="1184"/>
      <c r="D1065" s="1184"/>
      <c r="E1065" s="1184"/>
      <c r="F1065" s="1184"/>
      <c r="G1065" s="1184"/>
      <c r="H1065" s="1184"/>
      <c r="I1065" s="1184"/>
      <c r="J1065" s="1184"/>
      <c r="K1065" s="1184"/>
      <c r="L1065" s="1184"/>
      <c r="M1065" s="1184"/>
      <c r="N1065" s="1184"/>
      <c r="O1065" s="1184"/>
      <c r="P1065" s="1184"/>
      <c r="Q1065" s="1184"/>
      <c r="R1065" s="1184"/>
      <c r="S1065" s="1184"/>
      <c r="T1065" s="1184"/>
      <c r="U1065" s="1184"/>
      <c r="V1065" s="1184"/>
      <c r="W1065" s="1184"/>
      <c r="X1065" s="1184"/>
      <c r="Y1065" s="1184"/>
      <c r="Z1065" s="1184"/>
    </row>
    <row r="1066" spans="1:26" ht="15.5">
      <c r="A1066" s="1184"/>
      <c r="B1066" s="1184"/>
      <c r="C1066" s="1184"/>
      <c r="D1066" s="1184"/>
      <c r="E1066" s="1184"/>
      <c r="F1066" s="1184"/>
      <c r="G1066" s="1184"/>
      <c r="H1066" s="1184"/>
      <c r="I1066" s="1184"/>
      <c r="J1066" s="1184"/>
      <c r="K1066" s="1184"/>
      <c r="L1066" s="1184"/>
      <c r="M1066" s="1184"/>
      <c r="N1066" s="1184"/>
      <c r="O1066" s="1184"/>
      <c r="P1066" s="1184"/>
      <c r="Q1066" s="1184"/>
      <c r="R1066" s="1184"/>
      <c r="S1066" s="1184"/>
      <c r="T1066" s="1184"/>
      <c r="U1066" s="1184"/>
      <c r="V1066" s="1184"/>
      <c r="W1066" s="1184"/>
      <c r="X1066" s="1184"/>
      <c r="Y1066" s="1184"/>
      <c r="Z1066" s="1184"/>
    </row>
    <row r="1067" spans="1:26" ht="15.5">
      <c r="A1067" s="1184"/>
      <c r="B1067" s="1184"/>
      <c r="C1067" s="1184"/>
      <c r="D1067" s="1184"/>
      <c r="E1067" s="1184"/>
      <c r="F1067" s="1184"/>
      <c r="G1067" s="1184"/>
      <c r="H1067" s="1184"/>
      <c r="I1067" s="1184"/>
      <c r="J1067" s="1184"/>
      <c r="K1067" s="1184"/>
      <c r="L1067" s="1184"/>
      <c r="M1067" s="1184"/>
      <c r="N1067" s="1184"/>
      <c r="O1067" s="1184"/>
      <c r="P1067" s="1184"/>
      <c r="Q1067" s="1184"/>
      <c r="R1067" s="1184"/>
      <c r="S1067" s="1184"/>
      <c r="T1067" s="1184"/>
      <c r="U1067" s="1184"/>
      <c r="V1067" s="1184"/>
      <c r="W1067" s="1184"/>
      <c r="X1067" s="1184"/>
      <c r="Y1067" s="1184"/>
      <c r="Z1067" s="1184"/>
    </row>
  </sheetData>
  <mergeCells count="38">
    <mergeCell ref="H405:I405"/>
    <mergeCell ref="R405:S405"/>
    <mergeCell ref="H407:I407"/>
    <mergeCell ref="H408:I408"/>
    <mergeCell ref="J408:K408"/>
    <mergeCell ref="L408:M408"/>
    <mergeCell ref="N408:O408"/>
    <mergeCell ref="P408:Q408"/>
    <mergeCell ref="R408:S408"/>
    <mergeCell ref="J405:K405"/>
    <mergeCell ref="L405:M405"/>
    <mergeCell ref="J407:K407"/>
    <mergeCell ref="L407:M407"/>
    <mergeCell ref="N407:O407"/>
    <mergeCell ref="P407:Q407"/>
    <mergeCell ref="R407:S407"/>
    <mergeCell ref="H403:I404"/>
    <mergeCell ref="J403:K404"/>
    <mergeCell ref="L403:M404"/>
    <mergeCell ref="N403:O404"/>
    <mergeCell ref="P403:Q404"/>
    <mergeCell ref="L402:M402"/>
    <mergeCell ref="N402:O402"/>
    <mergeCell ref="P402:Q402"/>
    <mergeCell ref="R402:S402"/>
    <mergeCell ref="N405:O405"/>
    <mergeCell ref="P405:Q405"/>
    <mergeCell ref="R403:S404"/>
    <mergeCell ref="E57:G57"/>
    <mergeCell ref="B72:C72"/>
    <mergeCell ref="E72:F72"/>
    <mergeCell ref="H402:I402"/>
    <mergeCell ref="J402:K402"/>
    <mergeCell ref="B3:C3"/>
    <mergeCell ref="B17:C17"/>
    <mergeCell ref="B30:C30"/>
    <mergeCell ref="B43:D43"/>
    <mergeCell ref="B57:D57"/>
  </mergeCells>
  <conditionalFormatting sqref="E274:E280">
    <cfRule type="colorScale" priority="1">
      <colorScale>
        <cfvo type="min"/>
        <cfvo type="formula" val="0"/>
        <cfvo type="max"/>
        <color rgb="FFF8D7DA"/>
        <color rgb="FFFFFFFF"/>
        <color rgb="FFC6EFCE"/>
      </colorScale>
    </cfRule>
  </conditionalFormatting>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D5B8EA"/>
    <outlinePr summaryBelow="0" summaryRight="0"/>
  </sheetPr>
  <dimension ref="A1:Z998"/>
  <sheetViews>
    <sheetView workbookViewId="0"/>
  </sheetViews>
  <sheetFormatPr defaultColWidth="12.6328125" defaultRowHeight="15" customHeight="1"/>
  <cols>
    <col min="2" max="2" width="20.26953125" customWidth="1"/>
    <col min="3" max="3" width="13.08984375" customWidth="1"/>
    <col min="4" max="4" width="14" customWidth="1"/>
    <col min="5" max="5" width="13.453125" customWidth="1"/>
    <col min="6" max="6" width="14.08984375" customWidth="1"/>
    <col min="7" max="7" width="13.453125" customWidth="1"/>
    <col min="9" max="9" width="29.7265625" customWidth="1"/>
    <col min="10" max="10" width="15.08984375" customWidth="1"/>
  </cols>
  <sheetData>
    <row r="1" spans="1:26">
      <c r="A1" s="1234"/>
      <c r="B1" s="1234"/>
      <c r="C1" s="1234"/>
      <c r="D1" s="1234"/>
      <c r="E1" s="1234"/>
      <c r="F1" s="1234"/>
      <c r="G1" s="1234"/>
      <c r="H1" s="1234"/>
      <c r="I1" s="1234"/>
      <c r="J1" s="1234"/>
      <c r="K1" s="1234"/>
      <c r="L1" s="1234"/>
      <c r="M1" s="1234"/>
      <c r="N1" s="1234"/>
      <c r="O1" s="1234"/>
      <c r="P1" s="1234"/>
      <c r="Q1" s="1234"/>
      <c r="R1" s="1234"/>
      <c r="S1" s="1234"/>
      <c r="T1" s="1234"/>
      <c r="U1" s="1234"/>
      <c r="V1" s="1234"/>
      <c r="W1" s="1234"/>
      <c r="X1" s="1234"/>
      <c r="Y1" s="1234"/>
      <c r="Z1" s="1234"/>
    </row>
    <row r="2" spans="1:26">
      <c r="A2" s="1234"/>
      <c r="B2" s="1234"/>
      <c r="C2" s="1234"/>
      <c r="D2" s="1234"/>
      <c r="E2" s="1234"/>
      <c r="F2" s="1234"/>
      <c r="G2" s="1234"/>
      <c r="H2" s="1234"/>
      <c r="I2" s="1234"/>
      <c r="J2" s="1234"/>
      <c r="K2" s="1234"/>
      <c r="L2" s="1234"/>
      <c r="M2" s="1234"/>
      <c r="N2" s="1234"/>
      <c r="O2" s="1234"/>
      <c r="P2" s="1234"/>
      <c r="Q2" s="1234"/>
      <c r="R2" s="1234"/>
      <c r="S2" s="1234"/>
      <c r="T2" s="1234"/>
      <c r="U2" s="1234"/>
      <c r="V2" s="1234"/>
      <c r="W2" s="1234"/>
      <c r="X2" s="1234"/>
      <c r="Y2" s="1234"/>
      <c r="Z2" s="1234"/>
    </row>
    <row r="3" spans="1:26" ht="15" customHeight="1">
      <c r="A3" s="1234"/>
      <c r="B3" s="1235" t="s">
        <v>2270</v>
      </c>
      <c r="C3" s="1234"/>
      <c r="D3" s="1234"/>
      <c r="E3" s="1234"/>
      <c r="F3" s="1234"/>
      <c r="G3" s="1234"/>
      <c r="H3" s="1234"/>
      <c r="I3" s="1236" t="s">
        <v>2271</v>
      </c>
      <c r="J3" s="1236"/>
      <c r="K3" s="1234"/>
      <c r="L3" s="1234"/>
      <c r="M3" s="1234"/>
      <c r="N3" s="1234"/>
      <c r="O3" s="1234"/>
      <c r="P3" s="1234"/>
      <c r="Q3" s="1234"/>
      <c r="R3" s="1234"/>
      <c r="S3" s="1234"/>
      <c r="T3" s="1234"/>
      <c r="U3" s="1234"/>
      <c r="V3" s="1234"/>
      <c r="W3" s="1234"/>
      <c r="X3" s="1234"/>
      <c r="Y3" s="1234"/>
      <c r="Z3" s="1234"/>
    </row>
    <row r="4" spans="1:26" ht="15" customHeight="1">
      <c r="A4" s="1234"/>
      <c r="B4" s="1237"/>
      <c r="C4" s="1234"/>
      <c r="D4" s="1234"/>
      <c r="E4" s="1234"/>
      <c r="F4" s="1234"/>
      <c r="G4" s="1234"/>
      <c r="H4" s="1234"/>
      <c r="I4" s="1236"/>
      <c r="J4" s="1236"/>
      <c r="K4" s="1234"/>
      <c r="L4" s="1234"/>
      <c r="M4" s="1234"/>
      <c r="N4" s="1234"/>
      <c r="O4" s="1234"/>
      <c r="P4" s="1234"/>
      <c r="Q4" s="1234"/>
      <c r="R4" s="1234"/>
      <c r="S4" s="1234"/>
      <c r="T4" s="1234"/>
      <c r="U4" s="1234"/>
      <c r="V4" s="1234"/>
      <c r="W4" s="1234"/>
      <c r="X4" s="1234"/>
      <c r="Y4" s="1234"/>
      <c r="Z4" s="1234"/>
    </row>
    <row r="5" spans="1:26" ht="15" customHeight="1">
      <c r="A5" s="1234"/>
      <c r="B5" s="1237" t="s">
        <v>2272</v>
      </c>
      <c r="C5" s="1238">
        <f>'For Deck'!C19</f>
        <v>22496298.09</v>
      </c>
      <c r="D5" s="1239" t="s">
        <v>2273</v>
      </c>
      <c r="E5" s="1240">
        <f>'For Deck'!C24</f>
        <v>0.33284790951683618</v>
      </c>
      <c r="F5" s="1239" t="s">
        <v>2274</v>
      </c>
      <c r="G5" s="1241" t="s">
        <v>2275</v>
      </c>
      <c r="H5" s="1234"/>
      <c r="I5" s="1236" t="s">
        <v>211</v>
      </c>
      <c r="J5" s="1236" t="s">
        <v>212</v>
      </c>
      <c r="K5" s="1234"/>
      <c r="L5" s="1234"/>
      <c r="M5" s="1234"/>
      <c r="N5" s="1234"/>
      <c r="O5" s="1234"/>
      <c r="P5" s="1234"/>
      <c r="Q5" s="1234"/>
      <c r="R5" s="1234"/>
      <c r="S5" s="1234"/>
      <c r="T5" s="1234"/>
      <c r="U5" s="1234"/>
      <c r="V5" s="1234"/>
      <c r="W5" s="1234"/>
      <c r="X5" s="1234"/>
      <c r="Y5" s="1234"/>
      <c r="Z5" s="1234"/>
    </row>
    <row r="6" spans="1:26" ht="15" customHeight="1">
      <c r="A6" s="1234"/>
      <c r="B6" s="1239" t="s">
        <v>2276</v>
      </c>
      <c r="C6" s="1240">
        <f>'For Deck'!C63</f>
        <v>0.52031879471128173</v>
      </c>
      <c r="D6" s="1239" t="s">
        <v>225</v>
      </c>
      <c r="E6" s="1242">
        <f>'For Deck'!C25</f>
        <v>17.693182272018159</v>
      </c>
      <c r="F6" s="1239" t="s">
        <v>2277</v>
      </c>
      <c r="G6" s="1243" t="str">
        <f>'For Deck'!C27</f>
        <v>&lt; 3 years</v>
      </c>
      <c r="H6" s="1234"/>
      <c r="I6" s="1236" t="s">
        <v>2278</v>
      </c>
      <c r="J6" s="1244">
        <v>0.55000000000000004</v>
      </c>
      <c r="K6" s="1234"/>
      <c r="L6" s="1234"/>
      <c r="M6" s="1234"/>
      <c r="N6" s="1234"/>
      <c r="O6" s="1234"/>
      <c r="P6" s="1234"/>
      <c r="Q6" s="1234"/>
      <c r="R6" s="1234"/>
      <c r="S6" s="1234"/>
      <c r="T6" s="1234"/>
      <c r="U6" s="1234"/>
      <c r="V6" s="1234"/>
      <c r="W6" s="1234"/>
      <c r="X6" s="1234"/>
      <c r="Y6" s="1234"/>
      <c r="Z6" s="1234"/>
    </row>
    <row r="7" spans="1:26" ht="15" customHeight="1">
      <c r="A7" s="1234"/>
      <c r="B7" s="1239" t="s">
        <v>132</v>
      </c>
      <c r="C7" s="1245">
        <f>'For Deck'!C301</f>
        <v>7</v>
      </c>
      <c r="D7" s="1239" t="s">
        <v>251</v>
      </c>
      <c r="E7" s="1243" t="str">
        <f>'For Deck'!C255</f>
        <v>$22M</v>
      </c>
      <c r="F7" s="1239" t="s">
        <v>2279</v>
      </c>
      <c r="G7" s="1241" t="s">
        <v>2280</v>
      </c>
      <c r="H7" s="1234"/>
      <c r="I7" s="1236" t="s">
        <v>2281</v>
      </c>
      <c r="J7" s="1236" t="s">
        <v>2282</v>
      </c>
      <c r="K7" s="1234"/>
      <c r="L7" s="1234"/>
      <c r="M7" s="1234"/>
      <c r="N7" s="1234"/>
      <c r="O7" s="1234"/>
      <c r="P7" s="1234"/>
      <c r="Q7" s="1234"/>
      <c r="R7" s="1234"/>
      <c r="S7" s="1234"/>
      <c r="T7" s="1234"/>
      <c r="U7" s="1234"/>
      <c r="V7" s="1234"/>
      <c r="W7" s="1234"/>
      <c r="X7" s="1234"/>
      <c r="Y7" s="1234"/>
      <c r="Z7" s="1234"/>
    </row>
    <row r="8" spans="1:26" ht="15" customHeight="1">
      <c r="A8" s="1234"/>
      <c r="B8" s="1239" t="s">
        <v>29</v>
      </c>
      <c r="C8" s="1246">
        <f>'For Deck'!C21</f>
        <v>12675915</v>
      </c>
      <c r="D8" s="1239" t="s">
        <v>563</v>
      </c>
      <c r="E8" s="1246">
        <f>'For Deck'!C20</f>
        <v>8970383.0899999999</v>
      </c>
      <c r="F8" s="1239" t="s">
        <v>274</v>
      </c>
      <c r="G8" s="1247">
        <f>'For Deck'!C39</f>
        <v>6000</v>
      </c>
      <c r="H8" s="1234"/>
      <c r="I8" s="1236" t="s">
        <v>2283</v>
      </c>
      <c r="J8" s="1236" t="s">
        <v>2284</v>
      </c>
      <c r="K8" s="1234"/>
      <c r="L8" s="1234"/>
      <c r="M8" s="1234"/>
      <c r="N8" s="1234"/>
      <c r="O8" s="1234"/>
      <c r="P8" s="1234"/>
      <c r="Q8" s="1234"/>
      <c r="R8" s="1234"/>
      <c r="S8" s="1234"/>
      <c r="T8" s="1234"/>
      <c r="U8" s="1234"/>
      <c r="V8" s="1234"/>
      <c r="W8" s="1234"/>
      <c r="X8" s="1234"/>
      <c r="Y8" s="1234"/>
      <c r="Z8" s="1234"/>
    </row>
    <row r="9" spans="1:26" ht="15" customHeight="1">
      <c r="A9" s="1234"/>
      <c r="B9" s="1234"/>
      <c r="C9" s="1234"/>
      <c r="D9" s="1234"/>
      <c r="E9" s="1234"/>
      <c r="F9" s="1234"/>
      <c r="G9" s="1234"/>
      <c r="H9" s="1234"/>
      <c r="I9" s="1236" t="s">
        <v>2285</v>
      </c>
      <c r="J9" s="1244">
        <v>0.59</v>
      </c>
      <c r="K9" s="1234"/>
      <c r="L9" s="1234"/>
      <c r="M9" s="1234"/>
      <c r="N9" s="1234"/>
      <c r="O9" s="1234"/>
      <c r="P9" s="1234"/>
      <c r="Q9" s="1234"/>
      <c r="R9" s="1234"/>
      <c r="S9" s="1234"/>
      <c r="T9" s="1234"/>
      <c r="U9" s="1234"/>
      <c r="V9" s="1234"/>
      <c r="W9" s="1234"/>
      <c r="X9" s="1234"/>
      <c r="Y9" s="1234"/>
      <c r="Z9" s="1234"/>
    </row>
    <row r="10" spans="1:26" ht="15" customHeight="1">
      <c r="A10" s="1234"/>
      <c r="B10" s="1234"/>
      <c r="C10" s="1234"/>
      <c r="D10" s="1234"/>
      <c r="E10" s="1234"/>
      <c r="F10" s="1234"/>
      <c r="G10" s="1234"/>
      <c r="H10" s="1234"/>
      <c r="I10" s="1236" t="s">
        <v>2286</v>
      </c>
      <c r="J10" s="1236" t="s">
        <v>2287</v>
      </c>
      <c r="K10" s="1234"/>
      <c r="L10" s="1234"/>
      <c r="M10" s="1234"/>
      <c r="N10" s="1234"/>
      <c r="O10" s="1234"/>
      <c r="P10" s="1234"/>
      <c r="Q10" s="1234"/>
      <c r="R10" s="1234"/>
      <c r="S10" s="1234"/>
      <c r="T10" s="1234"/>
      <c r="U10" s="1234"/>
      <c r="V10" s="1234"/>
      <c r="W10" s="1234"/>
      <c r="X10" s="1234"/>
      <c r="Y10" s="1234"/>
      <c r="Z10" s="1234"/>
    </row>
    <row r="11" spans="1:26" ht="15" customHeight="1">
      <c r="A11" s="1234"/>
      <c r="B11" s="1234"/>
      <c r="C11" s="1234"/>
      <c r="D11" s="1234"/>
      <c r="E11" s="1234"/>
      <c r="F11" s="1234"/>
      <c r="G11" s="1234"/>
      <c r="H11" s="1234"/>
      <c r="I11" s="1236" t="s">
        <v>2288</v>
      </c>
      <c r="J11" s="1236" t="s">
        <v>2289</v>
      </c>
      <c r="K11" s="1234"/>
      <c r="L11" s="1234"/>
      <c r="M11" s="1234"/>
      <c r="N11" s="1234"/>
      <c r="O11" s="1234"/>
      <c r="P11" s="1234"/>
      <c r="Q11" s="1234"/>
      <c r="R11" s="1234"/>
      <c r="S11" s="1234"/>
      <c r="T11" s="1234"/>
      <c r="U11" s="1234"/>
      <c r="V11" s="1234"/>
      <c r="W11" s="1234"/>
      <c r="X11" s="1234"/>
      <c r="Y11" s="1234"/>
      <c r="Z11" s="1234"/>
    </row>
    <row r="12" spans="1:26" ht="15" customHeight="1">
      <c r="A12" s="1234"/>
      <c r="B12" s="1234"/>
      <c r="C12" s="1234"/>
      <c r="D12" s="1234"/>
      <c r="E12" s="1234"/>
      <c r="F12" s="1234"/>
      <c r="G12" s="1234"/>
      <c r="H12" s="1234"/>
      <c r="I12" s="1236" t="s">
        <v>2290</v>
      </c>
      <c r="J12" s="1236" t="s">
        <v>2291</v>
      </c>
      <c r="K12" s="1234"/>
      <c r="L12" s="1234"/>
      <c r="M12" s="1234"/>
      <c r="N12" s="1234"/>
      <c r="O12" s="1234"/>
      <c r="P12" s="1234"/>
      <c r="Q12" s="1234"/>
      <c r="R12" s="1234"/>
      <c r="S12" s="1234"/>
      <c r="T12" s="1234"/>
      <c r="U12" s="1234"/>
      <c r="V12" s="1234"/>
      <c r="W12" s="1234"/>
      <c r="X12" s="1234"/>
      <c r="Y12" s="1234"/>
      <c r="Z12" s="1234"/>
    </row>
    <row r="13" spans="1:26" ht="15" customHeight="1">
      <c r="A13" s="1234"/>
      <c r="B13" s="1234"/>
      <c r="C13" s="1234"/>
      <c r="D13" s="1234"/>
      <c r="E13" s="1234"/>
      <c r="F13" s="1234"/>
      <c r="G13" s="1234"/>
      <c r="H13" s="1234"/>
      <c r="I13" s="1236" t="s">
        <v>2292</v>
      </c>
      <c r="J13" s="1236" t="s">
        <v>2293</v>
      </c>
      <c r="K13" s="1234"/>
      <c r="L13" s="1234"/>
      <c r="M13" s="1234"/>
      <c r="N13" s="1234"/>
      <c r="O13" s="1234"/>
      <c r="P13" s="1234"/>
      <c r="Q13" s="1234"/>
      <c r="R13" s="1234"/>
      <c r="S13" s="1234"/>
      <c r="T13" s="1234"/>
      <c r="U13" s="1234"/>
      <c r="V13" s="1234"/>
      <c r="W13" s="1234"/>
      <c r="X13" s="1234"/>
      <c r="Y13" s="1234"/>
      <c r="Z13" s="1234"/>
    </row>
    <row r="14" spans="1:26" ht="15" customHeight="1">
      <c r="A14" s="1234"/>
      <c r="B14" s="1234"/>
      <c r="C14" s="1234"/>
      <c r="D14" s="1234"/>
      <c r="E14" s="1234"/>
      <c r="F14" s="1234"/>
      <c r="G14" s="1234"/>
      <c r="H14" s="1234"/>
      <c r="I14" s="1236"/>
      <c r="J14" s="1236"/>
      <c r="K14" s="1234"/>
      <c r="L14" s="1234"/>
      <c r="M14" s="1234"/>
      <c r="N14" s="1234"/>
      <c r="O14" s="1234"/>
      <c r="P14" s="1234"/>
      <c r="Q14" s="1234"/>
      <c r="R14" s="1234"/>
      <c r="S14" s="1234"/>
      <c r="T14" s="1234"/>
      <c r="U14" s="1234"/>
      <c r="V14" s="1234"/>
      <c r="W14" s="1234"/>
      <c r="X14" s="1234"/>
      <c r="Y14" s="1234"/>
      <c r="Z14" s="1234"/>
    </row>
    <row r="15" spans="1:26">
      <c r="A15" s="1234"/>
      <c r="B15" s="1234"/>
      <c r="C15" s="1234"/>
      <c r="D15" s="1234"/>
      <c r="E15" s="1234"/>
      <c r="F15" s="1234"/>
      <c r="G15" s="1234"/>
      <c r="H15" s="1234"/>
      <c r="I15" s="1234"/>
      <c r="J15" s="1234"/>
      <c r="K15" s="1234"/>
      <c r="L15" s="1234"/>
      <c r="M15" s="1234"/>
      <c r="N15" s="1234"/>
      <c r="O15" s="1234"/>
      <c r="P15" s="1234"/>
      <c r="Q15" s="1234"/>
      <c r="R15" s="1234"/>
      <c r="S15" s="1234"/>
      <c r="T15" s="1234"/>
      <c r="U15" s="1234"/>
      <c r="V15" s="1234"/>
      <c r="W15" s="1234"/>
      <c r="X15" s="1234"/>
      <c r="Y15" s="1234"/>
      <c r="Z15" s="1234"/>
    </row>
    <row r="16" spans="1:26">
      <c r="A16" s="1234"/>
      <c r="B16" s="1234"/>
      <c r="C16" s="1234"/>
      <c r="D16" s="1234"/>
      <c r="E16" s="1234"/>
      <c r="F16" s="1234"/>
      <c r="G16" s="1234"/>
      <c r="H16" s="1234"/>
      <c r="I16" s="1234"/>
      <c r="J16" s="1234"/>
      <c r="K16" s="1234"/>
      <c r="L16" s="1234"/>
      <c r="M16" s="1234"/>
      <c r="N16" s="1234"/>
      <c r="O16" s="1234"/>
      <c r="P16" s="1234"/>
      <c r="Q16" s="1234"/>
      <c r="R16" s="1234"/>
      <c r="S16" s="1234"/>
      <c r="T16" s="1234"/>
      <c r="U16" s="1234"/>
      <c r="V16" s="1234"/>
      <c r="W16" s="1234"/>
      <c r="X16" s="1234"/>
      <c r="Y16" s="1234"/>
      <c r="Z16" s="1234"/>
    </row>
    <row r="17" spans="1:26">
      <c r="A17" s="1234"/>
      <c r="B17" s="1234"/>
      <c r="C17" s="1234"/>
      <c r="D17" s="1234"/>
      <c r="E17" s="1234"/>
      <c r="F17" s="1234"/>
      <c r="G17" s="1234"/>
      <c r="H17" s="1234"/>
      <c r="I17" s="1234"/>
      <c r="J17" s="1234"/>
      <c r="K17" s="1234"/>
      <c r="L17" s="1234"/>
      <c r="M17" s="1234"/>
      <c r="N17" s="1234"/>
      <c r="O17" s="1234"/>
      <c r="P17" s="1234"/>
      <c r="Q17" s="1234"/>
      <c r="R17" s="1234"/>
      <c r="S17" s="1234"/>
      <c r="T17" s="1234"/>
      <c r="U17" s="1234"/>
      <c r="V17" s="1234"/>
      <c r="W17" s="1234"/>
      <c r="X17" s="1234"/>
      <c r="Y17" s="1234"/>
      <c r="Z17" s="1234"/>
    </row>
    <row r="18" spans="1:26">
      <c r="A18" s="1234"/>
      <c r="B18" s="1234"/>
      <c r="C18" s="1234"/>
      <c r="D18" s="1234"/>
      <c r="E18" s="1234"/>
      <c r="F18" s="1234"/>
      <c r="G18" s="1234"/>
      <c r="H18" s="1234"/>
      <c r="I18" s="1234"/>
      <c r="J18" s="1234"/>
      <c r="K18" s="1234"/>
      <c r="L18" s="1234"/>
      <c r="M18" s="1234"/>
      <c r="N18" s="1234"/>
      <c r="O18" s="1234"/>
      <c r="P18" s="1234"/>
      <c r="Q18" s="1234"/>
      <c r="R18" s="1234"/>
      <c r="S18" s="1234"/>
      <c r="T18" s="1234"/>
      <c r="U18" s="1234"/>
      <c r="V18" s="1234"/>
      <c r="W18" s="1234"/>
      <c r="X18" s="1234"/>
      <c r="Y18" s="1234"/>
      <c r="Z18" s="1234"/>
    </row>
    <row r="19" spans="1:26">
      <c r="A19" s="1234"/>
      <c r="B19" s="1234"/>
      <c r="C19" s="1234"/>
      <c r="D19" s="1234"/>
      <c r="E19" s="1234"/>
      <c r="F19" s="1234"/>
      <c r="G19" s="1234"/>
      <c r="H19" s="1234"/>
      <c r="I19" s="1234"/>
      <c r="J19" s="1234"/>
      <c r="K19" s="1234"/>
      <c r="L19" s="1234"/>
      <c r="M19" s="1234"/>
      <c r="N19" s="1234"/>
      <c r="O19" s="1234"/>
      <c r="P19" s="1234"/>
      <c r="Q19" s="1234"/>
      <c r="R19" s="1234"/>
      <c r="S19" s="1234"/>
      <c r="T19" s="1234"/>
      <c r="U19" s="1234"/>
      <c r="V19" s="1234"/>
      <c r="W19" s="1234"/>
      <c r="X19" s="1234"/>
      <c r="Y19" s="1234"/>
      <c r="Z19" s="1234"/>
    </row>
    <row r="20" spans="1:26">
      <c r="A20" s="1234"/>
      <c r="B20" s="1234"/>
      <c r="C20" s="1234"/>
      <c r="D20" s="1234"/>
      <c r="E20" s="1234"/>
      <c r="F20" s="1234"/>
      <c r="G20" s="1234"/>
      <c r="H20" s="1234"/>
      <c r="I20" s="1234"/>
      <c r="J20" s="1234"/>
      <c r="K20" s="1234"/>
      <c r="L20" s="1234"/>
      <c r="M20" s="1234"/>
      <c r="N20" s="1234"/>
      <c r="O20" s="1234"/>
      <c r="P20" s="1234"/>
      <c r="Q20" s="1234"/>
      <c r="R20" s="1234"/>
      <c r="S20" s="1234"/>
      <c r="T20" s="1234"/>
      <c r="U20" s="1234"/>
      <c r="V20" s="1234"/>
      <c r="W20" s="1234"/>
      <c r="X20" s="1234"/>
      <c r="Y20" s="1234"/>
      <c r="Z20" s="1234"/>
    </row>
    <row r="21" spans="1:26">
      <c r="A21" s="1234"/>
      <c r="B21" s="1234"/>
      <c r="C21" s="1234"/>
      <c r="D21" s="1234"/>
      <c r="E21" s="1234"/>
      <c r="F21" s="1234"/>
      <c r="G21" s="1234"/>
      <c r="H21" s="1234"/>
      <c r="I21" s="1234"/>
      <c r="J21" s="1234"/>
      <c r="K21" s="1234"/>
      <c r="L21" s="1234"/>
      <c r="M21" s="1234"/>
      <c r="N21" s="1234"/>
      <c r="O21" s="1234"/>
      <c r="P21" s="1234"/>
      <c r="Q21" s="1234"/>
      <c r="R21" s="1234"/>
      <c r="S21" s="1234"/>
      <c r="T21" s="1234"/>
      <c r="U21" s="1234"/>
      <c r="V21" s="1234"/>
      <c r="W21" s="1234"/>
      <c r="X21" s="1234"/>
      <c r="Y21" s="1234"/>
      <c r="Z21" s="1234"/>
    </row>
    <row r="22" spans="1:26">
      <c r="A22" s="1234"/>
      <c r="B22" s="1234"/>
      <c r="C22" s="1234"/>
      <c r="D22" s="1234"/>
      <c r="E22" s="1234"/>
      <c r="F22" s="1234"/>
      <c r="G22" s="1234"/>
      <c r="H22" s="1234"/>
      <c r="I22" s="1234"/>
      <c r="J22" s="1234"/>
      <c r="K22" s="1234"/>
      <c r="L22" s="1234"/>
      <c r="M22" s="1234"/>
      <c r="N22" s="1234"/>
      <c r="O22" s="1234"/>
      <c r="P22" s="1234"/>
      <c r="Q22" s="1234"/>
      <c r="R22" s="1234"/>
      <c r="S22" s="1234"/>
      <c r="T22" s="1234"/>
      <c r="U22" s="1234"/>
      <c r="V22" s="1234"/>
      <c r="W22" s="1234"/>
      <c r="X22" s="1234"/>
      <c r="Y22" s="1234"/>
      <c r="Z22" s="1234"/>
    </row>
    <row r="23" spans="1:26">
      <c r="A23" s="1234"/>
      <c r="B23" s="1234"/>
      <c r="C23" s="1234"/>
      <c r="D23" s="1234"/>
      <c r="E23" s="1234"/>
      <c r="F23" s="1234"/>
      <c r="G23" s="1234"/>
      <c r="H23" s="1234"/>
      <c r="I23" s="1234"/>
      <c r="J23" s="1234"/>
      <c r="K23" s="1234"/>
      <c r="L23" s="1234"/>
      <c r="M23" s="1234"/>
      <c r="N23" s="1234"/>
      <c r="O23" s="1234"/>
      <c r="P23" s="1234"/>
      <c r="Q23" s="1234"/>
      <c r="R23" s="1234"/>
      <c r="S23" s="1234"/>
      <c r="T23" s="1234"/>
      <c r="U23" s="1234"/>
      <c r="V23" s="1234"/>
      <c r="W23" s="1234"/>
      <c r="X23" s="1234"/>
      <c r="Y23" s="1234"/>
      <c r="Z23" s="1234"/>
    </row>
    <row r="24" spans="1:26">
      <c r="A24" s="1234"/>
      <c r="B24" s="1234"/>
      <c r="C24" s="1234"/>
      <c r="D24" s="1234"/>
      <c r="E24" s="1234"/>
      <c r="F24" s="1234"/>
      <c r="G24" s="1234"/>
      <c r="H24" s="1234"/>
      <c r="I24" s="1234"/>
      <c r="J24" s="1234"/>
      <c r="K24" s="1234"/>
      <c r="L24" s="1234"/>
      <c r="M24" s="1234"/>
      <c r="N24" s="1234"/>
      <c r="O24" s="1234"/>
      <c r="P24" s="1234"/>
      <c r="Q24" s="1234"/>
      <c r="R24" s="1234"/>
      <c r="S24" s="1234"/>
      <c r="T24" s="1234"/>
      <c r="U24" s="1234"/>
      <c r="V24" s="1234"/>
      <c r="W24" s="1234"/>
      <c r="X24" s="1234"/>
      <c r="Y24" s="1234"/>
      <c r="Z24" s="1234"/>
    </row>
    <row r="25" spans="1:26">
      <c r="A25" s="1234"/>
      <c r="B25" s="1234"/>
      <c r="C25" s="1234"/>
      <c r="D25" s="1234"/>
      <c r="E25" s="1234"/>
      <c r="F25" s="1234"/>
      <c r="G25" s="1234"/>
      <c r="H25" s="1234"/>
      <c r="I25" s="1234"/>
      <c r="J25" s="1234"/>
      <c r="K25" s="1234"/>
      <c r="L25" s="1234"/>
      <c r="M25" s="1234"/>
      <c r="N25" s="1234"/>
      <c r="O25" s="1234"/>
      <c r="P25" s="1234"/>
      <c r="Q25" s="1234"/>
      <c r="R25" s="1234"/>
      <c r="S25" s="1234"/>
      <c r="T25" s="1234"/>
      <c r="U25" s="1234"/>
      <c r="V25" s="1234"/>
      <c r="W25" s="1234"/>
      <c r="X25" s="1234"/>
      <c r="Y25" s="1234"/>
      <c r="Z25" s="1234"/>
    </row>
    <row r="26" spans="1:26">
      <c r="A26" s="1234"/>
      <c r="B26" s="1234"/>
      <c r="C26" s="1234"/>
      <c r="D26" s="1234"/>
      <c r="E26" s="1234"/>
      <c r="F26" s="1234"/>
      <c r="G26" s="1234"/>
      <c r="H26" s="1234"/>
      <c r="I26" s="1234"/>
      <c r="J26" s="1234"/>
      <c r="K26" s="1234"/>
      <c r="L26" s="1234"/>
      <c r="M26" s="1234"/>
      <c r="N26" s="1234"/>
      <c r="O26" s="1234"/>
      <c r="P26" s="1234"/>
      <c r="Q26" s="1234"/>
      <c r="R26" s="1234"/>
      <c r="S26" s="1234"/>
      <c r="T26" s="1234"/>
      <c r="U26" s="1234"/>
      <c r="V26" s="1234"/>
      <c r="W26" s="1234"/>
      <c r="X26" s="1234"/>
      <c r="Y26" s="1234"/>
      <c r="Z26" s="1234"/>
    </row>
    <row r="27" spans="1:26">
      <c r="A27" s="1234"/>
      <c r="B27" s="1234"/>
      <c r="C27" s="1234"/>
      <c r="D27" s="1234"/>
      <c r="E27" s="1234"/>
      <c r="F27" s="1234"/>
      <c r="G27" s="1234"/>
      <c r="H27" s="1234"/>
      <c r="I27" s="1234"/>
      <c r="J27" s="1234"/>
      <c r="K27" s="1234"/>
      <c r="L27" s="1234"/>
      <c r="M27" s="1234"/>
      <c r="N27" s="1234"/>
      <c r="O27" s="1234"/>
      <c r="P27" s="1234"/>
      <c r="Q27" s="1234"/>
      <c r="R27" s="1234"/>
      <c r="S27" s="1234"/>
      <c r="T27" s="1234"/>
      <c r="U27" s="1234"/>
      <c r="V27" s="1234"/>
      <c r="W27" s="1234"/>
      <c r="X27" s="1234"/>
      <c r="Y27" s="1234"/>
      <c r="Z27" s="1234"/>
    </row>
    <row r="28" spans="1:26">
      <c r="A28" s="1234"/>
      <c r="B28" s="1234"/>
      <c r="C28" s="1234"/>
      <c r="D28" s="1234"/>
      <c r="E28" s="1234"/>
      <c r="F28" s="1234"/>
      <c r="G28" s="1234"/>
      <c r="H28" s="1234"/>
      <c r="I28" s="1234"/>
      <c r="J28" s="1234"/>
      <c r="K28" s="1234"/>
      <c r="L28" s="1234"/>
      <c r="M28" s="1234"/>
      <c r="N28" s="1234"/>
      <c r="O28" s="1234"/>
      <c r="P28" s="1234"/>
      <c r="Q28" s="1234"/>
      <c r="R28" s="1234"/>
      <c r="S28" s="1234"/>
      <c r="T28" s="1234"/>
      <c r="U28" s="1234"/>
      <c r="V28" s="1234"/>
      <c r="W28" s="1234"/>
      <c r="X28" s="1234"/>
      <c r="Y28" s="1234"/>
      <c r="Z28" s="1234"/>
    </row>
    <row r="29" spans="1:26">
      <c r="A29" s="1234"/>
      <c r="B29" s="1234"/>
      <c r="C29" s="1234"/>
      <c r="D29" s="1234"/>
      <c r="E29" s="1234"/>
      <c r="F29" s="1234"/>
      <c r="G29" s="1234"/>
      <c r="H29" s="1234"/>
      <c r="I29" s="1234"/>
      <c r="J29" s="1234"/>
      <c r="K29" s="1234"/>
      <c r="L29" s="1234"/>
      <c r="M29" s="1234"/>
      <c r="N29" s="1234"/>
      <c r="O29" s="1234"/>
      <c r="P29" s="1234"/>
      <c r="Q29" s="1234"/>
      <c r="R29" s="1234"/>
      <c r="S29" s="1234"/>
      <c r="T29" s="1234"/>
      <c r="U29" s="1234"/>
      <c r="V29" s="1234"/>
      <c r="W29" s="1234"/>
      <c r="X29" s="1234"/>
      <c r="Y29" s="1234"/>
      <c r="Z29" s="1234"/>
    </row>
    <row r="30" spans="1:26">
      <c r="A30" s="1234"/>
      <c r="B30" s="1234"/>
      <c r="C30" s="1234"/>
      <c r="D30" s="1234"/>
      <c r="E30" s="1234"/>
      <c r="F30" s="1234"/>
      <c r="G30" s="1234"/>
      <c r="H30" s="1234"/>
      <c r="I30" s="1234"/>
      <c r="J30" s="1234"/>
      <c r="K30" s="1234"/>
      <c r="L30" s="1234"/>
      <c r="M30" s="1234"/>
      <c r="N30" s="1234"/>
      <c r="O30" s="1234"/>
      <c r="P30" s="1234"/>
      <c r="Q30" s="1234"/>
      <c r="R30" s="1234"/>
      <c r="S30" s="1234"/>
      <c r="T30" s="1234"/>
      <c r="U30" s="1234"/>
      <c r="V30" s="1234"/>
      <c r="W30" s="1234"/>
      <c r="X30" s="1234"/>
      <c r="Y30" s="1234"/>
      <c r="Z30" s="1234"/>
    </row>
    <row r="31" spans="1:26">
      <c r="A31" s="1234"/>
      <c r="B31" s="1234"/>
      <c r="C31" s="1234"/>
      <c r="D31" s="1234"/>
      <c r="E31" s="1234"/>
      <c r="F31" s="1234"/>
      <c r="G31" s="1234"/>
      <c r="H31" s="1234"/>
      <c r="I31" s="1234"/>
      <c r="J31" s="1234"/>
      <c r="K31" s="1234"/>
      <c r="L31" s="1234"/>
      <c r="M31" s="1234"/>
      <c r="N31" s="1234"/>
      <c r="O31" s="1234"/>
      <c r="P31" s="1234"/>
      <c r="Q31" s="1234"/>
      <c r="R31" s="1234"/>
      <c r="S31" s="1234"/>
      <c r="T31" s="1234"/>
      <c r="U31" s="1234"/>
      <c r="V31" s="1234"/>
      <c r="W31" s="1234"/>
      <c r="X31" s="1234"/>
      <c r="Y31" s="1234"/>
      <c r="Z31" s="1234"/>
    </row>
    <row r="32" spans="1:26">
      <c r="A32" s="1234"/>
      <c r="B32" s="1234"/>
      <c r="C32" s="1234"/>
      <c r="D32" s="1234"/>
      <c r="E32" s="1234"/>
      <c r="F32" s="1234"/>
      <c r="G32" s="1234"/>
      <c r="H32" s="1234"/>
      <c r="I32" s="1234"/>
      <c r="J32" s="1234"/>
      <c r="K32" s="1234"/>
      <c r="L32" s="1234"/>
      <c r="M32" s="1234"/>
      <c r="N32" s="1234"/>
      <c r="O32" s="1234"/>
      <c r="P32" s="1234"/>
      <c r="Q32" s="1234"/>
      <c r="R32" s="1234"/>
      <c r="S32" s="1234"/>
      <c r="T32" s="1234"/>
      <c r="U32" s="1234"/>
      <c r="V32" s="1234"/>
      <c r="W32" s="1234"/>
      <c r="X32" s="1234"/>
      <c r="Y32" s="1234"/>
      <c r="Z32" s="1234"/>
    </row>
    <row r="33" spans="1:26">
      <c r="A33" s="1234"/>
      <c r="B33" s="1234"/>
      <c r="C33" s="1234"/>
      <c r="D33" s="1234"/>
      <c r="E33" s="1234"/>
      <c r="F33" s="1234"/>
      <c r="G33" s="1234"/>
      <c r="H33" s="1234"/>
      <c r="I33" s="1234"/>
      <c r="J33" s="1234"/>
      <c r="K33" s="1234"/>
      <c r="L33" s="1234"/>
      <c r="M33" s="1234"/>
      <c r="N33" s="1234"/>
      <c r="O33" s="1234"/>
      <c r="P33" s="1234"/>
      <c r="Q33" s="1234"/>
      <c r="R33" s="1234"/>
      <c r="S33" s="1234"/>
      <c r="T33" s="1234"/>
      <c r="U33" s="1234"/>
      <c r="V33" s="1234"/>
      <c r="W33" s="1234"/>
      <c r="X33" s="1234"/>
      <c r="Y33" s="1234"/>
      <c r="Z33" s="1234"/>
    </row>
    <row r="34" spans="1:26">
      <c r="A34" s="1234"/>
      <c r="B34" s="1234"/>
      <c r="C34" s="1234"/>
      <c r="D34" s="1234"/>
      <c r="E34" s="1234"/>
      <c r="F34" s="1234"/>
      <c r="G34" s="1234"/>
      <c r="H34" s="1234"/>
      <c r="I34" s="1234"/>
      <c r="J34" s="1234"/>
      <c r="K34" s="1234"/>
      <c r="L34" s="1234"/>
      <c r="M34" s="1234"/>
      <c r="N34" s="1234"/>
      <c r="O34" s="1234"/>
      <c r="P34" s="1234"/>
      <c r="Q34" s="1234"/>
      <c r="R34" s="1234"/>
      <c r="S34" s="1234"/>
      <c r="T34" s="1234"/>
      <c r="U34" s="1234"/>
      <c r="V34" s="1234"/>
      <c r="W34" s="1234"/>
      <c r="X34" s="1234"/>
      <c r="Y34" s="1234"/>
      <c r="Z34" s="1234"/>
    </row>
    <row r="35" spans="1:26">
      <c r="A35" s="1234"/>
      <c r="B35" s="1234"/>
      <c r="C35" s="1234"/>
      <c r="D35" s="1234"/>
      <c r="E35" s="1234"/>
      <c r="F35" s="1234"/>
      <c r="G35" s="1234"/>
      <c r="H35" s="1234"/>
      <c r="I35" s="1234"/>
      <c r="J35" s="1234"/>
      <c r="K35" s="1234"/>
      <c r="L35" s="1234"/>
      <c r="M35" s="1234"/>
      <c r="N35" s="1234"/>
      <c r="O35" s="1234"/>
      <c r="P35" s="1234"/>
      <c r="Q35" s="1234"/>
      <c r="R35" s="1234"/>
      <c r="S35" s="1234"/>
      <c r="T35" s="1234"/>
      <c r="U35" s="1234"/>
      <c r="V35" s="1234"/>
      <c r="W35" s="1234"/>
      <c r="X35" s="1234"/>
      <c r="Y35" s="1234"/>
      <c r="Z35" s="1234"/>
    </row>
    <row r="36" spans="1:26">
      <c r="A36" s="1234"/>
      <c r="B36" s="1234"/>
      <c r="C36" s="1234"/>
      <c r="D36" s="1234"/>
      <c r="E36" s="1234"/>
      <c r="F36" s="1234"/>
      <c r="G36" s="1234"/>
      <c r="H36" s="1234"/>
      <c r="I36" s="1234"/>
      <c r="J36" s="1234"/>
      <c r="K36" s="1234"/>
      <c r="L36" s="1234"/>
      <c r="M36" s="1234"/>
      <c r="N36" s="1234"/>
      <c r="O36" s="1234"/>
      <c r="P36" s="1234"/>
      <c r="Q36" s="1234"/>
      <c r="R36" s="1234"/>
      <c r="S36" s="1234"/>
      <c r="T36" s="1234"/>
      <c r="U36" s="1234"/>
      <c r="V36" s="1234"/>
      <c r="W36" s="1234"/>
      <c r="X36" s="1234"/>
      <c r="Y36" s="1234"/>
      <c r="Z36" s="1234"/>
    </row>
    <row r="37" spans="1:26">
      <c r="A37" s="1234"/>
      <c r="B37" s="1234"/>
      <c r="C37" s="1234"/>
      <c r="D37" s="1234"/>
      <c r="E37" s="1234"/>
      <c r="F37" s="1234"/>
      <c r="G37" s="1234"/>
      <c r="H37" s="1234"/>
      <c r="I37" s="1234"/>
      <c r="J37" s="1234"/>
      <c r="K37" s="1234"/>
      <c r="L37" s="1234"/>
      <c r="M37" s="1234"/>
      <c r="N37" s="1234"/>
      <c r="O37" s="1234"/>
      <c r="P37" s="1234"/>
      <c r="Q37" s="1234"/>
      <c r="R37" s="1234"/>
      <c r="S37" s="1234"/>
      <c r="T37" s="1234"/>
      <c r="U37" s="1234"/>
      <c r="V37" s="1234"/>
      <c r="W37" s="1234"/>
      <c r="X37" s="1234"/>
      <c r="Y37" s="1234"/>
      <c r="Z37" s="1234"/>
    </row>
    <row r="38" spans="1:26">
      <c r="A38" s="1234"/>
      <c r="B38" s="1234"/>
      <c r="C38" s="1234"/>
      <c r="D38" s="1234"/>
      <c r="E38" s="1234"/>
      <c r="F38" s="1234"/>
      <c r="G38" s="1234"/>
      <c r="H38" s="1234"/>
      <c r="I38" s="1234"/>
      <c r="J38" s="1234"/>
      <c r="K38" s="1234"/>
      <c r="L38" s="1234"/>
      <c r="M38" s="1234"/>
      <c r="N38" s="1234"/>
      <c r="O38" s="1234"/>
      <c r="P38" s="1234"/>
      <c r="Q38" s="1234"/>
      <c r="R38" s="1234"/>
      <c r="S38" s="1234"/>
      <c r="T38" s="1234"/>
      <c r="U38" s="1234"/>
      <c r="V38" s="1234"/>
      <c r="W38" s="1234"/>
      <c r="X38" s="1234"/>
      <c r="Y38" s="1234"/>
      <c r="Z38" s="1234"/>
    </row>
    <row r="39" spans="1:26">
      <c r="A39" s="1234"/>
      <c r="B39" s="1234"/>
      <c r="C39" s="1234"/>
      <c r="D39" s="1234"/>
      <c r="E39" s="1234"/>
      <c r="F39" s="1234"/>
      <c r="G39" s="1234"/>
      <c r="H39" s="1234"/>
      <c r="I39" s="1234"/>
      <c r="J39" s="1234"/>
      <c r="K39" s="1234"/>
      <c r="L39" s="1234"/>
      <c r="M39" s="1234"/>
      <c r="N39" s="1234"/>
      <c r="O39" s="1234"/>
      <c r="P39" s="1234"/>
      <c r="Q39" s="1234"/>
      <c r="R39" s="1234"/>
      <c r="S39" s="1234"/>
      <c r="T39" s="1234"/>
      <c r="U39" s="1234"/>
      <c r="V39" s="1234"/>
      <c r="W39" s="1234"/>
      <c r="X39" s="1234"/>
      <c r="Y39" s="1234"/>
      <c r="Z39" s="1234"/>
    </row>
    <row r="40" spans="1:26">
      <c r="A40" s="1234"/>
      <c r="B40" s="1234"/>
      <c r="C40" s="1234"/>
      <c r="D40" s="1234"/>
      <c r="E40" s="1234"/>
      <c r="F40" s="1234"/>
      <c r="G40" s="1234"/>
      <c r="H40" s="1234"/>
      <c r="I40" s="1234"/>
      <c r="J40" s="1234"/>
      <c r="K40" s="1234"/>
      <c r="L40" s="1234"/>
      <c r="M40" s="1234"/>
      <c r="N40" s="1234"/>
      <c r="O40" s="1234"/>
      <c r="P40" s="1234"/>
      <c r="Q40" s="1234"/>
      <c r="R40" s="1234"/>
      <c r="S40" s="1234"/>
      <c r="T40" s="1234"/>
      <c r="U40" s="1234"/>
      <c r="V40" s="1234"/>
      <c r="W40" s="1234"/>
      <c r="X40" s="1234"/>
      <c r="Y40" s="1234"/>
      <c r="Z40" s="1234"/>
    </row>
    <row r="41" spans="1:26">
      <c r="A41" s="1234"/>
      <c r="B41" s="1234"/>
      <c r="C41" s="1234"/>
      <c r="D41" s="1234"/>
      <c r="E41" s="1234"/>
      <c r="F41" s="1234"/>
      <c r="G41" s="1234"/>
      <c r="H41" s="1234"/>
      <c r="I41" s="1234"/>
      <c r="J41" s="1234"/>
      <c r="K41" s="1234"/>
      <c r="L41" s="1234"/>
      <c r="M41" s="1234"/>
      <c r="N41" s="1234"/>
      <c r="O41" s="1234"/>
      <c r="P41" s="1234"/>
      <c r="Q41" s="1234"/>
      <c r="R41" s="1234"/>
      <c r="S41" s="1234"/>
      <c r="T41" s="1234"/>
      <c r="U41" s="1234"/>
      <c r="V41" s="1234"/>
      <c r="W41" s="1234"/>
      <c r="X41" s="1234"/>
      <c r="Y41" s="1234"/>
      <c r="Z41" s="1234"/>
    </row>
    <row r="42" spans="1:26">
      <c r="A42" s="1234"/>
      <c r="B42" s="1234"/>
      <c r="C42" s="1234"/>
      <c r="D42" s="1234"/>
      <c r="E42" s="1234"/>
      <c r="F42" s="1234"/>
      <c r="G42" s="1234"/>
      <c r="H42" s="1234"/>
      <c r="I42" s="1234"/>
      <c r="J42" s="1234"/>
      <c r="K42" s="1234"/>
      <c r="L42" s="1234"/>
      <c r="M42" s="1234"/>
      <c r="N42" s="1234"/>
      <c r="O42" s="1234"/>
      <c r="P42" s="1234"/>
      <c r="Q42" s="1234"/>
      <c r="R42" s="1234"/>
      <c r="S42" s="1234"/>
      <c r="T42" s="1234"/>
      <c r="U42" s="1234"/>
      <c r="V42" s="1234"/>
      <c r="W42" s="1234"/>
      <c r="X42" s="1234"/>
      <c r="Y42" s="1234"/>
      <c r="Z42" s="1234"/>
    </row>
    <row r="43" spans="1:26">
      <c r="A43" s="1234"/>
      <c r="B43" s="1234"/>
      <c r="C43" s="1234"/>
      <c r="D43" s="1234"/>
      <c r="E43" s="1234"/>
      <c r="F43" s="1234"/>
      <c r="G43" s="1234"/>
      <c r="H43" s="1234"/>
      <c r="I43" s="1234"/>
      <c r="J43" s="1234"/>
      <c r="K43" s="1234"/>
      <c r="L43" s="1234"/>
      <c r="M43" s="1234"/>
      <c r="N43" s="1234"/>
      <c r="O43" s="1234"/>
      <c r="P43" s="1234"/>
      <c r="Q43" s="1234"/>
      <c r="R43" s="1234"/>
      <c r="S43" s="1234"/>
      <c r="T43" s="1234"/>
      <c r="U43" s="1234"/>
      <c r="V43" s="1234"/>
      <c r="W43" s="1234"/>
      <c r="X43" s="1234"/>
      <c r="Y43" s="1234"/>
      <c r="Z43" s="1234"/>
    </row>
    <row r="44" spans="1:26">
      <c r="A44" s="1234"/>
      <c r="B44" s="1234"/>
      <c r="C44" s="1234"/>
      <c r="D44" s="1234"/>
      <c r="E44" s="1234"/>
      <c r="F44" s="1234"/>
      <c r="G44" s="1234"/>
      <c r="H44" s="1234"/>
      <c r="I44" s="1234"/>
      <c r="J44" s="1234"/>
      <c r="K44" s="1234"/>
      <c r="L44" s="1234"/>
      <c r="M44" s="1234"/>
      <c r="N44" s="1234"/>
      <c r="O44" s="1234"/>
      <c r="P44" s="1234"/>
      <c r="Q44" s="1234"/>
      <c r="R44" s="1234"/>
      <c r="S44" s="1234"/>
      <c r="T44" s="1234"/>
      <c r="U44" s="1234"/>
      <c r="V44" s="1234"/>
      <c r="W44" s="1234"/>
      <c r="X44" s="1234"/>
      <c r="Y44" s="1234"/>
      <c r="Z44" s="1234"/>
    </row>
    <row r="45" spans="1:26">
      <c r="A45" s="1234"/>
      <c r="B45" s="1234"/>
      <c r="C45" s="1234"/>
      <c r="D45" s="1234"/>
      <c r="E45" s="1234"/>
      <c r="F45" s="1234"/>
      <c r="G45" s="1234"/>
      <c r="H45" s="1234"/>
      <c r="I45" s="1234"/>
      <c r="J45" s="1234"/>
      <c r="K45" s="1234"/>
      <c r="L45" s="1234"/>
      <c r="M45" s="1234"/>
      <c r="N45" s="1234"/>
      <c r="O45" s="1234"/>
      <c r="P45" s="1234"/>
      <c r="Q45" s="1234"/>
      <c r="R45" s="1234"/>
      <c r="S45" s="1234"/>
      <c r="T45" s="1234"/>
      <c r="U45" s="1234"/>
      <c r="V45" s="1234"/>
      <c r="W45" s="1234"/>
      <c r="X45" s="1234"/>
      <c r="Y45" s="1234"/>
      <c r="Z45" s="1234"/>
    </row>
    <row r="46" spans="1:26">
      <c r="A46" s="1234"/>
      <c r="B46" s="1234"/>
      <c r="C46" s="1234"/>
      <c r="D46" s="1234"/>
      <c r="E46" s="1234"/>
      <c r="F46" s="1234"/>
      <c r="G46" s="1234"/>
      <c r="H46" s="1234"/>
      <c r="I46" s="1234"/>
      <c r="J46" s="1234"/>
      <c r="K46" s="1234"/>
      <c r="L46" s="1234"/>
      <c r="M46" s="1234"/>
      <c r="N46" s="1234"/>
      <c r="O46" s="1234"/>
      <c r="P46" s="1234"/>
      <c r="Q46" s="1234"/>
      <c r="R46" s="1234"/>
      <c r="S46" s="1234"/>
      <c r="T46" s="1234"/>
      <c r="U46" s="1234"/>
      <c r="V46" s="1234"/>
      <c r="W46" s="1234"/>
      <c r="X46" s="1234"/>
      <c r="Y46" s="1234"/>
      <c r="Z46" s="1234"/>
    </row>
    <row r="47" spans="1:26">
      <c r="A47" s="1234"/>
      <c r="B47" s="1234"/>
      <c r="C47" s="1234"/>
      <c r="D47" s="1234"/>
      <c r="E47" s="1234"/>
      <c r="F47" s="1234"/>
      <c r="G47" s="1234"/>
      <c r="H47" s="1234"/>
      <c r="I47" s="1234"/>
      <c r="J47" s="1234"/>
      <c r="K47" s="1234"/>
      <c r="L47" s="1234"/>
      <c r="M47" s="1234"/>
      <c r="N47" s="1234"/>
      <c r="O47" s="1234"/>
      <c r="P47" s="1234"/>
      <c r="Q47" s="1234"/>
      <c r="R47" s="1234"/>
      <c r="S47" s="1234"/>
      <c r="T47" s="1234"/>
      <c r="U47" s="1234"/>
      <c r="V47" s="1234"/>
      <c r="W47" s="1234"/>
      <c r="X47" s="1234"/>
      <c r="Y47" s="1234"/>
      <c r="Z47" s="1234"/>
    </row>
    <row r="48" spans="1:26">
      <c r="A48" s="1234"/>
      <c r="B48" s="1234"/>
      <c r="C48" s="1234"/>
      <c r="D48" s="1234"/>
      <c r="E48" s="1234"/>
      <c r="F48" s="1234"/>
      <c r="G48" s="1234"/>
      <c r="H48" s="1234"/>
      <c r="I48" s="1234"/>
      <c r="J48" s="1234"/>
      <c r="K48" s="1234"/>
      <c r="L48" s="1234"/>
      <c r="M48" s="1234"/>
      <c r="N48" s="1234"/>
      <c r="O48" s="1234"/>
      <c r="P48" s="1234"/>
      <c r="Q48" s="1234"/>
      <c r="R48" s="1234"/>
      <c r="S48" s="1234"/>
      <c r="T48" s="1234"/>
      <c r="U48" s="1234"/>
      <c r="V48" s="1234"/>
      <c r="W48" s="1234"/>
      <c r="X48" s="1234"/>
      <c r="Y48" s="1234"/>
      <c r="Z48" s="1234"/>
    </row>
    <row r="49" spans="1:26">
      <c r="A49" s="1234"/>
      <c r="B49" s="1234"/>
      <c r="C49" s="1234"/>
      <c r="D49" s="1234"/>
      <c r="E49" s="1234"/>
      <c r="F49" s="1234"/>
      <c r="G49" s="1234"/>
      <c r="H49" s="1234"/>
      <c r="I49" s="1234"/>
      <c r="J49" s="1234"/>
      <c r="K49" s="1234"/>
      <c r="L49" s="1234"/>
      <c r="M49" s="1234"/>
      <c r="N49" s="1234"/>
      <c r="O49" s="1234"/>
      <c r="P49" s="1234"/>
      <c r="Q49" s="1234"/>
      <c r="R49" s="1234"/>
      <c r="S49" s="1234"/>
      <c r="T49" s="1234"/>
      <c r="U49" s="1234"/>
      <c r="V49" s="1234"/>
      <c r="W49" s="1234"/>
      <c r="X49" s="1234"/>
      <c r="Y49" s="1234"/>
      <c r="Z49" s="1234"/>
    </row>
    <row r="50" spans="1:26">
      <c r="A50" s="1234"/>
      <c r="B50" s="1234"/>
      <c r="C50" s="1234"/>
      <c r="D50" s="1234"/>
      <c r="E50" s="1234"/>
      <c r="F50" s="1234"/>
      <c r="G50" s="1234"/>
      <c r="H50" s="1234"/>
      <c r="I50" s="1234"/>
      <c r="J50" s="1234"/>
      <c r="K50" s="1234"/>
      <c r="L50" s="1234"/>
      <c r="M50" s="1234"/>
      <c r="N50" s="1234"/>
      <c r="O50" s="1234"/>
      <c r="P50" s="1234"/>
      <c r="Q50" s="1234"/>
      <c r="R50" s="1234"/>
      <c r="S50" s="1234"/>
      <c r="T50" s="1234"/>
      <c r="U50" s="1234"/>
      <c r="V50" s="1234"/>
      <c r="W50" s="1234"/>
      <c r="X50" s="1234"/>
      <c r="Y50" s="1234"/>
      <c r="Z50" s="1234"/>
    </row>
    <row r="51" spans="1:26" ht="14.5">
      <c r="A51" s="1234"/>
      <c r="B51" s="1234"/>
      <c r="C51" s="1234"/>
      <c r="D51" s="1234"/>
      <c r="E51" s="1234"/>
      <c r="F51" s="1234"/>
      <c r="G51" s="1234"/>
      <c r="H51" s="1234"/>
      <c r="I51" s="1234"/>
      <c r="J51" s="1234"/>
      <c r="K51" s="1234"/>
      <c r="L51" s="1234"/>
      <c r="M51" s="1234"/>
      <c r="N51" s="1234"/>
      <c r="O51" s="1234"/>
      <c r="P51" s="1234"/>
      <c r="Q51" s="1234"/>
      <c r="R51" s="1234"/>
      <c r="S51" s="1234"/>
      <c r="T51" s="1234"/>
      <c r="U51" s="1234"/>
      <c r="V51" s="1234"/>
      <c r="W51" s="1234"/>
      <c r="X51" s="1234"/>
      <c r="Y51" s="1234"/>
      <c r="Z51" s="1234"/>
    </row>
    <row r="52" spans="1:26" ht="14.5">
      <c r="A52" s="1234"/>
      <c r="B52" s="1234"/>
      <c r="C52" s="1234"/>
      <c r="D52" s="1234"/>
      <c r="E52" s="1234"/>
      <c r="F52" s="1234"/>
      <c r="G52" s="1234"/>
      <c r="H52" s="1234"/>
      <c r="I52" s="1234"/>
      <c r="J52" s="1234"/>
      <c r="K52" s="1234"/>
      <c r="L52" s="1234"/>
      <c r="M52" s="1234"/>
      <c r="N52" s="1234"/>
      <c r="O52" s="1234"/>
      <c r="P52" s="1234"/>
      <c r="Q52" s="1234"/>
      <c r="R52" s="1234"/>
      <c r="S52" s="1234"/>
      <c r="T52" s="1234"/>
      <c r="U52" s="1234"/>
      <c r="V52" s="1234"/>
      <c r="W52" s="1234"/>
      <c r="X52" s="1234"/>
      <c r="Y52" s="1234"/>
      <c r="Z52" s="1234"/>
    </row>
    <row r="53" spans="1:26" ht="14.5">
      <c r="A53" s="1234"/>
      <c r="B53" s="1234"/>
      <c r="C53" s="1234"/>
      <c r="D53" s="1234"/>
      <c r="E53" s="1234"/>
      <c r="F53" s="1234"/>
      <c r="G53" s="1234"/>
      <c r="H53" s="1234"/>
      <c r="I53" s="1234"/>
      <c r="J53" s="1234"/>
      <c r="K53" s="1234"/>
      <c r="L53" s="1234"/>
      <c r="M53" s="1234"/>
      <c r="N53" s="1234"/>
      <c r="O53" s="1234"/>
      <c r="P53" s="1234"/>
      <c r="Q53" s="1234"/>
      <c r="R53" s="1234"/>
      <c r="S53" s="1234"/>
      <c r="T53" s="1234"/>
      <c r="U53" s="1234"/>
      <c r="V53" s="1234"/>
      <c r="W53" s="1234"/>
      <c r="X53" s="1234"/>
      <c r="Y53" s="1234"/>
      <c r="Z53" s="1234"/>
    </row>
    <row r="54" spans="1:26" ht="14.5">
      <c r="A54" s="1234"/>
      <c r="B54" s="1234"/>
      <c r="C54" s="1234"/>
      <c r="D54" s="1234"/>
      <c r="E54" s="1234"/>
      <c r="F54" s="1234"/>
      <c r="G54" s="1234"/>
      <c r="H54" s="1234"/>
      <c r="I54" s="1234"/>
      <c r="J54" s="1234"/>
      <c r="K54" s="1234"/>
      <c r="L54" s="1234"/>
      <c r="M54" s="1234"/>
      <c r="N54" s="1234"/>
      <c r="O54" s="1234"/>
      <c r="P54" s="1234"/>
      <c r="Q54" s="1234"/>
      <c r="R54" s="1234"/>
      <c r="S54" s="1234"/>
      <c r="T54" s="1234"/>
      <c r="U54" s="1234"/>
      <c r="V54" s="1234"/>
      <c r="W54" s="1234"/>
      <c r="X54" s="1234"/>
      <c r="Y54" s="1234"/>
      <c r="Z54" s="1234"/>
    </row>
    <row r="55" spans="1:26" ht="14.5">
      <c r="A55" s="1234"/>
      <c r="B55" s="1234"/>
      <c r="C55" s="1234"/>
      <c r="D55" s="1234"/>
      <c r="E55" s="1234"/>
      <c r="F55" s="1234"/>
      <c r="G55" s="1234"/>
      <c r="H55" s="1234"/>
      <c r="I55" s="1234"/>
      <c r="J55" s="1234"/>
      <c r="K55" s="1234"/>
      <c r="L55" s="1234"/>
      <c r="M55" s="1234"/>
      <c r="N55" s="1234"/>
      <c r="O55" s="1234"/>
      <c r="P55" s="1234"/>
      <c r="Q55" s="1234"/>
      <c r="R55" s="1234"/>
      <c r="S55" s="1234"/>
      <c r="T55" s="1234"/>
      <c r="U55" s="1234"/>
      <c r="V55" s="1234"/>
      <c r="W55" s="1234"/>
      <c r="X55" s="1234"/>
      <c r="Y55" s="1234"/>
      <c r="Z55" s="1234"/>
    </row>
    <row r="56" spans="1:26" ht="14.5">
      <c r="A56" s="1234"/>
      <c r="B56" s="1234"/>
      <c r="C56" s="1234"/>
      <c r="D56" s="1234"/>
      <c r="E56" s="1234"/>
      <c r="F56" s="1234"/>
      <c r="G56" s="1234"/>
      <c r="H56" s="1234"/>
      <c r="I56" s="1234"/>
      <c r="J56" s="1234"/>
      <c r="K56" s="1234"/>
      <c r="L56" s="1234"/>
      <c r="M56" s="1234"/>
      <c r="N56" s="1234"/>
      <c r="O56" s="1234"/>
      <c r="P56" s="1234"/>
      <c r="Q56" s="1234"/>
      <c r="R56" s="1234"/>
      <c r="S56" s="1234"/>
      <c r="T56" s="1234"/>
      <c r="U56" s="1234"/>
      <c r="V56" s="1234"/>
      <c r="W56" s="1234"/>
      <c r="X56" s="1234"/>
      <c r="Y56" s="1234"/>
      <c r="Z56" s="1234"/>
    </row>
    <row r="57" spans="1:26" ht="14.5">
      <c r="A57" s="1234"/>
      <c r="B57" s="1234"/>
      <c r="C57" s="1234"/>
      <c r="D57" s="1234"/>
      <c r="E57" s="1234"/>
      <c r="F57" s="1234"/>
      <c r="G57" s="1234"/>
      <c r="H57" s="1234"/>
      <c r="I57" s="1234"/>
      <c r="J57" s="1234"/>
      <c r="K57" s="1234"/>
      <c r="L57" s="1234"/>
      <c r="M57" s="1234"/>
      <c r="N57" s="1234"/>
      <c r="O57" s="1234"/>
      <c r="P57" s="1234"/>
      <c r="Q57" s="1234"/>
      <c r="R57" s="1234"/>
      <c r="S57" s="1234"/>
      <c r="T57" s="1234"/>
      <c r="U57" s="1234"/>
      <c r="V57" s="1234"/>
      <c r="W57" s="1234"/>
      <c r="X57" s="1234"/>
      <c r="Y57" s="1234"/>
      <c r="Z57" s="1234"/>
    </row>
    <row r="58" spans="1:26" ht="14.5">
      <c r="A58" s="1234"/>
      <c r="B58" s="1234"/>
      <c r="C58" s="1234"/>
      <c r="D58" s="1234"/>
      <c r="E58" s="1234"/>
      <c r="F58" s="1234"/>
      <c r="G58" s="1234"/>
      <c r="H58" s="1234"/>
      <c r="I58" s="1234"/>
      <c r="J58" s="1234"/>
      <c r="K58" s="1234"/>
      <c r="L58" s="1234"/>
      <c r="M58" s="1234"/>
      <c r="N58" s="1234"/>
      <c r="O58" s="1234"/>
      <c r="P58" s="1234"/>
      <c r="Q58" s="1234"/>
      <c r="R58" s="1234"/>
      <c r="S58" s="1234"/>
      <c r="T58" s="1234"/>
      <c r="U58" s="1234"/>
      <c r="V58" s="1234"/>
      <c r="W58" s="1234"/>
      <c r="X58" s="1234"/>
      <c r="Y58" s="1234"/>
      <c r="Z58" s="1234"/>
    </row>
    <row r="59" spans="1:26" ht="14.5">
      <c r="A59" s="1234"/>
      <c r="B59" s="1234"/>
      <c r="C59" s="1234"/>
      <c r="D59" s="1234"/>
      <c r="E59" s="1234"/>
      <c r="F59" s="1234"/>
      <c r="G59" s="1234"/>
      <c r="H59" s="1234"/>
      <c r="I59" s="1234"/>
      <c r="J59" s="1234"/>
      <c r="K59" s="1234"/>
      <c r="L59" s="1234"/>
      <c r="M59" s="1234"/>
      <c r="N59" s="1234"/>
      <c r="O59" s="1234"/>
      <c r="P59" s="1234"/>
      <c r="Q59" s="1234"/>
      <c r="R59" s="1234"/>
      <c r="S59" s="1234"/>
      <c r="T59" s="1234"/>
      <c r="U59" s="1234"/>
      <c r="V59" s="1234"/>
      <c r="W59" s="1234"/>
      <c r="X59" s="1234"/>
      <c r="Y59" s="1234"/>
      <c r="Z59" s="1234"/>
    </row>
    <row r="60" spans="1:26" ht="14.5">
      <c r="A60" s="1234"/>
      <c r="B60" s="1234"/>
      <c r="C60" s="1234"/>
      <c r="D60" s="1234"/>
      <c r="E60" s="1234"/>
      <c r="F60" s="1234"/>
      <c r="G60" s="1234"/>
      <c r="H60" s="1234"/>
      <c r="I60" s="1234"/>
      <c r="J60" s="1234"/>
      <c r="K60" s="1234"/>
      <c r="L60" s="1234"/>
      <c r="M60" s="1234"/>
      <c r="N60" s="1234"/>
      <c r="O60" s="1234"/>
      <c r="P60" s="1234"/>
      <c r="Q60" s="1234"/>
      <c r="R60" s="1234"/>
      <c r="S60" s="1234"/>
      <c r="T60" s="1234"/>
      <c r="U60" s="1234"/>
      <c r="V60" s="1234"/>
      <c r="W60" s="1234"/>
      <c r="X60" s="1234"/>
      <c r="Y60" s="1234"/>
      <c r="Z60" s="1234"/>
    </row>
    <row r="61" spans="1:26" ht="14.5">
      <c r="A61" s="1234"/>
      <c r="B61" s="1234"/>
      <c r="C61" s="1234"/>
      <c r="D61" s="1234"/>
      <c r="E61" s="1234"/>
      <c r="F61" s="1234"/>
      <c r="G61" s="1234"/>
      <c r="H61" s="1234"/>
      <c r="I61" s="1234"/>
      <c r="J61" s="1234"/>
      <c r="K61" s="1234"/>
      <c r="L61" s="1234"/>
      <c r="M61" s="1234"/>
      <c r="N61" s="1234"/>
      <c r="O61" s="1234"/>
      <c r="P61" s="1234"/>
      <c r="Q61" s="1234"/>
      <c r="R61" s="1234"/>
      <c r="S61" s="1234"/>
      <c r="T61" s="1234"/>
      <c r="U61" s="1234"/>
      <c r="V61" s="1234"/>
      <c r="W61" s="1234"/>
      <c r="X61" s="1234"/>
      <c r="Y61" s="1234"/>
      <c r="Z61" s="1234"/>
    </row>
    <row r="62" spans="1:26" ht="14.5">
      <c r="A62" s="1234"/>
      <c r="B62" s="1234"/>
      <c r="C62" s="1234"/>
      <c r="D62" s="1234"/>
      <c r="E62" s="1234"/>
      <c r="F62" s="1234"/>
      <c r="G62" s="1234"/>
      <c r="H62" s="1234"/>
      <c r="I62" s="1234"/>
      <c r="J62" s="1234"/>
      <c r="K62" s="1234"/>
      <c r="L62" s="1234"/>
      <c r="M62" s="1234"/>
      <c r="N62" s="1234"/>
      <c r="O62" s="1234"/>
      <c r="P62" s="1234"/>
      <c r="Q62" s="1234"/>
      <c r="R62" s="1234"/>
      <c r="S62" s="1234"/>
      <c r="T62" s="1234"/>
      <c r="U62" s="1234"/>
      <c r="V62" s="1234"/>
      <c r="W62" s="1234"/>
      <c r="X62" s="1234"/>
      <c r="Y62" s="1234"/>
      <c r="Z62" s="1234"/>
    </row>
    <row r="63" spans="1:26" ht="14.5">
      <c r="A63" s="1234"/>
      <c r="B63" s="1234"/>
      <c r="C63" s="1234"/>
      <c r="D63" s="1234"/>
      <c r="E63" s="1234"/>
      <c r="F63" s="1234"/>
      <c r="G63" s="1234"/>
      <c r="H63" s="1234"/>
      <c r="I63" s="1234"/>
      <c r="J63" s="1234"/>
      <c r="K63" s="1234"/>
      <c r="L63" s="1234"/>
      <c r="M63" s="1234"/>
      <c r="N63" s="1234"/>
      <c r="O63" s="1234"/>
      <c r="P63" s="1234"/>
      <c r="Q63" s="1234"/>
      <c r="R63" s="1234"/>
      <c r="S63" s="1234"/>
      <c r="T63" s="1234"/>
      <c r="U63" s="1234"/>
      <c r="V63" s="1234"/>
      <c r="W63" s="1234"/>
      <c r="X63" s="1234"/>
      <c r="Y63" s="1234"/>
      <c r="Z63" s="1234"/>
    </row>
    <row r="64" spans="1:26" ht="14.5">
      <c r="A64" s="1234"/>
      <c r="B64" s="1234"/>
      <c r="C64" s="1234"/>
      <c r="D64" s="1234"/>
      <c r="E64" s="1234"/>
      <c r="F64" s="1234"/>
      <c r="G64" s="1234"/>
      <c r="H64" s="1234"/>
      <c r="I64" s="1234"/>
      <c r="J64" s="1234"/>
      <c r="K64" s="1234"/>
      <c r="L64" s="1234"/>
      <c r="M64" s="1234"/>
      <c r="N64" s="1234"/>
      <c r="O64" s="1234"/>
      <c r="P64" s="1234"/>
      <c r="Q64" s="1234"/>
      <c r="R64" s="1234"/>
      <c r="S64" s="1234"/>
      <c r="T64" s="1234"/>
      <c r="U64" s="1234"/>
      <c r="V64" s="1234"/>
      <c r="W64" s="1234"/>
      <c r="X64" s="1234"/>
      <c r="Y64" s="1234"/>
      <c r="Z64" s="1234"/>
    </row>
    <row r="65" spans="1:26" ht="14.5">
      <c r="A65" s="1234"/>
      <c r="B65" s="1234"/>
      <c r="C65" s="1234"/>
      <c r="D65" s="1234"/>
      <c r="E65" s="1234"/>
      <c r="F65" s="1234"/>
      <c r="G65" s="1234"/>
      <c r="H65" s="1234"/>
      <c r="I65" s="1234"/>
      <c r="J65" s="1234"/>
      <c r="K65" s="1234"/>
      <c r="L65" s="1234"/>
      <c r="M65" s="1234"/>
      <c r="N65" s="1234"/>
      <c r="O65" s="1234"/>
      <c r="P65" s="1234"/>
      <c r="Q65" s="1234"/>
      <c r="R65" s="1234"/>
      <c r="S65" s="1234"/>
      <c r="T65" s="1234"/>
      <c r="U65" s="1234"/>
      <c r="V65" s="1234"/>
      <c r="W65" s="1234"/>
      <c r="X65" s="1234"/>
      <c r="Y65" s="1234"/>
      <c r="Z65" s="1234"/>
    </row>
    <row r="66" spans="1:26" ht="14.5">
      <c r="A66" s="1234"/>
      <c r="B66" s="1234"/>
      <c r="C66" s="1234"/>
      <c r="D66" s="1234"/>
      <c r="E66" s="1234"/>
      <c r="F66" s="1234"/>
      <c r="G66" s="1234"/>
      <c r="H66" s="1234"/>
      <c r="I66" s="1234"/>
      <c r="J66" s="1234"/>
      <c r="K66" s="1234"/>
      <c r="L66" s="1234"/>
      <c r="M66" s="1234"/>
      <c r="N66" s="1234"/>
      <c r="O66" s="1234"/>
      <c r="P66" s="1234"/>
      <c r="Q66" s="1234"/>
      <c r="R66" s="1234"/>
      <c r="S66" s="1234"/>
      <c r="T66" s="1234"/>
      <c r="U66" s="1234"/>
      <c r="V66" s="1234"/>
      <c r="W66" s="1234"/>
      <c r="X66" s="1234"/>
      <c r="Y66" s="1234"/>
      <c r="Z66" s="1234"/>
    </row>
    <row r="67" spans="1:26" ht="14.5">
      <c r="A67" s="1234"/>
      <c r="B67" s="1234"/>
      <c r="C67" s="1234"/>
      <c r="D67" s="1234"/>
      <c r="E67" s="1234"/>
      <c r="F67" s="1234"/>
      <c r="G67" s="1234"/>
      <c r="H67" s="1234"/>
      <c r="I67" s="1234"/>
      <c r="J67" s="1234"/>
      <c r="K67" s="1234"/>
      <c r="L67" s="1234"/>
      <c r="M67" s="1234"/>
      <c r="N67" s="1234"/>
      <c r="O67" s="1234"/>
      <c r="P67" s="1234"/>
      <c r="Q67" s="1234"/>
      <c r="R67" s="1234"/>
      <c r="S67" s="1234"/>
      <c r="T67" s="1234"/>
      <c r="U67" s="1234"/>
      <c r="V67" s="1234"/>
      <c r="W67" s="1234"/>
      <c r="X67" s="1234"/>
      <c r="Y67" s="1234"/>
      <c r="Z67" s="1234"/>
    </row>
    <row r="68" spans="1:26" ht="14.5">
      <c r="A68" s="1234"/>
      <c r="B68" s="1234"/>
      <c r="C68" s="1234"/>
      <c r="D68" s="1234"/>
      <c r="E68" s="1234"/>
      <c r="F68" s="1234"/>
      <c r="G68" s="1234"/>
      <c r="H68" s="1234"/>
      <c r="I68" s="1234"/>
      <c r="J68" s="1234"/>
      <c r="K68" s="1234"/>
      <c r="L68" s="1234"/>
      <c r="M68" s="1234"/>
      <c r="N68" s="1234"/>
      <c r="O68" s="1234"/>
      <c r="P68" s="1234"/>
      <c r="Q68" s="1234"/>
      <c r="R68" s="1234"/>
      <c r="S68" s="1234"/>
      <c r="T68" s="1234"/>
      <c r="U68" s="1234"/>
      <c r="V68" s="1234"/>
      <c r="W68" s="1234"/>
      <c r="X68" s="1234"/>
      <c r="Y68" s="1234"/>
      <c r="Z68" s="1234"/>
    </row>
    <row r="69" spans="1:26" ht="14.5">
      <c r="A69" s="1234"/>
      <c r="B69" s="1234"/>
      <c r="C69" s="1234"/>
      <c r="D69" s="1234"/>
      <c r="E69" s="1234"/>
      <c r="F69" s="1234"/>
      <c r="G69" s="1234"/>
      <c r="H69" s="1234"/>
      <c r="I69" s="1234"/>
      <c r="J69" s="1234"/>
      <c r="K69" s="1234"/>
      <c r="L69" s="1234"/>
      <c r="M69" s="1234"/>
      <c r="N69" s="1234"/>
      <c r="O69" s="1234"/>
      <c r="P69" s="1234"/>
      <c r="Q69" s="1234"/>
      <c r="R69" s="1234"/>
      <c r="S69" s="1234"/>
      <c r="T69" s="1234"/>
      <c r="U69" s="1234"/>
      <c r="V69" s="1234"/>
      <c r="W69" s="1234"/>
      <c r="X69" s="1234"/>
      <c r="Y69" s="1234"/>
      <c r="Z69" s="1234"/>
    </row>
    <row r="70" spans="1:26" ht="14.5">
      <c r="A70" s="1234"/>
      <c r="B70" s="1234"/>
      <c r="C70" s="1234"/>
      <c r="D70" s="1234"/>
      <c r="E70" s="1234"/>
      <c r="F70" s="1234"/>
      <c r="G70" s="1234"/>
      <c r="H70" s="1234"/>
      <c r="I70" s="1234"/>
      <c r="J70" s="1234"/>
      <c r="K70" s="1234"/>
      <c r="L70" s="1234"/>
      <c r="M70" s="1234"/>
      <c r="N70" s="1234"/>
      <c r="O70" s="1234"/>
      <c r="P70" s="1234"/>
      <c r="Q70" s="1234"/>
      <c r="R70" s="1234"/>
      <c r="S70" s="1234"/>
      <c r="T70" s="1234"/>
      <c r="U70" s="1234"/>
      <c r="V70" s="1234"/>
      <c r="W70" s="1234"/>
      <c r="X70" s="1234"/>
      <c r="Y70" s="1234"/>
      <c r="Z70" s="1234"/>
    </row>
    <row r="71" spans="1:26" ht="14.5">
      <c r="A71" s="1234"/>
      <c r="B71" s="1234"/>
      <c r="C71" s="1234"/>
      <c r="D71" s="1234"/>
      <c r="E71" s="1234"/>
      <c r="F71" s="1234"/>
      <c r="G71" s="1234"/>
      <c r="H71" s="1234"/>
      <c r="I71" s="1234"/>
      <c r="J71" s="1234"/>
      <c r="K71" s="1234"/>
      <c r="L71" s="1234"/>
      <c r="M71" s="1234"/>
      <c r="N71" s="1234"/>
      <c r="O71" s="1234"/>
      <c r="P71" s="1234"/>
      <c r="Q71" s="1234"/>
      <c r="R71" s="1234"/>
      <c r="S71" s="1234"/>
      <c r="T71" s="1234"/>
      <c r="U71" s="1234"/>
      <c r="V71" s="1234"/>
      <c r="W71" s="1234"/>
      <c r="X71" s="1234"/>
      <c r="Y71" s="1234"/>
      <c r="Z71" s="1234"/>
    </row>
    <row r="72" spans="1:26" ht="14.5">
      <c r="A72" s="1234"/>
      <c r="B72" s="1234"/>
      <c r="C72" s="1234"/>
      <c r="D72" s="1234"/>
      <c r="E72" s="1234"/>
      <c r="F72" s="1234"/>
      <c r="G72" s="1234"/>
      <c r="H72" s="1234"/>
      <c r="I72" s="1234"/>
      <c r="J72" s="1234"/>
      <c r="K72" s="1234"/>
      <c r="L72" s="1234"/>
      <c r="M72" s="1234"/>
      <c r="N72" s="1234"/>
      <c r="O72" s="1234"/>
      <c r="P72" s="1234"/>
      <c r="Q72" s="1234"/>
      <c r="R72" s="1234"/>
      <c r="S72" s="1234"/>
      <c r="T72" s="1234"/>
      <c r="U72" s="1234"/>
      <c r="V72" s="1234"/>
      <c r="W72" s="1234"/>
      <c r="X72" s="1234"/>
      <c r="Y72" s="1234"/>
      <c r="Z72" s="1234"/>
    </row>
    <row r="73" spans="1:26" ht="14.5">
      <c r="A73" s="1234"/>
      <c r="B73" s="1234"/>
      <c r="C73" s="1234"/>
      <c r="D73" s="1234"/>
      <c r="E73" s="1234"/>
      <c r="F73" s="1234"/>
      <c r="G73" s="1234"/>
      <c r="H73" s="1234"/>
      <c r="I73" s="1234"/>
      <c r="J73" s="1234"/>
      <c r="K73" s="1234"/>
      <c r="L73" s="1234"/>
      <c r="M73" s="1234"/>
      <c r="N73" s="1234"/>
      <c r="O73" s="1234"/>
      <c r="P73" s="1234"/>
      <c r="Q73" s="1234"/>
      <c r="R73" s="1234"/>
      <c r="S73" s="1234"/>
      <c r="T73" s="1234"/>
      <c r="U73" s="1234"/>
      <c r="V73" s="1234"/>
      <c r="W73" s="1234"/>
      <c r="X73" s="1234"/>
      <c r="Y73" s="1234"/>
      <c r="Z73" s="1234"/>
    </row>
    <row r="74" spans="1:26" ht="14.5">
      <c r="A74" s="1234"/>
      <c r="B74" s="1234"/>
      <c r="C74" s="1234"/>
      <c r="D74" s="1234"/>
      <c r="E74" s="1234"/>
      <c r="F74" s="1234"/>
      <c r="G74" s="1234"/>
      <c r="H74" s="1234"/>
      <c r="I74" s="1234"/>
      <c r="J74" s="1234"/>
      <c r="K74" s="1234"/>
      <c r="L74" s="1234"/>
      <c r="M74" s="1234"/>
      <c r="N74" s="1234"/>
      <c r="O74" s="1234"/>
      <c r="P74" s="1234"/>
      <c r="Q74" s="1234"/>
      <c r="R74" s="1234"/>
      <c r="S74" s="1234"/>
      <c r="T74" s="1234"/>
      <c r="U74" s="1234"/>
      <c r="V74" s="1234"/>
      <c r="W74" s="1234"/>
      <c r="X74" s="1234"/>
      <c r="Y74" s="1234"/>
      <c r="Z74" s="1234"/>
    </row>
    <row r="75" spans="1:26" ht="14.5">
      <c r="A75" s="1234"/>
      <c r="B75" s="1234"/>
      <c r="C75" s="1234"/>
      <c r="D75" s="1234"/>
      <c r="E75" s="1234"/>
      <c r="F75" s="1234"/>
      <c r="G75" s="1234"/>
      <c r="H75" s="1234"/>
      <c r="I75" s="1234"/>
      <c r="J75" s="1234"/>
      <c r="K75" s="1234"/>
      <c r="L75" s="1234"/>
      <c r="M75" s="1234"/>
      <c r="N75" s="1234"/>
      <c r="O75" s="1234"/>
      <c r="P75" s="1234"/>
      <c r="Q75" s="1234"/>
      <c r="R75" s="1234"/>
      <c r="S75" s="1234"/>
      <c r="T75" s="1234"/>
      <c r="U75" s="1234"/>
      <c r="V75" s="1234"/>
      <c r="W75" s="1234"/>
      <c r="X75" s="1234"/>
      <c r="Y75" s="1234"/>
      <c r="Z75" s="1234"/>
    </row>
    <row r="76" spans="1:26" ht="14.5">
      <c r="A76" s="1234"/>
      <c r="B76" s="1234"/>
      <c r="C76" s="1234"/>
      <c r="D76" s="1234"/>
      <c r="E76" s="1234"/>
      <c r="F76" s="1234"/>
      <c r="G76" s="1234"/>
      <c r="H76" s="1234"/>
      <c r="I76" s="1234"/>
      <c r="J76" s="1234"/>
      <c r="K76" s="1234"/>
      <c r="L76" s="1234"/>
      <c r="M76" s="1234"/>
      <c r="N76" s="1234"/>
      <c r="O76" s="1234"/>
      <c r="P76" s="1234"/>
      <c r="Q76" s="1234"/>
      <c r="R76" s="1234"/>
      <c r="S76" s="1234"/>
      <c r="T76" s="1234"/>
      <c r="U76" s="1234"/>
      <c r="V76" s="1234"/>
      <c r="W76" s="1234"/>
      <c r="X76" s="1234"/>
      <c r="Y76" s="1234"/>
      <c r="Z76" s="1234"/>
    </row>
    <row r="77" spans="1:26" ht="14.5">
      <c r="A77" s="1234"/>
      <c r="B77" s="1234"/>
      <c r="C77" s="1234"/>
      <c r="D77" s="1234"/>
      <c r="E77" s="1234"/>
      <c r="F77" s="1234"/>
      <c r="G77" s="1234"/>
      <c r="H77" s="1234"/>
      <c r="I77" s="1234"/>
      <c r="J77" s="1234"/>
      <c r="K77" s="1234"/>
      <c r="L77" s="1234"/>
      <c r="M77" s="1234"/>
      <c r="N77" s="1234"/>
      <c r="O77" s="1234"/>
      <c r="P77" s="1234"/>
      <c r="Q77" s="1234"/>
      <c r="R77" s="1234"/>
      <c r="S77" s="1234"/>
      <c r="T77" s="1234"/>
      <c r="U77" s="1234"/>
      <c r="V77" s="1234"/>
      <c r="W77" s="1234"/>
      <c r="X77" s="1234"/>
      <c r="Y77" s="1234"/>
      <c r="Z77" s="1234"/>
    </row>
    <row r="78" spans="1:26" ht="14.5">
      <c r="A78" s="1234"/>
      <c r="B78" s="1234"/>
      <c r="C78" s="1234"/>
      <c r="D78" s="1234"/>
      <c r="E78" s="1234"/>
      <c r="F78" s="1234"/>
      <c r="G78" s="1234"/>
      <c r="H78" s="1234"/>
      <c r="I78" s="1234"/>
      <c r="J78" s="1234"/>
      <c r="K78" s="1234"/>
      <c r="L78" s="1234"/>
      <c r="M78" s="1234"/>
      <c r="N78" s="1234"/>
      <c r="O78" s="1234"/>
      <c r="P78" s="1234"/>
      <c r="Q78" s="1234"/>
      <c r="R78" s="1234"/>
      <c r="S78" s="1234"/>
      <c r="T78" s="1234"/>
      <c r="U78" s="1234"/>
      <c r="V78" s="1234"/>
      <c r="W78" s="1234"/>
      <c r="X78" s="1234"/>
      <c r="Y78" s="1234"/>
      <c r="Z78" s="1234"/>
    </row>
    <row r="79" spans="1:26" ht="14.5">
      <c r="A79" s="1234"/>
      <c r="B79" s="1234"/>
      <c r="C79" s="1234"/>
      <c r="D79" s="1234"/>
      <c r="E79" s="1234"/>
      <c r="F79" s="1234"/>
      <c r="G79" s="1234"/>
      <c r="H79" s="1234"/>
      <c r="I79" s="1234"/>
      <c r="J79" s="1234"/>
      <c r="K79" s="1234"/>
      <c r="L79" s="1234"/>
      <c r="M79" s="1234"/>
      <c r="N79" s="1234"/>
      <c r="O79" s="1234"/>
      <c r="P79" s="1234"/>
      <c r="Q79" s="1234"/>
      <c r="R79" s="1234"/>
      <c r="S79" s="1234"/>
      <c r="T79" s="1234"/>
      <c r="U79" s="1234"/>
      <c r="V79" s="1234"/>
      <c r="W79" s="1234"/>
      <c r="X79" s="1234"/>
      <c r="Y79" s="1234"/>
      <c r="Z79" s="1234"/>
    </row>
    <row r="80" spans="1:26" ht="14.5">
      <c r="A80" s="1234"/>
      <c r="B80" s="1234"/>
      <c r="C80" s="1234"/>
      <c r="D80" s="1234"/>
      <c r="E80" s="1234"/>
      <c r="F80" s="1234"/>
      <c r="G80" s="1234"/>
      <c r="H80" s="1234"/>
      <c r="I80" s="1234"/>
      <c r="J80" s="1234"/>
      <c r="K80" s="1234"/>
      <c r="L80" s="1234"/>
      <c r="M80" s="1234"/>
      <c r="N80" s="1234"/>
      <c r="O80" s="1234"/>
      <c r="P80" s="1234"/>
      <c r="Q80" s="1234"/>
      <c r="R80" s="1234"/>
      <c r="S80" s="1234"/>
      <c r="T80" s="1234"/>
      <c r="U80" s="1234"/>
      <c r="V80" s="1234"/>
      <c r="W80" s="1234"/>
      <c r="X80" s="1234"/>
      <c r="Y80" s="1234"/>
      <c r="Z80" s="1234"/>
    </row>
    <row r="81" spans="1:26" ht="14.5">
      <c r="A81" s="1234"/>
      <c r="B81" s="1234"/>
      <c r="C81" s="1234"/>
      <c r="D81" s="1234"/>
      <c r="E81" s="1234"/>
      <c r="F81" s="1234"/>
      <c r="G81" s="1234"/>
      <c r="H81" s="1234"/>
      <c r="I81" s="1234"/>
      <c r="J81" s="1234"/>
      <c r="K81" s="1234"/>
      <c r="L81" s="1234"/>
      <c r="M81" s="1234"/>
      <c r="N81" s="1234"/>
      <c r="O81" s="1234"/>
      <c r="P81" s="1234"/>
      <c r="Q81" s="1234"/>
      <c r="R81" s="1234"/>
      <c r="S81" s="1234"/>
      <c r="T81" s="1234"/>
      <c r="U81" s="1234"/>
      <c r="V81" s="1234"/>
      <c r="W81" s="1234"/>
      <c r="X81" s="1234"/>
      <c r="Y81" s="1234"/>
      <c r="Z81" s="1234"/>
    </row>
    <row r="82" spans="1:26" ht="14.5">
      <c r="A82" s="1234"/>
      <c r="B82" s="1234"/>
      <c r="C82" s="1234"/>
      <c r="D82" s="1234"/>
      <c r="E82" s="1234"/>
      <c r="F82" s="1234"/>
      <c r="G82" s="1234"/>
      <c r="H82" s="1234"/>
      <c r="I82" s="1234"/>
      <c r="J82" s="1234"/>
      <c r="K82" s="1234"/>
      <c r="L82" s="1234"/>
      <c r="M82" s="1234"/>
      <c r="N82" s="1234"/>
      <c r="O82" s="1234"/>
      <c r="P82" s="1234"/>
      <c r="Q82" s="1234"/>
      <c r="R82" s="1234"/>
      <c r="S82" s="1234"/>
      <c r="T82" s="1234"/>
      <c r="U82" s="1234"/>
      <c r="V82" s="1234"/>
      <c r="W82" s="1234"/>
      <c r="X82" s="1234"/>
      <c r="Y82" s="1234"/>
      <c r="Z82" s="1234"/>
    </row>
    <row r="83" spans="1:26" ht="14.5">
      <c r="A83" s="1234"/>
      <c r="B83" s="1234"/>
      <c r="C83" s="1234"/>
      <c r="D83" s="1234"/>
      <c r="E83" s="1234"/>
      <c r="F83" s="1234"/>
      <c r="G83" s="1234"/>
      <c r="H83" s="1234"/>
      <c r="I83" s="1234"/>
      <c r="J83" s="1234"/>
      <c r="K83" s="1234"/>
      <c r="L83" s="1234"/>
      <c r="M83" s="1234"/>
      <c r="N83" s="1234"/>
      <c r="O83" s="1234"/>
      <c r="P83" s="1234"/>
      <c r="Q83" s="1234"/>
      <c r="R83" s="1234"/>
      <c r="S83" s="1234"/>
      <c r="T83" s="1234"/>
      <c r="U83" s="1234"/>
      <c r="V83" s="1234"/>
      <c r="W83" s="1234"/>
      <c r="X83" s="1234"/>
      <c r="Y83" s="1234"/>
      <c r="Z83" s="1234"/>
    </row>
    <row r="84" spans="1:26" ht="14.5">
      <c r="A84" s="1234"/>
      <c r="B84" s="1234"/>
      <c r="C84" s="1234"/>
      <c r="D84" s="1234"/>
      <c r="E84" s="1234"/>
      <c r="F84" s="1234"/>
      <c r="G84" s="1234"/>
      <c r="H84" s="1234"/>
      <c r="I84" s="1234"/>
      <c r="J84" s="1234"/>
      <c r="K84" s="1234"/>
      <c r="L84" s="1234"/>
      <c r="M84" s="1234"/>
      <c r="N84" s="1234"/>
      <c r="O84" s="1234"/>
      <c r="P84" s="1234"/>
      <c r="Q84" s="1234"/>
      <c r="R84" s="1234"/>
      <c r="S84" s="1234"/>
      <c r="T84" s="1234"/>
      <c r="U84" s="1234"/>
      <c r="V84" s="1234"/>
      <c r="W84" s="1234"/>
      <c r="X84" s="1234"/>
      <c r="Y84" s="1234"/>
      <c r="Z84" s="1234"/>
    </row>
    <row r="85" spans="1:26" ht="14.5">
      <c r="A85" s="1234"/>
      <c r="B85" s="1234"/>
      <c r="C85" s="1234"/>
      <c r="D85" s="1234"/>
      <c r="E85" s="1234"/>
      <c r="F85" s="1234"/>
      <c r="G85" s="1234"/>
      <c r="H85" s="1234"/>
      <c r="I85" s="1234"/>
      <c r="J85" s="1234"/>
      <c r="K85" s="1234"/>
      <c r="L85" s="1234"/>
      <c r="M85" s="1234"/>
      <c r="N85" s="1234"/>
      <c r="O85" s="1234"/>
      <c r="P85" s="1234"/>
      <c r="Q85" s="1234"/>
      <c r="R85" s="1234"/>
      <c r="S85" s="1234"/>
      <c r="T85" s="1234"/>
      <c r="U85" s="1234"/>
      <c r="V85" s="1234"/>
      <c r="W85" s="1234"/>
      <c r="X85" s="1234"/>
      <c r="Y85" s="1234"/>
      <c r="Z85" s="1234"/>
    </row>
    <row r="86" spans="1:26" ht="14.5">
      <c r="A86" s="1234"/>
      <c r="B86" s="1234"/>
      <c r="C86" s="1234"/>
      <c r="D86" s="1234"/>
      <c r="E86" s="1234"/>
      <c r="F86" s="1234"/>
      <c r="G86" s="1234"/>
      <c r="H86" s="1234"/>
      <c r="I86" s="1234"/>
      <c r="J86" s="1234"/>
      <c r="K86" s="1234"/>
      <c r="L86" s="1234"/>
      <c r="M86" s="1234"/>
      <c r="N86" s="1234"/>
      <c r="O86" s="1234"/>
      <c r="P86" s="1234"/>
      <c r="Q86" s="1234"/>
      <c r="R86" s="1234"/>
      <c r="S86" s="1234"/>
      <c r="T86" s="1234"/>
      <c r="U86" s="1234"/>
      <c r="V86" s="1234"/>
      <c r="W86" s="1234"/>
      <c r="X86" s="1234"/>
      <c r="Y86" s="1234"/>
      <c r="Z86" s="1234"/>
    </row>
    <row r="87" spans="1:26" ht="14.5">
      <c r="A87" s="1234"/>
      <c r="B87" s="1234"/>
      <c r="C87" s="1234"/>
      <c r="D87" s="1234"/>
      <c r="E87" s="1234"/>
      <c r="F87" s="1234"/>
      <c r="G87" s="1234"/>
      <c r="H87" s="1234"/>
      <c r="I87" s="1234"/>
      <c r="J87" s="1234"/>
      <c r="K87" s="1234"/>
      <c r="L87" s="1234"/>
      <c r="M87" s="1234"/>
      <c r="N87" s="1234"/>
      <c r="O87" s="1234"/>
      <c r="P87" s="1234"/>
      <c r="Q87" s="1234"/>
      <c r="R87" s="1234"/>
      <c r="S87" s="1234"/>
      <c r="T87" s="1234"/>
      <c r="U87" s="1234"/>
      <c r="V87" s="1234"/>
      <c r="W87" s="1234"/>
      <c r="X87" s="1234"/>
      <c r="Y87" s="1234"/>
      <c r="Z87" s="1234"/>
    </row>
    <row r="88" spans="1:26" ht="14.5">
      <c r="A88" s="1234"/>
      <c r="B88" s="1234"/>
      <c r="C88" s="1234"/>
      <c r="D88" s="1234"/>
      <c r="E88" s="1234"/>
      <c r="F88" s="1234"/>
      <c r="G88" s="1234"/>
      <c r="H88" s="1234"/>
      <c r="I88" s="1234"/>
      <c r="J88" s="1234"/>
      <c r="K88" s="1234"/>
      <c r="L88" s="1234"/>
      <c r="M88" s="1234"/>
      <c r="N88" s="1234"/>
      <c r="O88" s="1234"/>
      <c r="P88" s="1234"/>
      <c r="Q88" s="1234"/>
      <c r="R88" s="1234"/>
      <c r="S88" s="1234"/>
      <c r="T88" s="1234"/>
      <c r="U88" s="1234"/>
      <c r="V88" s="1234"/>
      <c r="W88" s="1234"/>
      <c r="X88" s="1234"/>
      <c r="Y88" s="1234"/>
      <c r="Z88" s="1234"/>
    </row>
    <row r="89" spans="1:26" ht="14.5">
      <c r="A89" s="1234"/>
      <c r="B89" s="1234"/>
      <c r="C89" s="1234"/>
      <c r="D89" s="1234"/>
      <c r="E89" s="1234"/>
      <c r="F89" s="1234"/>
      <c r="G89" s="1234"/>
      <c r="H89" s="1234"/>
      <c r="I89" s="1234"/>
      <c r="J89" s="1234"/>
      <c r="K89" s="1234"/>
      <c r="L89" s="1234"/>
      <c r="M89" s="1234"/>
      <c r="N89" s="1234"/>
      <c r="O89" s="1234"/>
      <c r="P89" s="1234"/>
      <c r="Q89" s="1234"/>
      <c r="R89" s="1234"/>
      <c r="S89" s="1234"/>
      <c r="T89" s="1234"/>
      <c r="U89" s="1234"/>
      <c r="V89" s="1234"/>
      <c r="W89" s="1234"/>
      <c r="X89" s="1234"/>
      <c r="Y89" s="1234"/>
      <c r="Z89" s="1234"/>
    </row>
    <row r="90" spans="1:26" ht="14.5">
      <c r="A90" s="1234"/>
      <c r="B90" s="1234"/>
      <c r="C90" s="1234"/>
      <c r="D90" s="1234"/>
      <c r="E90" s="1234"/>
      <c r="F90" s="1234"/>
      <c r="G90" s="1234"/>
      <c r="H90" s="1234"/>
      <c r="I90" s="1234"/>
      <c r="J90" s="1234"/>
      <c r="K90" s="1234"/>
      <c r="L90" s="1234"/>
      <c r="M90" s="1234"/>
      <c r="N90" s="1234"/>
      <c r="O90" s="1234"/>
      <c r="P90" s="1234"/>
      <c r="Q90" s="1234"/>
      <c r="R90" s="1234"/>
      <c r="S90" s="1234"/>
      <c r="T90" s="1234"/>
      <c r="U90" s="1234"/>
      <c r="V90" s="1234"/>
      <c r="W90" s="1234"/>
      <c r="X90" s="1234"/>
      <c r="Y90" s="1234"/>
      <c r="Z90" s="1234"/>
    </row>
    <row r="91" spans="1:26" ht="14.5">
      <c r="A91" s="1234"/>
      <c r="B91" s="1234"/>
      <c r="C91" s="1234"/>
      <c r="D91" s="1234"/>
      <c r="E91" s="1234"/>
      <c r="F91" s="1234"/>
      <c r="G91" s="1234"/>
      <c r="H91" s="1234"/>
      <c r="I91" s="1234"/>
      <c r="J91" s="1234"/>
      <c r="K91" s="1234"/>
      <c r="L91" s="1234"/>
      <c r="M91" s="1234"/>
      <c r="N91" s="1234"/>
      <c r="O91" s="1234"/>
      <c r="P91" s="1234"/>
      <c r="Q91" s="1234"/>
      <c r="R91" s="1234"/>
      <c r="S91" s="1234"/>
      <c r="T91" s="1234"/>
      <c r="U91" s="1234"/>
      <c r="V91" s="1234"/>
      <c r="W91" s="1234"/>
      <c r="X91" s="1234"/>
      <c r="Y91" s="1234"/>
      <c r="Z91" s="1234"/>
    </row>
    <row r="92" spans="1:26" ht="14.5">
      <c r="A92" s="1234"/>
      <c r="B92" s="1234"/>
      <c r="C92" s="1234"/>
      <c r="D92" s="1234"/>
      <c r="E92" s="1234"/>
      <c r="F92" s="1234"/>
      <c r="G92" s="1234"/>
      <c r="H92" s="1234"/>
      <c r="I92" s="1234"/>
      <c r="J92" s="1234"/>
      <c r="K92" s="1234"/>
      <c r="L92" s="1234"/>
      <c r="M92" s="1234"/>
      <c r="N92" s="1234"/>
      <c r="O92" s="1234"/>
      <c r="P92" s="1234"/>
      <c r="Q92" s="1234"/>
      <c r="R92" s="1234"/>
      <c r="S92" s="1234"/>
      <c r="T92" s="1234"/>
      <c r="U92" s="1234"/>
      <c r="V92" s="1234"/>
      <c r="W92" s="1234"/>
      <c r="X92" s="1234"/>
      <c r="Y92" s="1234"/>
      <c r="Z92" s="1234"/>
    </row>
    <row r="93" spans="1:26" ht="14.5">
      <c r="A93" s="1234"/>
      <c r="B93" s="1234"/>
      <c r="C93" s="1234"/>
      <c r="D93" s="1234"/>
      <c r="E93" s="1234"/>
      <c r="F93" s="1234"/>
      <c r="G93" s="1234"/>
      <c r="H93" s="1234"/>
      <c r="I93" s="1234"/>
      <c r="J93" s="1234"/>
      <c r="K93" s="1234"/>
      <c r="L93" s="1234"/>
      <c r="M93" s="1234"/>
      <c r="N93" s="1234"/>
      <c r="O93" s="1234"/>
      <c r="P93" s="1234"/>
      <c r="Q93" s="1234"/>
      <c r="R93" s="1234"/>
      <c r="S93" s="1234"/>
      <c r="T93" s="1234"/>
      <c r="U93" s="1234"/>
      <c r="V93" s="1234"/>
      <c r="W93" s="1234"/>
      <c r="X93" s="1234"/>
      <c r="Y93" s="1234"/>
      <c r="Z93" s="1234"/>
    </row>
    <row r="94" spans="1:26" ht="14.5">
      <c r="A94" s="1234"/>
      <c r="B94" s="1234"/>
      <c r="C94" s="1234"/>
      <c r="D94" s="1234"/>
      <c r="E94" s="1234"/>
      <c r="F94" s="1234"/>
      <c r="G94" s="1234"/>
      <c r="H94" s="1234"/>
      <c r="I94" s="1234"/>
      <c r="J94" s="1234"/>
      <c r="K94" s="1234"/>
      <c r="L94" s="1234"/>
      <c r="M94" s="1234"/>
      <c r="N94" s="1234"/>
      <c r="O94" s="1234"/>
      <c r="P94" s="1234"/>
      <c r="Q94" s="1234"/>
      <c r="R94" s="1234"/>
      <c r="S94" s="1234"/>
      <c r="T94" s="1234"/>
      <c r="U94" s="1234"/>
      <c r="V94" s="1234"/>
      <c r="W94" s="1234"/>
      <c r="X94" s="1234"/>
      <c r="Y94" s="1234"/>
      <c r="Z94" s="1234"/>
    </row>
    <row r="95" spans="1:26" ht="14.5">
      <c r="A95" s="1234"/>
      <c r="B95" s="1234"/>
      <c r="C95" s="1234"/>
      <c r="D95" s="1234"/>
      <c r="E95" s="1234"/>
      <c r="F95" s="1234"/>
      <c r="G95" s="1234"/>
      <c r="H95" s="1234"/>
      <c r="I95" s="1234"/>
      <c r="J95" s="1234"/>
      <c r="K95" s="1234"/>
      <c r="L95" s="1234"/>
      <c r="M95" s="1234"/>
      <c r="N95" s="1234"/>
      <c r="O95" s="1234"/>
      <c r="P95" s="1234"/>
      <c r="Q95" s="1234"/>
      <c r="R95" s="1234"/>
      <c r="S95" s="1234"/>
      <c r="T95" s="1234"/>
      <c r="U95" s="1234"/>
      <c r="V95" s="1234"/>
      <c r="W95" s="1234"/>
      <c r="X95" s="1234"/>
      <c r="Y95" s="1234"/>
      <c r="Z95" s="1234"/>
    </row>
    <row r="96" spans="1:26" ht="14.5">
      <c r="A96" s="1234"/>
      <c r="B96" s="1234"/>
      <c r="C96" s="1234"/>
      <c r="D96" s="1234"/>
      <c r="E96" s="1234"/>
      <c r="F96" s="1234"/>
      <c r="G96" s="1234"/>
      <c r="H96" s="1234"/>
      <c r="I96" s="1234"/>
      <c r="J96" s="1234"/>
      <c r="K96" s="1234"/>
      <c r="L96" s="1234"/>
      <c r="M96" s="1234"/>
      <c r="N96" s="1234"/>
      <c r="O96" s="1234"/>
      <c r="P96" s="1234"/>
      <c r="Q96" s="1234"/>
      <c r="R96" s="1234"/>
      <c r="S96" s="1234"/>
      <c r="T96" s="1234"/>
      <c r="U96" s="1234"/>
      <c r="V96" s="1234"/>
      <c r="W96" s="1234"/>
      <c r="X96" s="1234"/>
      <c r="Y96" s="1234"/>
      <c r="Z96" s="1234"/>
    </row>
    <row r="97" spans="1:26" ht="14.5">
      <c r="A97" s="1234"/>
      <c r="B97" s="1234"/>
      <c r="C97" s="1234"/>
      <c r="D97" s="1234"/>
      <c r="E97" s="1234"/>
      <c r="F97" s="1234"/>
      <c r="G97" s="1234"/>
      <c r="H97" s="1234"/>
      <c r="I97" s="1234"/>
      <c r="J97" s="1234"/>
      <c r="K97" s="1234"/>
      <c r="L97" s="1234"/>
      <c r="M97" s="1234"/>
      <c r="N97" s="1234"/>
      <c r="O97" s="1234"/>
      <c r="P97" s="1234"/>
      <c r="Q97" s="1234"/>
      <c r="R97" s="1234"/>
      <c r="S97" s="1234"/>
      <c r="T97" s="1234"/>
      <c r="U97" s="1234"/>
      <c r="V97" s="1234"/>
      <c r="W97" s="1234"/>
      <c r="X97" s="1234"/>
      <c r="Y97" s="1234"/>
      <c r="Z97" s="1234"/>
    </row>
    <row r="98" spans="1:26" ht="14.5">
      <c r="A98" s="1234"/>
      <c r="B98" s="1234"/>
      <c r="C98" s="1234"/>
      <c r="D98" s="1234"/>
      <c r="E98" s="1234"/>
      <c r="F98" s="1234"/>
      <c r="G98" s="1234"/>
      <c r="H98" s="1234"/>
      <c r="I98" s="1234"/>
      <c r="J98" s="1234"/>
      <c r="K98" s="1234"/>
      <c r="L98" s="1234"/>
      <c r="M98" s="1234"/>
      <c r="N98" s="1234"/>
      <c r="O98" s="1234"/>
      <c r="P98" s="1234"/>
      <c r="Q98" s="1234"/>
      <c r="R98" s="1234"/>
      <c r="S98" s="1234"/>
      <c r="T98" s="1234"/>
      <c r="U98" s="1234"/>
      <c r="V98" s="1234"/>
      <c r="W98" s="1234"/>
      <c r="X98" s="1234"/>
      <c r="Y98" s="1234"/>
      <c r="Z98" s="1234"/>
    </row>
    <row r="99" spans="1:26" ht="14.5">
      <c r="A99" s="1234"/>
      <c r="B99" s="1234"/>
      <c r="C99" s="1234"/>
      <c r="D99" s="1234"/>
      <c r="E99" s="1234"/>
      <c r="F99" s="1234"/>
      <c r="G99" s="1234"/>
      <c r="H99" s="1234"/>
      <c r="I99" s="1234"/>
      <c r="J99" s="1234"/>
      <c r="K99" s="1234"/>
      <c r="L99" s="1234"/>
      <c r="M99" s="1234"/>
      <c r="N99" s="1234"/>
      <c r="O99" s="1234"/>
      <c r="P99" s="1234"/>
      <c r="Q99" s="1234"/>
      <c r="R99" s="1234"/>
      <c r="S99" s="1234"/>
      <c r="T99" s="1234"/>
      <c r="U99" s="1234"/>
      <c r="V99" s="1234"/>
      <c r="W99" s="1234"/>
      <c r="X99" s="1234"/>
      <c r="Y99" s="1234"/>
      <c r="Z99" s="1234"/>
    </row>
    <row r="100" spans="1:26" ht="14.5">
      <c r="A100" s="1234"/>
      <c r="B100" s="1234"/>
      <c r="C100" s="1234"/>
      <c r="D100" s="1234"/>
      <c r="E100" s="1234"/>
      <c r="F100" s="1234"/>
      <c r="G100" s="1234"/>
      <c r="H100" s="1234"/>
      <c r="I100" s="1234"/>
      <c r="J100" s="1234"/>
      <c r="K100" s="1234"/>
      <c r="L100" s="1234"/>
      <c r="M100" s="1234"/>
      <c r="N100" s="1234"/>
      <c r="O100" s="1234"/>
      <c r="P100" s="1234"/>
      <c r="Q100" s="1234"/>
      <c r="R100" s="1234"/>
      <c r="S100" s="1234"/>
      <c r="T100" s="1234"/>
      <c r="U100" s="1234"/>
      <c r="V100" s="1234"/>
      <c r="W100" s="1234"/>
      <c r="X100" s="1234"/>
      <c r="Y100" s="1234"/>
      <c r="Z100" s="1234"/>
    </row>
    <row r="101" spans="1:26" ht="14.5">
      <c r="A101" s="1234"/>
      <c r="B101" s="1234"/>
      <c r="C101" s="1234"/>
      <c r="D101" s="1234"/>
      <c r="E101" s="1234"/>
      <c r="F101" s="1234"/>
      <c r="G101" s="1234"/>
      <c r="H101" s="1234"/>
      <c r="I101" s="1234"/>
      <c r="J101" s="1234"/>
      <c r="K101" s="1234"/>
      <c r="L101" s="1234"/>
      <c r="M101" s="1234"/>
      <c r="N101" s="1234"/>
      <c r="O101" s="1234"/>
      <c r="P101" s="1234"/>
      <c r="Q101" s="1234"/>
      <c r="R101" s="1234"/>
      <c r="S101" s="1234"/>
      <c r="T101" s="1234"/>
      <c r="U101" s="1234"/>
      <c r="V101" s="1234"/>
      <c r="W101" s="1234"/>
      <c r="X101" s="1234"/>
      <c r="Y101" s="1234"/>
      <c r="Z101" s="1234"/>
    </row>
    <row r="102" spans="1:26" ht="14.5">
      <c r="A102" s="1234"/>
      <c r="B102" s="1234"/>
      <c r="C102" s="1234"/>
      <c r="D102" s="1234"/>
      <c r="E102" s="1234"/>
      <c r="F102" s="1234"/>
      <c r="G102" s="1234"/>
      <c r="H102" s="1234"/>
      <c r="I102" s="1234"/>
      <c r="J102" s="1234"/>
      <c r="K102" s="1234"/>
      <c r="L102" s="1234"/>
      <c r="M102" s="1234"/>
      <c r="N102" s="1234"/>
      <c r="O102" s="1234"/>
      <c r="P102" s="1234"/>
      <c r="Q102" s="1234"/>
      <c r="R102" s="1234"/>
      <c r="S102" s="1234"/>
      <c r="T102" s="1234"/>
      <c r="U102" s="1234"/>
      <c r="V102" s="1234"/>
      <c r="W102" s="1234"/>
      <c r="X102" s="1234"/>
      <c r="Y102" s="1234"/>
      <c r="Z102" s="1234"/>
    </row>
    <row r="103" spans="1:26" ht="14.5">
      <c r="A103" s="1234"/>
      <c r="B103" s="1234"/>
      <c r="C103" s="1234"/>
      <c r="D103" s="1234"/>
      <c r="E103" s="1234"/>
      <c r="F103" s="1234"/>
      <c r="G103" s="1234"/>
      <c r="H103" s="1234"/>
      <c r="I103" s="1234"/>
      <c r="J103" s="1234"/>
      <c r="K103" s="1234"/>
      <c r="L103" s="1234"/>
      <c r="M103" s="1234"/>
      <c r="N103" s="1234"/>
      <c r="O103" s="1234"/>
      <c r="P103" s="1234"/>
      <c r="Q103" s="1234"/>
      <c r="R103" s="1234"/>
      <c r="S103" s="1234"/>
      <c r="T103" s="1234"/>
      <c r="U103" s="1234"/>
      <c r="V103" s="1234"/>
      <c r="W103" s="1234"/>
      <c r="X103" s="1234"/>
      <c r="Y103" s="1234"/>
      <c r="Z103" s="1234"/>
    </row>
    <row r="104" spans="1:26" ht="14.5">
      <c r="A104" s="1234"/>
      <c r="B104" s="1234"/>
      <c r="C104" s="1234"/>
      <c r="D104" s="1234"/>
      <c r="E104" s="1234"/>
      <c r="F104" s="1234"/>
      <c r="G104" s="1234"/>
      <c r="H104" s="1234"/>
      <c r="I104" s="1234"/>
      <c r="J104" s="1234"/>
      <c r="K104" s="1234"/>
      <c r="L104" s="1234"/>
      <c r="M104" s="1234"/>
      <c r="N104" s="1234"/>
      <c r="O104" s="1234"/>
      <c r="P104" s="1234"/>
      <c r="Q104" s="1234"/>
      <c r="R104" s="1234"/>
      <c r="S104" s="1234"/>
      <c r="T104" s="1234"/>
      <c r="U104" s="1234"/>
      <c r="V104" s="1234"/>
      <c r="W104" s="1234"/>
      <c r="X104" s="1234"/>
      <c r="Y104" s="1234"/>
      <c r="Z104" s="1234"/>
    </row>
    <row r="105" spans="1:26" ht="14.5">
      <c r="A105" s="1234"/>
      <c r="B105" s="1234"/>
      <c r="C105" s="1234"/>
      <c r="D105" s="1234"/>
      <c r="E105" s="1234"/>
      <c r="F105" s="1234"/>
      <c r="G105" s="1234"/>
      <c r="H105" s="1234"/>
      <c r="I105" s="1234"/>
      <c r="J105" s="1234"/>
      <c r="K105" s="1234"/>
      <c r="L105" s="1234"/>
      <c r="M105" s="1234"/>
      <c r="N105" s="1234"/>
      <c r="O105" s="1234"/>
      <c r="P105" s="1234"/>
      <c r="Q105" s="1234"/>
      <c r="R105" s="1234"/>
      <c r="S105" s="1234"/>
      <c r="T105" s="1234"/>
      <c r="U105" s="1234"/>
      <c r="V105" s="1234"/>
      <c r="W105" s="1234"/>
      <c r="X105" s="1234"/>
      <c r="Y105" s="1234"/>
      <c r="Z105" s="1234"/>
    </row>
    <row r="106" spans="1:26" ht="14.5">
      <c r="A106" s="1234"/>
      <c r="B106" s="1234"/>
      <c r="C106" s="1234"/>
      <c r="D106" s="1234"/>
      <c r="E106" s="1234"/>
      <c r="F106" s="1234"/>
      <c r="G106" s="1234"/>
      <c r="H106" s="1234"/>
      <c r="I106" s="1234"/>
      <c r="J106" s="1234"/>
      <c r="K106" s="1234"/>
      <c r="L106" s="1234"/>
      <c r="M106" s="1234"/>
      <c r="N106" s="1234"/>
      <c r="O106" s="1234"/>
      <c r="P106" s="1234"/>
      <c r="Q106" s="1234"/>
      <c r="R106" s="1234"/>
      <c r="S106" s="1234"/>
      <c r="T106" s="1234"/>
      <c r="U106" s="1234"/>
      <c r="V106" s="1234"/>
      <c r="W106" s="1234"/>
      <c r="X106" s="1234"/>
      <c r="Y106" s="1234"/>
      <c r="Z106" s="1234"/>
    </row>
    <row r="107" spans="1:26" ht="14.5">
      <c r="A107" s="1234"/>
      <c r="B107" s="1234"/>
      <c r="C107" s="1234"/>
      <c r="D107" s="1234"/>
      <c r="E107" s="1234"/>
      <c r="F107" s="1234"/>
      <c r="G107" s="1234"/>
      <c r="H107" s="1234"/>
      <c r="I107" s="1234"/>
      <c r="J107" s="1234"/>
      <c r="K107" s="1234"/>
      <c r="L107" s="1234"/>
      <c r="M107" s="1234"/>
      <c r="N107" s="1234"/>
      <c r="O107" s="1234"/>
      <c r="P107" s="1234"/>
      <c r="Q107" s="1234"/>
      <c r="R107" s="1234"/>
      <c r="S107" s="1234"/>
      <c r="T107" s="1234"/>
      <c r="U107" s="1234"/>
      <c r="V107" s="1234"/>
      <c r="W107" s="1234"/>
      <c r="X107" s="1234"/>
      <c r="Y107" s="1234"/>
      <c r="Z107" s="1234"/>
    </row>
    <row r="108" spans="1:26" ht="14.5">
      <c r="A108" s="1234"/>
      <c r="B108" s="1234"/>
      <c r="C108" s="1234"/>
      <c r="D108" s="1234"/>
      <c r="E108" s="1234"/>
      <c r="F108" s="1234"/>
      <c r="G108" s="1234"/>
      <c r="H108" s="1234"/>
      <c r="I108" s="1234"/>
      <c r="J108" s="1234"/>
      <c r="K108" s="1234"/>
      <c r="L108" s="1234"/>
      <c r="M108" s="1234"/>
      <c r="N108" s="1234"/>
      <c r="O108" s="1234"/>
      <c r="P108" s="1234"/>
      <c r="Q108" s="1234"/>
      <c r="R108" s="1234"/>
      <c r="S108" s="1234"/>
      <c r="T108" s="1234"/>
      <c r="U108" s="1234"/>
      <c r="V108" s="1234"/>
      <c r="W108" s="1234"/>
      <c r="X108" s="1234"/>
      <c r="Y108" s="1234"/>
      <c r="Z108" s="1234"/>
    </row>
    <row r="109" spans="1:26" ht="14.5">
      <c r="A109" s="1234"/>
      <c r="B109" s="1234"/>
      <c r="C109" s="1234"/>
      <c r="D109" s="1234"/>
      <c r="E109" s="1234"/>
      <c r="F109" s="1234"/>
      <c r="G109" s="1234"/>
      <c r="H109" s="1234"/>
      <c r="I109" s="1234"/>
      <c r="J109" s="1234"/>
      <c r="K109" s="1234"/>
      <c r="L109" s="1234"/>
      <c r="M109" s="1234"/>
      <c r="N109" s="1234"/>
      <c r="O109" s="1234"/>
      <c r="P109" s="1234"/>
      <c r="Q109" s="1234"/>
      <c r="R109" s="1234"/>
      <c r="S109" s="1234"/>
      <c r="T109" s="1234"/>
      <c r="U109" s="1234"/>
      <c r="V109" s="1234"/>
      <c r="W109" s="1234"/>
      <c r="X109" s="1234"/>
      <c r="Y109" s="1234"/>
      <c r="Z109" s="1234"/>
    </row>
    <row r="110" spans="1:26" ht="14.5">
      <c r="A110" s="1234"/>
      <c r="B110" s="1234"/>
      <c r="C110" s="1234"/>
      <c r="D110" s="1234"/>
      <c r="E110" s="1234"/>
      <c r="F110" s="1234"/>
      <c r="G110" s="1234"/>
      <c r="H110" s="1234"/>
      <c r="I110" s="1234"/>
      <c r="J110" s="1234"/>
      <c r="K110" s="1234"/>
      <c r="L110" s="1234"/>
      <c r="M110" s="1234"/>
      <c r="N110" s="1234"/>
      <c r="O110" s="1234"/>
      <c r="P110" s="1234"/>
      <c r="Q110" s="1234"/>
      <c r="R110" s="1234"/>
      <c r="S110" s="1234"/>
      <c r="T110" s="1234"/>
      <c r="U110" s="1234"/>
      <c r="V110" s="1234"/>
      <c r="W110" s="1234"/>
      <c r="X110" s="1234"/>
      <c r="Y110" s="1234"/>
      <c r="Z110" s="1234"/>
    </row>
    <row r="111" spans="1:26" ht="14.5">
      <c r="A111" s="1234"/>
      <c r="B111" s="1234"/>
      <c r="C111" s="1234"/>
      <c r="D111" s="1234"/>
      <c r="E111" s="1234"/>
      <c r="F111" s="1234"/>
      <c r="G111" s="1234"/>
      <c r="H111" s="1234"/>
      <c r="I111" s="1234"/>
      <c r="J111" s="1234"/>
      <c r="K111" s="1234"/>
      <c r="L111" s="1234"/>
      <c r="M111" s="1234"/>
      <c r="N111" s="1234"/>
      <c r="O111" s="1234"/>
      <c r="P111" s="1234"/>
      <c r="Q111" s="1234"/>
      <c r="R111" s="1234"/>
      <c r="S111" s="1234"/>
      <c r="T111" s="1234"/>
      <c r="U111" s="1234"/>
      <c r="V111" s="1234"/>
      <c r="W111" s="1234"/>
      <c r="X111" s="1234"/>
      <c r="Y111" s="1234"/>
      <c r="Z111" s="1234"/>
    </row>
    <row r="112" spans="1:26" ht="14.5">
      <c r="A112" s="1234"/>
      <c r="B112" s="1234"/>
      <c r="C112" s="1234"/>
      <c r="D112" s="1234"/>
      <c r="E112" s="1234"/>
      <c r="F112" s="1234"/>
      <c r="G112" s="1234"/>
      <c r="H112" s="1234"/>
      <c r="I112" s="1234"/>
      <c r="J112" s="1234"/>
      <c r="K112" s="1234"/>
      <c r="L112" s="1234"/>
      <c r="M112" s="1234"/>
      <c r="N112" s="1234"/>
      <c r="O112" s="1234"/>
      <c r="P112" s="1234"/>
      <c r="Q112" s="1234"/>
      <c r="R112" s="1234"/>
      <c r="S112" s="1234"/>
      <c r="T112" s="1234"/>
      <c r="U112" s="1234"/>
      <c r="V112" s="1234"/>
      <c r="W112" s="1234"/>
      <c r="X112" s="1234"/>
      <c r="Y112" s="1234"/>
      <c r="Z112" s="1234"/>
    </row>
    <row r="113" spans="1:26" ht="14.5">
      <c r="A113" s="1234"/>
      <c r="B113" s="1234"/>
      <c r="C113" s="1234"/>
      <c r="D113" s="1234"/>
      <c r="E113" s="1234"/>
      <c r="F113" s="1234"/>
      <c r="G113" s="1234"/>
      <c r="H113" s="1234"/>
      <c r="I113" s="1234"/>
      <c r="J113" s="1234"/>
      <c r="K113" s="1234"/>
      <c r="L113" s="1234"/>
      <c r="M113" s="1234"/>
      <c r="N113" s="1234"/>
      <c r="O113" s="1234"/>
      <c r="P113" s="1234"/>
      <c r="Q113" s="1234"/>
      <c r="R113" s="1234"/>
      <c r="S113" s="1234"/>
      <c r="T113" s="1234"/>
      <c r="U113" s="1234"/>
      <c r="V113" s="1234"/>
      <c r="W113" s="1234"/>
      <c r="X113" s="1234"/>
      <c r="Y113" s="1234"/>
      <c r="Z113" s="1234"/>
    </row>
    <row r="114" spans="1:26" ht="14.5">
      <c r="A114" s="1234"/>
      <c r="B114" s="1234"/>
      <c r="C114" s="1234"/>
      <c r="D114" s="1234"/>
      <c r="E114" s="1234"/>
      <c r="F114" s="1234"/>
      <c r="G114" s="1234"/>
      <c r="H114" s="1234"/>
      <c r="I114" s="1234"/>
      <c r="J114" s="1234"/>
      <c r="K114" s="1234"/>
      <c r="L114" s="1234"/>
      <c r="M114" s="1234"/>
      <c r="N114" s="1234"/>
      <c r="O114" s="1234"/>
      <c r="P114" s="1234"/>
      <c r="Q114" s="1234"/>
      <c r="R114" s="1234"/>
      <c r="S114" s="1234"/>
      <c r="T114" s="1234"/>
      <c r="U114" s="1234"/>
      <c r="V114" s="1234"/>
      <c r="W114" s="1234"/>
      <c r="X114" s="1234"/>
      <c r="Y114" s="1234"/>
      <c r="Z114" s="1234"/>
    </row>
    <row r="115" spans="1:26" ht="14.5">
      <c r="A115" s="1234"/>
      <c r="B115" s="1234"/>
      <c r="C115" s="1234"/>
      <c r="D115" s="1234"/>
      <c r="E115" s="1234"/>
      <c r="F115" s="1234"/>
      <c r="G115" s="1234"/>
      <c r="H115" s="1234"/>
      <c r="I115" s="1234"/>
      <c r="J115" s="1234"/>
      <c r="K115" s="1234"/>
      <c r="L115" s="1234"/>
      <c r="M115" s="1234"/>
      <c r="N115" s="1234"/>
      <c r="O115" s="1234"/>
      <c r="P115" s="1234"/>
      <c r="Q115" s="1234"/>
      <c r="R115" s="1234"/>
      <c r="S115" s="1234"/>
      <c r="T115" s="1234"/>
      <c r="U115" s="1234"/>
      <c r="V115" s="1234"/>
      <c r="W115" s="1234"/>
      <c r="X115" s="1234"/>
      <c r="Y115" s="1234"/>
      <c r="Z115" s="1234"/>
    </row>
    <row r="116" spans="1:26" ht="14.5">
      <c r="A116" s="1234"/>
      <c r="B116" s="1234"/>
      <c r="C116" s="1234"/>
      <c r="D116" s="1234"/>
      <c r="E116" s="1234"/>
      <c r="F116" s="1234"/>
      <c r="G116" s="1234"/>
      <c r="H116" s="1234"/>
      <c r="I116" s="1234"/>
      <c r="J116" s="1234"/>
      <c r="K116" s="1234"/>
      <c r="L116" s="1234"/>
      <c r="M116" s="1234"/>
      <c r="N116" s="1234"/>
      <c r="O116" s="1234"/>
      <c r="P116" s="1234"/>
      <c r="Q116" s="1234"/>
      <c r="R116" s="1234"/>
      <c r="S116" s="1234"/>
      <c r="T116" s="1234"/>
      <c r="U116" s="1234"/>
      <c r="V116" s="1234"/>
      <c r="W116" s="1234"/>
      <c r="X116" s="1234"/>
      <c r="Y116" s="1234"/>
      <c r="Z116" s="1234"/>
    </row>
    <row r="117" spans="1:26" ht="14.5">
      <c r="A117" s="1234"/>
      <c r="B117" s="1234"/>
      <c r="C117" s="1234"/>
      <c r="D117" s="1234"/>
      <c r="E117" s="1234"/>
      <c r="F117" s="1234"/>
      <c r="G117" s="1234"/>
      <c r="H117" s="1234"/>
      <c r="I117" s="1234"/>
      <c r="J117" s="1234"/>
      <c r="K117" s="1234"/>
      <c r="L117" s="1234"/>
      <c r="M117" s="1234"/>
      <c r="N117" s="1234"/>
      <c r="O117" s="1234"/>
      <c r="P117" s="1234"/>
      <c r="Q117" s="1234"/>
      <c r="R117" s="1234"/>
      <c r="S117" s="1234"/>
      <c r="T117" s="1234"/>
      <c r="U117" s="1234"/>
      <c r="V117" s="1234"/>
      <c r="W117" s="1234"/>
      <c r="X117" s="1234"/>
      <c r="Y117" s="1234"/>
      <c r="Z117" s="1234"/>
    </row>
    <row r="118" spans="1:26" ht="14.5">
      <c r="A118" s="1234"/>
      <c r="B118" s="1234"/>
      <c r="C118" s="1234"/>
      <c r="D118" s="1234"/>
      <c r="E118" s="1234"/>
      <c r="F118" s="1234"/>
      <c r="G118" s="1234"/>
      <c r="H118" s="1234"/>
      <c r="I118" s="1234"/>
      <c r="J118" s="1234"/>
      <c r="K118" s="1234"/>
      <c r="L118" s="1234"/>
      <c r="M118" s="1234"/>
      <c r="N118" s="1234"/>
      <c r="O118" s="1234"/>
      <c r="P118" s="1234"/>
      <c r="Q118" s="1234"/>
      <c r="R118" s="1234"/>
      <c r="S118" s="1234"/>
      <c r="T118" s="1234"/>
      <c r="U118" s="1234"/>
      <c r="V118" s="1234"/>
      <c r="W118" s="1234"/>
      <c r="X118" s="1234"/>
      <c r="Y118" s="1234"/>
      <c r="Z118" s="1234"/>
    </row>
    <row r="119" spans="1:26" ht="14.5">
      <c r="A119" s="1234"/>
      <c r="B119" s="1234"/>
      <c r="C119" s="1234"/>
      <c r="D119" s="1234"/>
      <c r="E119" s="1234"/>
      <c r="F119" s="1234"/>
      <c r="G119" s="1234"/>
      <c r="H119" s="1234"/>
      <c r="I119" s="1234"/>
      <c r="J119" s="1234"/>
      <c r="K119" s="1234"/>
      <c r="L119" s="1234"/>
      <c r="M119" s="1234"/>
      <c r="N119" s="1234"/>
      <c r="O119" s="1234"/>
      <c r="P119" s="1234"/>
      <c r="Q119" s="1234"/>
      <c r="R119" s="1234"/>
      <c r="S119" s="1234"/>
      <c r="T119" s="1234"/>
      <c r="U119" s="1234"/>
      <c r="V119" s="1234"/>
      <c r="W119" s="1234"/>
      <c r="X119" s="1234"/>
      <c r="Y119" s="1234"/>
      <c r="Z119" s="1234"/>
    </row>
    <row r="120" spans="1:26" ht="14.5">
      <c r="A120" s="1234"/>
      <c r="B120" s="1234"/>
      <c r="C120" s="1234"/>
      <c r="D120" s="1234"/>
      <c r="E120" s="1234"/>
      <c r="F120" s="1234"/>
      <c r="G120" s="1234"/>
      <c r="H120" s="1234"/>
      <c r="I120" s="1234"/>
      <c r="J120" s="1234"/>
      <c r="K120" s="1234"/>
      <c r="L120" s="1234"/>
      <c r="M120" s="1234"/>
      <c r="N120" s="1234"/>
      <c r="O120" s="1234"/>
      <c r="P120" s="1234"/>
      <c r="Q120" s="1234"/>
      <c r="R120" s="1234"/>
      <c r="S120" s="1234"/>
      <c r="T120" s="1234"/>
      <c r="U120" s="1234"/>
      <c r="V120" s="1234"/>
      <c r="W120" s="1234"/>
      <c r="X120" s="1234"/>
      <c r="Y120" s="1234"/>
      <c r="Z120" s="1234"/>
    </row>
    <row r="121" spans="1:26" ht="14.5">
      <c r="A121" s="1234"/>
      <c r="B121" s="1234"/>
      <c r="C121" s="1234"/>
      <c r="D121" s="1234"/>
      <c r="E121" s="1234"/>
      <c r="F121" s="1234"/>
      <c r="G121" s="1234"/>
      <c r="H121" s="1234"/>
      <c r="I121" s="1234"/>
      <c r="J121" s="1234"/>
      <c r="K121" s="1234"/>
      <c r="L121" s="1234"/>
      <c r="M121" s="1234"/>
      <c r="N121" s="1234"/>
      <c r="O121" s="1234"/>
      <c r="P121" s="1234"/>
      <c r="Q121" s="1234"/>
      <c r="R121" s="1234"/>
      <c r="S121" s="1234"/>
      <c r="T121" s="1234"/>
      <c r="U121" s="1234"/>
      <c r="V121" s="1234"/>
      <c r="W121" s="1234"/>
      <c r="X121" s="1234"/>
      <c r="Y121" s="1234"/>
      <c r="Z121" s="1234"/>
    </row>
    <row r="122" spans="1:26" ht="14.5">
      <c r="A122" s="1234"/>
      <c r="B122" s="1234"/>
      <c r="C122" s="1234"/>
      <c r="D122" s="1234"/>
      <c r="E122" s="1234"/>
      <c r="F122" s="1234"/>
      <c r="G122" s="1234"/>
      <c r="H122" s="1234"/>
      <c r="I122" s="1234"/>
      <c r="J122" s="1234"/>
      <c r="K122" s="1234"/>
      <c r="L122" s="1234"/>
      <c r="M122" s="1234"/>
      <c r="N122" s="1234"/>
      <c r="O122" s="1234"/>
      <c r="P122" s="1234"/>
      <c r="Q122" s="1234"/>
      <c r="R122" s="1234"/>
      <c r="S122" s="1234"/>
      <c r="T122" s="1234"/>
      <c r="U122" s="1234"/>
      <c r="V122" s="1234"/>
      <c r="W122" s="1234"/>
      <c r="X122" s="1234"/>
      <c r="Y122" s="1234"/>
      <c r="Z122" s="1234"/>
    </row>
    <row r="123" spans="1:26" ht="14.5">
      <c r="A123" s="1234"/>
      <c r="B123" s="1234"/>
      <c r="C123" s="1234"/>
      <c r="D123" s="1234"/>
      <c r="E123" s="1234"/>
      <c r="F123" s="1234"/>
      <c r="G123" s="1234"/>
      <c r="H123" s="1234"/>
      <c r="I123" s="1234"/>
      <c r="J123" s="1234"/>
      <c r="K123" s="1234"/>
      <c r="L123" s="1234"/>
      <c r="M123" s="1234"/>
      <c r="N123" s="1234"/>
      <c r="O123" s="1234"/>
      <c r="P123" s="1234"/>
      <c r="Q123" s="1234"/>
      <c r="R123" s="1234"/>
      <c r="S123" s="1234"/>
      <c r="T123" s="1234"/>
      <c r="U123" s="1234"/>
      <c r="V123" s="1234"/>
      <c r="W123" s="1234"/>
      <c r="X123" s="1234"/>
      <c r="Y123" s="1234"/>
      <c r="Z123" s="1234"/>
    </row>
    <row r="124" spans="1:26" ht="14.5">
      <c r="A124" s="1234"/>
      <c r="B124" s="1234"/>
      <c r="C124" s="1234"/>
      <c r="D124" s="1234"/>
      <c r="E124" s="1234"/>
      <c r="F124" s="1234"/>
      <c r="G124" s="1234"/>
      <c r="H124" s="1234"/>
      <c r="I124" s="1234"/>
      <c r="J124" s="1234"/>
      <c r="K124" s="1234"/>
      <c r="L124" s="1234"/>
      <c r="M124" s="1234"/>
      <c r="N124" s="1234"/>
      <c r="O124" s="1234"/>
      <c r="P124" s="1234"/>
      <c r="Q124" s="1234"/>
      <c r="R124" s="1234"/>
      <c r="S124" s="1234"/>
      <c r="T124" s="1234"/>
      <c r="U124" s="1234"/>
      <c r="V124" s="1234"/>
      <c r="W124" s="1234"/>
      <c r="X124" s="1234"/>
      <c r="Y124" s="1234"/>
      <c r="Z124" s="1234"/>
    </row>
    <row r="125" spans="1:26" ht="14.5">
      <c r="A125" s="1234"/>
      <c r="B125" s="1234"/>
      <c r="C125" s="1234"/>
      <c r="D125" s="1234"/>
      <c r="E125" s="1234"/>
      <c r="F125" s="1234"/>
      <c r="G125" s="1234"/>
      <c r="H125" s="1234"/>
      <c r="I125" s="1234"/>
      <c r="J125" s="1234"/>
      <c r="K125" s="1234"/>
      <c r="L125" s="1234"/>
      <c r="M125" s="1234"/>
      <c r="N125" s="1234"/>
      <c r="O125" s="1234"/>
      <c r="P125" s="1234"/>
      <c r="Q125" s="1234"/>
      <c r="R125" s="1234"/>
      <c r="S125" s="1234"/>
      <c r="T125" s="1234"/>
      <c r="U125" s="1234"/>
      <c r="V125" s="1234"/>
      <c r="W125" s="1234"/>
      <c r="X125" s="1234"/>
      <c r="Y125" s="1234"/>
      <c r="Z125" s="1234"/>
    </row>
    <row r="126" spans="1:26" ht="14.5">
      <c r="A126" s="1234"/>
      <c r="B126" s="1234"/>
      <c r="C126" s="1234"/>
      <c r="D126" s="1234"/>
      <c r="E126" s="1234"/>
      <c r="F126" s="1234"/>
      <c r="G126" s="1234"/>
      <c r="H126" s="1234"/>
      <c r="I126" s="1234"/>
      <c r="J126" s="1234"/>
      <c r="K126" s="1234"/>
      <c r="L126" s="1234"/>
      <c r="M126" s="1234"/>
      <c r="N126" s="1234"/>
      <c r="O126" s="1234"/>
      <c r="P126" s="1234"/>
      <c r="Q126" s="1234"/>
      <c r="R126" s="1234"/>
      <c r="S126" s="1234"/>
      <c r="T126" s="1234"/>
      <c r="U126" s="1234"/>
      <c r="V126" s="1234"/>
      <c r="W126" s="1234"/>
      <c r="X126" s="1234"/>
      <c r="Y126" s="1234"/>
      <c r="Z126" s="1234"/>
    </row>
    <row r="127" spans="1:26" ht="14.5">
      <c r="A127" s="1234"/>
      <c r="B127" s="1234"/>
      <c r="C127" s="1234"/>
      <c r="D127" s="1234"/>
      <c r="E127" s="1234"/>
      <c r="F127" s="1234"/>
      <c r="G127" s="1234"/>
      <c r="H127" s="1234"/>
      <c r="I127" s="1234"/>
      <c r="J127" s="1234"/>
      <c r="K127" s="1234"/>
      <c r="L127" s="1234"/>
      <c r="M127" s="1234"/>
      <c r="N127" s="1234"/>
      <c r="O127" s="1234"/>
      <c r="P127" s="1234"/>
      <c r="Q127" s="1234"/>
      <c r="R127" s="1234"/>
      <c r="S127" s="1234"/>
      <c r="T127" s="1234"/>
      <c r="U127" s="1234"/>
      <c r="V127" s="1234"/>
      <c r="W127" s="1234"/>
      <c r="X127" s="1234"/>
      <c r="Y127" s="1234"/>
      <c r="Z127" s="1234"/>
    </row>
    <row r="128" spans="1:26" ht="14.5">
      <c r="A128" s="1234"/>
      <c r="B128" s="1234"/>
      <c r="C128" s="1234"/>
      <c r="D128" s="1234"/>
      <c r="E128" s="1234"/>
      <c r="F128" s="1234"/>
      <c r="G128" s="1234"/>
      <c r="H128" s="1234"/>
      <c r="I128" s="1234"/>
      <c r="J128" s="1234"/>
      <c r="K128" s="1234"/>
      <c r="L128" s="1234"/>
      <c r="M128" s="1234"/>
      <c r="N128" s="1234"/>
      <c r="O128" s="1234"/>
      <c r="P128" s="1234"/>
      <c r="Q128" s="1234"/>
      <c r="R128" s="1234"/>
      <c r="S128" s="1234"/>
      <c r="T128" s="1234"/>
      <c r="U128" s="1234"/>
      <c r="V128" s="1234"/>
      <c r="W128" s="1234"/>
      <c r="X128" s="1234"/>
      <c r="Y128" s="1234"/>
      <c r="Z128" s="1234"/>
    </row>
    <row r="129" spans="1:26" ht="14.5">
      <c r="A129" s="1234"/>
      <c r="B129" s="1234"/>
      <c r="C129" s="1234"/>
      <c r="D129" s="1234"/>
      <c r="E129" s="1234"/>
      <c r="F129" s="1234"/>
      <c r="G129" s="1234"/>
      <c r="H129" s="1234"/>
      <c r="I129" s="1234"/>
      <c r="J129" s="1234"/>
      <c r="K129" s="1234"/>
      <c r="L129" s="1234"/>
      <c r="M129" s="1234"/>
      <c r="N129" s="1234"/>
      <c r="O129" s="1234"/>
      <c r="P129" s="1234"/>
      <c r="Q129" s="1234"/>
      <c r="R129" s="1234"/>
      <c r="S129" s="1234"/>
      <c r="T129" s="1234"/>
      <c r="U129" s="1234"/>
      <c r="V129" s="1234"/>
      <c r="W129" s="1234"/>
      <c r="X129" s="1234"/>
      <c r="Y129" s="1234"/>
      <c r="Z129" s="1234"/>
    </row>
    <row r="130" spans="1:26" ht="14.5">
      <c r="A130" s="1234"/>
      <c r="B130" s="1234"/>
      <c r="C130" s="1234"/>
      <c r="D130" s="1234"/>
      <c r="E130" s="1234"/>
      <c r="F130" s="1234"/>
      <c r="G130" s="1234"/>
      <c r="H130" s="1234"/>
      <c r="I130" s="1234"/>
      <c r="J130" s="1234"/>
      <c r="K130" s="1234"/>
      <c r="L130" s="1234"/>
      <c r="M130" s="1234"/>
      <c r="N130" s="1234"/>
      <c r="O130" s="1234"/>
      <c r="P130" s="1234"/>
      <c r="Q130" s="1234"/>
      <c r="R130" s="1234"/>
      <c r="S130" s="1234"/>
      <c r="T130" s="1234"/>
      <c r="U130" s="1234"/>
      <c r="V130" s="1234"/>
      <c r="W130" s="1234"/>
      <c r="X130" s="1234"/>
      <c r="Y130" s="1234"/>
      <c r="Z130" s="1234"/>
    </row>
    <row r="131" spans="1:26" ht="14.5">
      <c r="A131" s="1234"/>
      <c r="B131" s="1234"/>
      <c r="C131" s="1234"/>
      <c r="D131" s="1234"/>
      <c r="E131" s="1234"/>
      <c r="F131" s="1234"/>
      <c r="G131" s="1234"/>
      <c r="H131" s="1234"/>
      <c r="I131" s="1234"/>
      <c r="J131" s="1234"/>
      <c r="K131" s="1234"/>
      <c r="L131" s="1234"/>
      <c r="M131" s="1234"/>
      <c r="N131" s="1234"/>
      <c r="O131" s="1234"/>
      <c r="P131" s="1234"/>
      <c r="Q131" s="1234"/>
      <c r="R131" s="1234"/>
      <c r="S131" s="1234"/>
      <c r="T131" s="1234"/>
      <c r="U131" s="1234"/>
      <c r="V131" s="1234"/>
      <c r="W131" s="1234"/>
      <c r="X131" s="1234"/>
      <c r="Y131" s="1234"/>
      <c r="Z131" s="1234"/>
    </row>
    <row r="132" spans="1:26" ht="14.5">
      <c r="A132" s="1234"/>
      <c r="B132" s="1234"/>
      <c r="C132" s="1234"/>
      <c r="D132" s="1234"/>
      <c r="E132" s="1234"/>
      <c r="F132" s="1234"/>
      <c r="G132" s="1234"/>
      <c r="H132" s="1234"/>
      <c r="I132" s="1234"/>
      <c r="J132" s="1234"/>
      <c r="K132" s="1234"/>
      <c r="L132" s="1234"/>
      <c r="M132" s="1234"/>
      <c r="N132" s="1234"/>
      <c r="O132" s="1234"/>
      <c r="P132" s="1234"/>
      <c r="Q132" s="1234"/>
      <c r="R132" s="1234"/>
      <c r="S132" s="1234"/>
      <c r="T132" s="1234"/>
      <c r="U132" s="1234"/>
      <c r="V132" s="1234"/>
      <c r="W132" s="1234"/>
      <c r="X132" s="1234"/>
      <c r="Y132" s="1234"/>
      <c r="Z132" s="1234"/>
    </row>
    <row r="133" spans="1:26" ht="14.5">
      <c r="A133" s="1234"/>
      <c r="B133" s="1234"/>
      <c r="C133" s="1234"/>
      <c r="D133" s="1234"/>
      <c r="E133" s="1234"/>
      <c r="F133" s="1234"/>
      <c r="G133" s="1234"/>
      <c r="H133" s="1234"/>
      <c r="I133" s="1234"/>
      <c r="J133" s="1234"/>
      <c r="K133" s="1234"/>
      <c r="L133" s="1234"/>
      <c r="M133" s="1234"/>
      <c r="N133" s="1234"/>
      <c r="O133" s="1234"/>
      <c r="P133" s="1234"/>
      <c r="Q133" s="1234"/>
      <c r="R133" s="1234"/>
      <c r="S133" s="1234"/>
      <c r="T133" s="1234"/>
      <c r="U133" s="1234"/>
      <c r="V133" s="1234"/>
      <c r="W133" s="1234"/>
      <c r="X133" s="1234"/>
      <c r="Y133" s="1234"/>
      <c r="Z133" s="1234"/>
    </row>
    <row r="134" spans="1:26" ht="14.5">
      <c r="A134" s="1234"/>
      <c r="B134" s="1234"/>
      <c r="C134" s="1234"/>
      <c r="D134" s="1234"/>
      <c r="E134" s="1234"/>
      <c r="F134" s="1234"/>
      <c r="G134" s="1234"/>
      <c r="H134" s="1234"/>
      <c r="I134" s="1234"/>
      <c r="J134" s="1234"/>
      <c r="K134" s="1234"/>
      <c r="L134" s="1234"/>
      <c r="M134" s="1234"/>
      <c r="N134" s="1234"/>
      <c r="O134" s="1234"/>
      <c r="P134" s="1234"/>
      <c r="Q134" s="1234"/>
      <c r="R134" s="1234"/>
      <c r="S134" s="1234"/>
      <c r="T134" s="1234"/>
      <c r="U134" s="1234"/>
      <c r="V134" s="1234"/>
      <c r="W134" s="1234"/>
      <c r="X134" s="1234"/>
      <c r="Y134" s="1234"/>
      <c r="Z134" s="1234"/>
    </row>
    <row r="135" spans="1:26" ht="14.5">
      <c r="A135" s="1234"/>
      <c r="B135" s="1234"/>
      <c r="C135" s="1234"/>
      <c r="D135" s="1234"/>
      <c r="E135" s="1234"/>
      <c r="F135" s="1234"/>
      <c r="G135" s="1234"/>
      <c r="H135" s="1234"/>
      <c r="I135" s="1234"/>
      <c r="J135" s="1234"/>
      <c r="K135" s="1234"/>
      <c r="L135" s="1234"/>
      <c r="M135" s="1234"/>
      <c r="N135" s="1234"/>
      <c r="O135" s="1234"/>
      <c r="P135" s="1234"/>
      <c r="Q135" s="1234"/>
      <c r="R135" s="1234"/>
      <c r="S135" s="1234"/>
      <c r="T135" s="1234"/>
      <c r="U135" s="1234"/>
      <c r="V135" s="1234"/>
      <c r="W135" s="1234"/>
      <c r="X135" s="1234"/>
      <c r="Y135" s="1234"/>
      <c r="Z135" s="1234"/>
    </row>
    <row r="136" spans="1:26" ht="14.5">
      <c r="A136" s="1234"/>
      <c r="B136" s="1234"/>
      <c r="C136" s="1234"/>
      <c r="D136" s="1234"/>
      <c r="E136" s="1234"/>
      <c r="F136" s="1234"/>
      <c r="G136" s="1234"/>
      <c r="H136" s="1234"/>
      <c r="I136" s="1234"/>
      <c r="J136" s="1234"/>
      <c r="K136" s="1234"/>
      <c r="L136" s="1234"/>
      <c r="M136" s="1234"/>
      <c r="N136" s="1234"/>
      <c r="O136" s="1234"/>
      <c r="P136" s="1234"/>
      <c r="Q136" s="1234"/>
      <c r="R136" s="1234"/>
      <c r="S136" s="1234"/>
      <c r="T136" s="1234"/>
      <c r="U136" s="1234"/>
      <c r="V136" s="1234"/>
      <c r="W136" s="1234"/>
      <c r="X136" s="1234"/>
      <c r="Y136" s="1234"/>
      <c r="Z136" s="1234"/>
    </row>
    <row r="137" spans="1:26" ht="14.5">
      <c r="A137" s="1234"/>
      <c r="B137" s="1234"/>
      <c r="C137" s="1234"/>
      <c r="D137" s="1234"/>
      <c r="E137" s="1234"/>
      <c r="F137" s="1234"/>
      <c r="G137" s="1234"/>
      <c r="H137" s="1234"/>
      <c r="I137" s="1234"/>
      <c r="J137" s="1234"/>
      <c r="K137" s="1234"/>
      <c r="L137" s="1234"/>
      <c r="M137" s="1234"/>
      <c r="N137" s="1234"/>
      <c r="O137" s="1234"/>
      <c r="P137" s="1234"/>
      <c r="Q137" s="1234"/>
      <c r="R137" s="1234"/>
      <c r="S137" s="1234"/>
      <c r="T137" s="1234"/>
      <c r="U137" s="1234"/>
      <c r="V137" s="1234"/>
      <c r="W137" s="1234"/>
      <c r="X137" s="1234"/>
      <c r="Y137" s="1234"/>
      <c r="Z137" s="1234"/>
    </row>
    <row r="138" spans="1:26" ht="14.5">
      <c r="A138" s="1234"/>
      <c r="B138" s="1234"/>
      <c r="C138" s="1234"/>
      <c r="D138" s="1234"/>
      <c r="E138" s="1234"/>
      <c r="F138" s="1234"/>
      <c r="G138" s="1234"/>
      <c r="H138" s="1234"/>
      <c r="I138" s="1234"/>
      <c r="J138" s="1234"/>
      <c r="K138" s="1234"/>
      <c r="L138" s="1234"/>
      <c r="M138" s="1234"/>
      <c r="N138" s="1234"/>
      <c r="O138" s="1234"/>
      <c r="P138" s="1234"/>
      <c r="Q138" s="1234"/>
      <c r="R138" s="1234"/>
      <c r="S138" s="1234"/>
      <c r="T138" s="1234"/>
      <c r="U138" s="1234"/>
      <c r="V138" s="1234"/>
      <c r="W138" s="1234"/>
      <c r="X138" s="1234"/>
      <c r="Y138" s="1234"/>
      <c r="Z138" s="1234"/>
    </row>
    <row r="139" spans="1:26" ht="14.5">
      <c r="A139" s="1234"/>
      <c r="B139" s="1234"/>
      <c r="C139" s="1234"/>
      <c r="D139" s="1234"/>
      <c r="E139" s="1234"/>
      <c r="F139" s="1234"/>
      <c r="G139" s="1234"/>
      <c r="H139" s="1234"/>
      <c r="I139" s="1234"/>
      <c r="J139" s="1234"/>
      <c r="K139" s="1234"/>
      <c r="L139" s="1234"/>
      <c r="M139" s="1234"/>
      <c r="N139" s="1234"/>
      <c r="O139" s="1234"/>
      <c r="P139" s="1234"/>
      <c r="Q139" s="1234"/>
      <c r="R139" s="1234"/>
      <c r="S139" s="1234"/>
      <c r="T139" s="1234"/>
      <c r="U139" s="1234"/>
      <c r="V139" s="1234"/>
      <c r="W139" s="1234"/>
      <c r="X139" s="1234"/>
      <c r="Y139" s="1234"/>
      <c r="Z139" s="1234"/>
    </row>
    <row r="140" spans="1:26" ht="14.5">
      <c r="A140" s="1234"/>
      <c r="B140" s="1234"/>
      <c r="C140" s="1234"/>
      <c r="D140" s="1234"/>
      <c r="E140" s="1234"/>
      <c r="F140" s="1234"/>
      <c r="G140" s="1234"/>
      <c r="H140" s="1234"/>
      <c r="I140" s="1234"/>
      <c r="J140" s="1234"/>
      <c r="K140" s="1234"/>
      <c r="L140" s="1234"/>
      <c r="M140" s="1234"/>
      <c r="N140" s="1234"/>
      <c r="O140" s="1234"/>
      <c r="P140" s="1234"/>
      <c r="Q140" s="1234"/>
      <c r="R140" s="1234"/>
      <c r="S140" s="1234"/>
      <c r="T140" s="1234"/>
      <c r="U140" s="1234"/>
      <c r="V140" s="1234"/>
      <c r="W140" s="1234"/>
      <c r="X140" s="1234"/>
      <c r="Y140" s="1234"/>
      <c r="Z140" s="1234"/>
    </row>
    <row r="141" spans="1:26" ht="14.5">
      <c r="A141" s="1234"/>
      <c r="B141" s="1234"/>
      <c r="C141" s="1234"/>
      <c r="D141" s="1234"/>
      <c r="E141" s="1234"/>
      <c r="F141" s="1234"/>
      <c r="G141" s="1234"/>
      <c r="H141" s="1234"/>
      <c r="I141" s="1234"/>
      <c r="J141" s="1234"/>
      <c r="K141" s="1234"/>
      <c r="L141" s="1234"/>
      <c r="M141" s="1234"/>
      <c r="N141" s="1234"/>
      <c r="O141" s="1234"/>
      <c r="P141" s="1234"/>
      <c r="Q141" s="1234"/>
      <c r="R141" s="1234"/>
      <c r="S141" s="1234"/>
      <c r="T141" s="1234"/>
      <c r="U141" s="1234"/>
      <c r="V141" s="1234"/>
      <c r="W141" s="1234"/>
      <c r="X141" s="1234"/>
      <c r="Y141" s="1234"/>
      <c r="Z141" s="1234"/>
    </row>
    <row r="142" spans="1:26" ht="14.5">
      <c r="A142" s="1234"/>
      <c r="B142" s="1234"/>
      <c r="C142" s="1234"/>
      <c r="D142" s="1234"/>
      <c r="E142" s="1234"/>
      <c r="F142" s="1234"/>
      <c r="G142" s="1234"/>
      <c r="H142" s="1234"/>
      <c r="I142" s="1234"/>
      <c r="J142" s="1234"/>
      <c r="K142" s="1234"/>
      <c r="L142" s="1234"/>
      <c r="M142" s="1234"/>
      <c r="N142" s="1234"/>
      <c r="O142" s="1234"/>
      <c r="P142" s="1234"/>
      <c r="Q142" s="1234"/>
      <c r="R142" s="1234"/>
      <c r="S142" s="1234"/>
      <c r="T142" s="1234"/>
      <c r="U142" s="1234"/>
      <c r="V142" s="1234"/>
      <c r="W142" s="1234"/>
      <c r="X142" s="1234"/>
      <c r="Y142" s="1234"/>
      <c r="Z142" s="1234"/>
    </row>
    <row r="143" spans="1:26" ht="14.5">
      <c r="A143" s="1234"/>
      <c r="B143" s="1234"/>
      <c r="C143" s="1234"/>
      <c r="D143" s="1234"/>
      <c r="E143" s="1234"/>
      <c r="F143" s="1234"/>
      <c r="G143" s="1234"/>
      <c r="H143" s="1234"/>
      <c r="I143" s="1234"/>
      <c r="J143" s="1234"/>
      <c r="K143" s="1234"/>
      <c r="L143" s="1234"/>
      <c r="M143" s="1234"/>
      <c r="N143" s="1234"/>
      <c r="O143" s="1234"/>
      <c r="P143" s="1234"/>
      <c r="Q143" s="1234"/>
      <c r="R143" s="1234"/>
      <c r="S143" s="1234"/>
      <c r="T143" s="1234"/>
      <c r="U143" s="1234"/>
      <c r="V143" s="1234"/>
      <c r="W143" s="1234"/>
      <c r="X143" s="1234"/>
      <c r="Y143" s="1234"/>
      <c r="Z143" s="1234"/>
    </row>
    <row r="144" spans="1:26" ht="14.5">
      <c r="A144" s="1234"/>
      <c r="B144" s="1234"/>
      <c r="C144" s="1234"/>
      <c r="D144" s="1234"/>
      <c r="E144" s="1234"/>
      <c r="F144" s="1234"/>
      <c r="G144" s="1234"/>
      <c r="H144" s="1234"/>
      <c r="I144" s="1234"/>
      <c r="J144" s="1234"/>
      <c r="K144" s="1234"/>
      <c r="L144" s="1234"/>
      <c r="M144" s="1234"/>
      <c r="N144" s="1234"/>
      <c r="O144" s="1234"/>
      <c r="P144" s="1234"/>
      <c r="Q144" s="1234"/>
      <c r="R144" s="1234"/>
      <c r="S144" s="1234"/>
      <c r="T144" s="1234"/>
      <c r="U144" s="1234"/>
      <c r="V144" s="1234"/>
      <c r="W144" s="1234"/>
      <c r="X144" s="1234"/>
      <c r="Y144" s="1234"/>
      <c r="Z144" s="1234"/>
    </row>
    <row r="145" spans="1:26" ht="14.5">
      <c r="A145" s="1234"/>
      <c r="B145" s="1234"/>
      <c r="C145" s="1234"/>
      <c r="D145" s="1234"/>
      <c r="E145" s="1234"/>
      <c r="F145" s="1234"/>
      <c r="G145" s="1234"/>
      <c r="H145" s="1234"/>
      <c r="I145" s="1234"/>
      <c r="J145" s="1234"/>
      <c r="K145" s="1234"/>
      <c r="L145" s="1234"/>
      <c r="M145" s="1234"/>
      <c r="N145" s="1234"/>
      <c r="O145" s="1234"/>
      <c r="P145" s="1234"/>
      <c r="Q145" s="1234"/>
      <c r="R145" s="1234"/>
      <c r="S145" s="1234"/>
      <c r="T145" s="1234"/>
      <c r="U145" s="1234"/>
      <c r="V145" s="1234"/>
      <c r="W145" s="1234"/>
      <c r="X145" s="1234"/>
      <c r="Y145" s="1234"/>
      <c r="Z145" s="1234"/>
    </row>
    <row r="146" spans="1:26" ht="14.5">
      <c r="A146" s="1234"/>
      <c r="B146" s="1234"/>
      <c r="C146" s="1234"/>
      <c r="D146" s="1234"/>
      <c r="E146" s="1234"/>
      <c r="F146" s="1234"/>
      <c r="G146" s="1234"/>
      <c r="H146" s="1234"/>
      <c r="I146" s="1234"/>
      <c r="J146" s="1234"/>
      <c r="K146" s="1234"/>
      <c r="L146" s="1234"/>
      <c r="M146" s="1234"/>
      <c r="N146" s="1234"/>
      <c r="O146" s="1234"/>
      <c r="P146" s="1234"/>
      <c r="Q146" s="1234"/>
      <c r="R146" s="1234"/>
      <c r="S146" s="1234"/>
      <c r="T146" s="1234"/>
      <c r="U146" s="1234"/>
      <c r="V146" s="1234"/>
      <c r="W146" s="1234"/>
      <c r="X146" s="1234"/>
      <c r="Y146" s="1234"/>
      <c r="Z146" s="1234"/>
    </row>
    <row r="147" spans="1:26" ht="14.5">
      <c r="A147" s="1234"/>
      <c r="B147" s="1234"/>
      <c r="C147" s="1234"/>
      <c r="D147" s="1234"/>
      <c r="E147" s="1234"/>
      <c r="F147" s="1234"/>
      <c r="G147" s="1234"/>
      <c r="H147" s="1234"/>
      <c r="I147" s="1234"/>
      <c r="J147" s="1234"/>
      <c r="K147" s="1234"/>
      <c r="L147" s="1234"/>
      <c r="M147" s="1234"/>
      <c r="N147" s="1234"/>
      <c r="O147" s="1234"/>
      <c r="P147" s="1234"/>
      <c r="Q147" s="1234"/>
      <c r="R147" s="1234"/>
      <c r="S147" s="1234"/>
      <c r="T147" s="1234"/>
      <c r="U147" s="1234"/>
      <c r="V147" s="1234"/>
      <c r="W147" s="1234"/>
      <c r="X147" s="1234"/>
      <c r="Y147" s="1234"/>
      <c r="Z147" s="1234"/>
    </row>
    <row r="148" spans="1:26" ht="14.5">
      <c r="A148" s="1234"/>
      <c r="B148" s="1234"/>
      <c r="C148" s="1234"/>
      <c r="D148" s="1234"/>
      <c r="E148" s="1234"/>
      <c r="F148" s="1234"/>
      <c r="G148" s="1234"/>
      <c r="H148" s="1234"/>
      <c r="I148" s="1234"/>
      <c r="J148" s="1234"/>
      <c r="K148" s="1234"/>
      <c r="L148" s="1234"/>
      <c r="M148" s="1234"/>
      <c r="N148" s="1234"/>
      <c r="O148" s="1234"/>
      <c r="P148" s="1234"/>
      <c r="Q148" s="1234"/>
      <c r="R148" s="1234"/>
      <c r="S148" s="1234"/>
      <c r="T148" s="1234"/>
      <c r="U148" s="1234"/>
      <c r="V148" s="1234"/>
      <c r="W148" s="1234"/>
      <c r="X148" s="1234"/>
      <c r="Y148" s="1234"/>
      <c r="Z148" s="1234"/>
    </row>
    <row r="149" spans="1:26" ht="14.5">
      <c r="A149" s="1234"/>
      <c r="B149" s="1234"/>
      <c r="C149" s="1234"/>
      <c r="D149" s="1234"/>
      <c r="E149" s="1234"/>
      <c r="F149" s="1234"/>
      <c r="G149" s="1234"/>
      <c r="H149" s="1234"/>
      <c r="I149" s="1234"/>
      <c r="J149" s="1234"/>
      <c r="K149" s="1234"/>
      <c r="L149" s="1234"/>
      <c r="M149" s="1234"/>
      <c r="N149" s="1234"/>
      <c r="O149" s="1234"/>
      <c r="P149" s="1234"/>
      <c r="Q149" s="1234"/>
      <c r="R149" s="1234"/>
      <c r="S149" s="1234"/>
      <c r="T149" s="1234"/>
      <c r="U149" s="1234"/>
      <c r="V149" s="1234"/>
      <c r="W149" s="1234"/>
      <c r="X149" s="1234"/>
      <c r="Y149" s="1234"/>
      <c r="Z149" s="1234"/>
    </row>
    <row r="150" spans="1:26" ht="14.5">
      <c r="A150" s="1234"/>
      <c r="B150" s="1234"/>
      <c r="C150" s="1234"/>
      <c r="D150" s="1234"/>
      <c r="E150" s="1234"/>
      <c r="F150" s="1234"/>
      <c r="G150" s="1234"/>
      <c r="H150" s="1234"/>
      <c r="I150" s="1234"/>
      <c r="J150" s="1234"/>
      <c r="K150" s="1234"/>
      <c r="L150" s="1234"/>
      <c r="M150" s="1234"/>
      <c r="N150" s="1234"/>
      <c r="O150" s="1234"/>
      <c r="P150" s="1234"/>
      <c r="Q150" s="1234"/>
      <c r="R150" s="1234"/>
      <c r="S150" s="1234"/>
      <c r="T150" s="1234"/>
      <c r="U150" s="1234"/>
      <c r="V150" s="1234"/>
      <c r="W150" s="1234"/>
      <c r="X150" s="1234"/>
      <c r="Y150" s="1234"/>
      <c r="Z150" s="1234"/>
    </row>
    <row r="151" spans="1:26" ht="14.5">
      <c r="A151" s="1234"/>
      <c r="B151" s="1234"/>
      <c r="C151" s="1234"/>
      <c r="D151" s="1234"/>
      <c r="E151" s="1234"/>
      <c r="F151" s="1234"/>
      <c r="G151" s="1234"/>
      <c r="H151" s="1234"/>
      <c r="I151" s="1234"/>
      <c r="J151" s="1234"/>
      <c r="K151" s="1234"/>
      <c r="L151" s="1234"/>
      <c r="M151" s="1234"/>
      <c r="N151" s="1234"/>
      <c r="O151" s="1234"/>
      <c r="P151" s="1234"/>
      <c r="Q151" s="1234"/>
      <c r="R151" s="1234"/>
      <c r="S151" s="1234"/>
      <c r="T151" s="1234"/>
      <c r="U151" s="1234"/>
      <c r="V151" s="1234"/>
      <c r="W151" s="1234"/>
      <c r="X151" s="1234"/>
      <c r="Y151" s="1234"/>
      <c r="Z151" s="1234"/>
    </row>
    <row r="152" spans="1:26" ht="14.5">
      <c r="A152" s="1234"/>
      <c r="B152" s="1234"/>
      <c r="C152" s="1234"/>
      <c r="D152" s="1234"/>
      <c r="E152" s="1234"/>
      <c r="F152" s="1234"/>
      <c r="G152" s="1234"/>
      <c r="H152" s="1234"/>
      <c r="I152" s="1234"/>
      <c r="J152" s="1234"/>
      <c r="K152" s="1234"/>
      <c r="L152" s="1234"/>
      <c r="M152" s="1234"/>
      <c r="N152" s="1234"/>
      <c r="O152" s="1234"/>
      <c r="P152" s="1234"/>
      <c r="Q152" s="1234"/>
      <c r="R152" s="1234"/>
      <c r="S152" s="1234"/>
      <c r="T152" s="1234"/>
      <c r="U152" s="1234"/>
      <c r="V152" s="1234"/>
      <c r="W152" s="1234"/>
      <c r="X152" s="1234"/>
      <c r="Y152" s="1234"/>
      <c r="Z152" s="1234"/>
    </row>
    <row r="153" spans="1:26" ht="14.5">
      <c r="A153" s="1234"/>
      <c r="B153" s="1234"/>
      <c r="C153" s="1234"/>
      <c r="D153" s="1234"/>
      <c r="E153" s="1234"/>
      <c r="F153" s="1234"/>
      <c r="G153" s="1234"/>
      <c r="H153" s="1234"/>
      <c r="I153" s="1234"/>
      <c r="J153" s="1234"/>
      <c r="K153" s="1234"/>
      <c r="L153" s="1234"/>
      <c r="M153" s="1234"/>
      <c r="N153" s="1234"/>
      <c r="O153" s="1234"/>
      <c r="P153" s="1234"/>
      <c r="Q153" s="1234"/>
      <c r="R153" s="1234"/>
      <c r="S153" s="1234"/>
      <c r="T153" s="1234"/>
      <c r="U153" s="1234"/>
      <c r="V153" s="1234"/>
      <c r="W153" s="1234"/>
      <c r="X153" s="1234"/>
      <c r="Y153" s="1234"/>
      <c r="Z153" s="1234"/>
    </row>
    <row r="154" spans="1:26" ht="14.5">
      <c r="A154" s="1234"/>
      <c r="B154" s="1234"/>
      <c r="C154" s="1234"/>
      <c r="D154" s="1234"/>
      <c r="E154" s="1234"/>
      <c r="F154" s="1234"/>
      <c r="G154" s="1234"/>
      <c r="H154" s="1234"/>
      <c r="I154" s="1234"/>
      <c r="J154" s="1234"/>
      <c r="K154" s="1234"/>
      <c r="L154" s="1234"/>
      <c r="M154" s="1234"/>
      <c r="N154" s="1234"/>
      <c r="O154" s="1234"/>
      <c r="P154" s="1234"/>
      <c r="Q154" s="1234"/>
      <c r="R154" s="1234"/>
      <c r="S154" s="1234"/>
      <c r="T154" s="1234"/>
      <c r="U154" s="1234"/>
      <c r="V154" s="1234"/>
      <c r="W154" s="1234"/>
      <c r="X154" s="1234"/>
      <c r="Y154" s="1234"/>
      <c r="Z154" s="1234"/>
    </row>
    <row r="155" spans="1:26" ht="14.5">
      <c r="A155" s="1234"/>
      <c r="B155" s="1234"/>
      <c r="C155" s="1234"/>
      <c r="D155" s="1234"/>
      <c r="E155" s="1234"/>
      <c r="F155" s="1234"/>
      <c r="G155" s="1234"/>
      <c r="H155" s="1234"/>
      <c r="I155" s="1234"/>
      <c r="J155" s="1234"/>
      <c r="K155" s="1234"/>
      <c r="L155" s="1234"/>
      <c r="M155" s="1234"/>
      <c r="N155" s="1234"/>
      <c r="O155" s="1234"/>
      <c r="P155" s="1234"/>
      <c r="Q155" s="1234"/>
      <c r="R155" s="1234"/>
      <c r="S155" s="1234"/>
      <c r="T155" s="1234"/>
      <c r="U155" s="1234"/>
      <c r="V155" s="1234"/>
      <c r="W155" s="1234"/>
      <c r="X155" s="1234"/>
      <c r="Y155" s="1234"/>
      <c r="Z155" s="1234"/>
    </row>
    <row r="156" spans="1:26" ht="14.5">
      <c r="A156" s="1234"/>
      <c r="B156" s="1234"/>
      <c r="C156" s="1234"/>
      <c r="D156" s="1234"/>
      <c r="E156" s="1234"/>
      <c r="F156" s="1234"/>
      <c r="G156" s="1234"/>
      <c r="H156" s="1234"/>
      <c r="I156" s="1234"/>
      <c r="J156" s="1234"/>
      <c r="K156" s="1234"/>
      <c r="L156" s="1234"/>
      <c r="M156" s="1234"/>
      <c r="N156" s="1234"/>
      <c r="O156" s="1234"/>
      <c r="P156" s="1234"/>
      <c r="Q156" s="1234"/>
      <c r="R156" s="1234"/>
      <c r="S156" s="1234"/>
      <c r="T156" s="1234"/>
      <c r="U156" s="1234"/>
      <c r="V156" s="1234"/>
      <c r="W156" s="1234"/>
      <c r="X156" s="1234"/>
      <c r="Y156" s="1234"/>
      <c r="Z156" s="1234"/>
    </row>
    <row r="157" spans="1:26" ht="14.5">
      <c r="A157" s="1234"/>
      <c r="B157" s="1234"/>
      <c r="C157" s="1234"/>
      <c r="D157" s="1234"/>
      <c r="E157" s="1234"/>
      <c r="F157" s="1234"/>
      <c r="G157" s="1234"/>
      <c r="H157" s="1234"/>
      <c r="I157" s="1234"/>
      <c r="J157" s="1234"/>
      <c r="K157" s="1234"/>
      <c r="L157" s="1234"/>
      <c r="M157" s="1234"/>
      <c r="N157" s="1234"/>
      <c r="O157" s="1234"/>
      <c r="P157" s="1234"/>
      <c r="Q157" s="1234"/>
      <c r="R157" s="1234"/>
      <c r="S157" s="1234"/>
      <c r="T157" s="1234"/>
      <c r="U157" s="1234"/>
      <c r="V157" s="1234"/>
      <c r="W157" s="1234"/>
      <c r="X157" s="1234"/>
      <c r="Y157" s="1234"/>
      <c r="Z157" s="1234"/>
    </row>
    <row r="158" spans="1:26" ht="14.5">
      <c r="A158" s="1234"/>
      <c r="B158" s="1234"/>
      <c r="C158" s="1234"/>
      <c r="D158" s="1234"/>
      <c r="E158" s="1234"/>
      <c r="F158" s="1234"/>
      <c r="G158" s="1234"/>
      <c r="H158" s="1234"/>
      <c r="I158" s="1234"/>
      <c r="J158" s="1234"/>
      <c r="K158" s="1234"/>
      <c r="L158" s="1234"/>
      <c r="M158" s="1234"/>
      <c r="N158" s="1234"/>
      <c r="O158" s="1234"/>
      <c r="P158" s="1234"/>
      <c r="Q158" s="1234"/>
      <c r="R158" s="1234"/>
      <c r="S158" s="1234"/>
      <c r="T158" s="1234"/>
      <c r="U158" s="1234"/>
      <c r="V158" s="1234"/>
      <c r="W158" s="1234"/>
      <c r="X158" s="1234"/>
      <c r="Y158" s="1234"/>
      <c r="Z158" s="1234"/>
    </row>
    <row r="159" spans="1:26" ht="14.5">
      <c r="A159" s="1234"/>
      <c r="B159" s="1234"/>
      <c r="C159" s="1234"/>
      <c r="D159" s="1234"/>
      <c r="E159" s="1234"/>
      <c r="F159" s="1234"/>
      <c r="G159" s="1234"/>
      <c r="H159" s="1234"/>
      <c r="I159" s="1234"/>
      <c r="J159" s="1234"/>
      <c r="K159" s="1234"/>
      <c r="L159" s="1234"/>
      <c r="M159" s="1234"/>
      <c r="N159" s="1234"/>
      <c r="O159" s="1234"/>
      <c r="P159" s="1234"/>
      <c r="Q159" s="1234"/>
      <c r="R159" s="1234"/>
      <c r="S159" s="1234"/>
      <c r="T159" s="1234"/>
      <c r="U159" s="1234"/>
      <c r="V159" s="1234"/>
      <c r="W159" s="1234"/>
      <c r="X159" s="1234"/>
      <c r="Y159" s="1234"/>
      <c r="Z159" s="1234"/>
    </row>
    <row r="160" spans="1:26" ht="14.5">
      <c r="A160" s="1234"/>
      <c r="B160" s="1234"/>
      <c r="C160" s="1234"/>
      <c r="D160" s="1234"/>
      <c r="E160" s="1234"/>
      <c r="F160" s="1234"/>
      <c r="G160" s="1234"/>
      <c r="H160" s="1234"/>
      <c r="I160" s="1234"/>
      <c r="J160" s="1234"/>
      <c r="K160" s="1234"/>
      <c r="L160" s="1234"/>
      <c r="M160" s="1234"/>
      <c r="N160" s="1234"/>
      <c r="O160" s="1234"/>
      <c r="P160" s="1234"/>
      <c r="Q160" s="1234"/>
      <c r="R160" s="1234"/>
      <c r="S160" s="1234"/>
      <c r="T160" s="1234"/>
      <c r="U160" s="1234"/>
      <c r="V160" s="1234"/>
      <c r="W160" s="1234"/>
      <c r="X160" s="1234"/>
      <c r="Y160" s="1234"/>
      <c r="Z160" s="1234"/>
    </row>
    <row r="161" spans="1:26" ht="14.5">
      <c r="A161" s="1234"/>
      <c r="B161" s="1234"/>
      <c r="C161" s="1234"/>
      <c r="D161" s="1234"/>
      <c r="E161" s="1234"/>
      <c r="F161" s="1234"/>
      <c r="G161" s="1234"/>
      <c r="H161" s="1234"/>
      <c r="I161" s="1234"/>
      <c r="J161" s="1234"/>
      <c r="K161" s="1234"/>
      <c r="L161" s="1234"/>
      <c r="M161" s="1234"/>
      <c r="N161" s="1234"/>
      <c r="O161" s="1234"/>
      <c r="P161" s="1234"/>
      <c r="Q161" s="1234"/>
      <c r="R161" s="1234"/>
      <c r="S161" s="1234"/>
      <c r="T161" s="1234"/>
      <c r="U161" s="1234"/>
      <c r="V161" s="1234"/>
      <c r="W161" s="1234"/>
      <c r="X161" s="1234"/>
      <c r="Y161" s="1234"/>
      <c r="Z161" s="1234"/>
    </row>
    <row r="162" spans="1:26" ht="14.5">
      <c r="A162" s="1234"/>
      <c r="B162" s="1234"/>
      <c r="C162" s="1234"/>
      <c r="D162" s="1234"/>
      <c r="E162" s="1234"/>
      <c r="F162" s="1234"/>
      <c r="G162" s="1234"/>
      <c r="H162" s="1234"/>
      <c r="I162" s="1234"/>
      <c r="J162" s="1234"/>
      <c r="K162" s="1234"/>
      <c r="L162" s="1234"/>
      <c r="M162" s="1234"/>
      <c r="N162" s="1234"/>
      <c r="O162" s="1234"/>
      <c r="P162" s="1234"/>
      <c r="Q162" s="1234"/>
      <c r="R162" s="1234"/>
      <c r="S162" s="1234"/>
      <c r="T162" s="1234"/>
      <c r="U162" s="1234"/>
      <c r="V162" s="1234"/>
      <c r="W162" s="1234"/>
      <c r="X162" s="1234"/>
      <c r="Y162" s="1234"/>
      <c r="Z162" s="1234"/>
    </row>
    <row r="163" spans="1:26" ht="14.5">
      <c r="A163" s="1234"/>
      <c r="B163" s="1234"/>
      <c r="C163" s="1234"/>
      <c r="D163" s="1234"/>
      <c r="E163" s="1234"/>
      <c r="F163" s="1234"/>
      <c r="G163" s="1234"/>
      <c r="H163" s="1234"/>
      <c r="I163" s="1234"/>
      <c r="J163" s="1234"/>
      <c r="K163" s="1234"/>
      <c r="L163" s="1234"/>
      <c r="M163" s="1234"/>
      <c r="N163" s="1234"/>
      <c r="O163" s="1234"/>
      <c r="P163" s="1234"/>
      <c r="Q163" s="1234"/>
      <c r="R163" s="1234"/>
      <c r="S163" s="1234"/>
      <c r="T163" s="1234"/>
      <c r="U163" s="1234"/>
      <c r="V163" s="1234"/>
      <c r="W163" s="1234"/>
      <c r="X163" s="1234"/>
      <c r="Y163" s="1234"/>
      <c r="Z163" s="1234"/>
    </row>
    <row r="164" spans="1:26" ht="14.5">
      <c r="A164" s="1234"/>
      <c r="B164" s="1234"/>
      <c r="C164" s="1234"/>
      <c r="D164" s="1234"/>
      <c r="E164" s="1234"/>
      <c r="F164" s="1234"/>
      <c r="G164" s="1234"/>
      <c r="H164" s="1234"/>
      <c r="I164" s="1234"/>
      <c r="J164" s="1234"/>
      <c r="K164" s="1234"/>
      <c r="L164" s="1234"/>
      <c r="M164" s="1234"/>
      <c r="N164" s="1234"/>
      <c r="O164" s="1234"/>
      <c r="P164" s="1234"/>
      <c r="Q164" s="1234"/>
      <c r="R164" s="1234"/>
      <c r="S164" s="1234"/>
      <c r="T164" s="1234"/>
      <c r="U164" s="1234"/>
      <c r="V164" s="1234"/>
      <c r="W164" s="1234"/>
      <c r="X164" s="1234"/>
      <c r="Y164" s="1234"/>
      <c r="Z164" s="1234"/>
    </row>
    <row r="165" spans="1:26" ht="14.5">
      <c r="A165" s="1234"/>
      <c r="B165" s="1234"/>
      <c r="C165" s="1234"/>
      <c r="D165" s="1234"/>
      <c r="E165" s="1234"/>
      <c r="F165" s="1234"/>
      <c r="G165" s="1234"/>
      <c r="H165" s="1234"/>
      <c r="I165" s="1234"/>
      <c r="J165" s="1234"/>
      <c r="K165" s="1234"/>
      <c r="L165" s="1234"/>
      <c r="M165" s="1234"/>
      <c r="N165" s="1234"/>
      <c r="O165" s="1234"/>
      <c r="P165" s="1234"/>
      <c r="Q165" s="1234"/>
      <c r="R165" s="1234"/>
      <c r="S165" s="1234"/>
      <c r="T165" s="1234"/>
      <c r="U165" s="1234"/>
      <c r="V165" s="1234"/>
      <c r="W165" s="1234"/>
      <c r="X165" s="1234"/>
      <c r="Y165" s="1234"/>
      <c r="Z165" s="1234"/>
    </row>
    <row r="166" spans="1:26" ht="14.5">
      <c r="A166" s="1234"/>
      <c r="B166" s="1234"/>
      <c r="C166" s="1234"/>
      <c r="D166" s="1234"/>
      <c r="E166" s="1234"/>
      <c r="F166" s="1234"/>
      <c r="G166" s="1234"/>
      <c r="H166" s="1234"/>
      <c r="I166" s="1234"/>
      <c r="J166" s="1234"/>
      <c r="K166" s="1234"/>
      <c r="L166" s="1234"/>
      <c r="M166" s="1234"/>
      <c r="N166" s="1234"/>
      <c r="O166" s="1234"/>
      <c r="P166" s="1234"/>
      <c r="Q166" s="1234"/>
      <c r="R166" s="1234"/>
      <c r="S166" s="1234"/>
      <c r="T166" s="1234"/>
      <c r="U166" s="1234"/>
      <c r="V166" s="1234"/>
      <c r="W166" s="1234"/>
      <c r="X166" s="1234"/>
      <c r="Y166" s="1234"/>
      <c r="Z166" s="1234"/>
    </row>
    <row r="167" spans="1:26" ht="14.5">
      <c r="A167" s="1234"/>
      <c r="B167" s="1234"/>
      <c r="C167" s="1234"/>
      <c r="D167" s="1234"/>
      <c r="E167" s="1234"/>
      <c r="F167" s="1234"/>
      <c r="G167" s="1234"/>
      <c r="H167" s="1234"/>
      <c r="I167" s="1234"/>
      <c r="J167" s="1234"/>
      <c r="K167" s="1234"/>
      <c r="L167" s="1234"/>
      <c r="M167" s="1234"/>
      <c r="N167" s="1234"/>
      <c r="O167" s="1234"/>
      <c r="P167" s="1234"/>
      <c r="Q167" s="1234"/>
      <c r="R167" s="1234"/>
      <c r="S167" s="1234"/>
      <c r="T167" s="1234"/>
      <c r="U167" s="1234"/>
      <c r="V167" s="1234"/>
      <c r="W167" s="1234"/>
      <c r="X167" s="1234"/>
      <c r="Y167" s="1234"/>
      <c r="Z167" s="1234"/>
    </row>
    <row r="168" spans="1:26" ht="14.5">
      <c r="A168" s="1234"/>
      <c r="B168" s="1234"/>
      <c r="C168" s="1234"/>
      <c r="D168" s="1234"/>
      <c r="E168" s="1234"/>
      <c r="F168" s="1234"/>
      <c r="G168" s="1234"/>
      <c r="H168" s="1234"/>
      <c r="I168" s="1234"/>
      <c r="J168" s="1234"/>
      <c r="K168" s="1234"/>
      <c r="L168" s="1234"/>
      <c r="M168" s="1234"/>
      <c r="N168" s="1234"/>
      <c r="O168" s="1234"/>
      <c r="P168" s="1234"/>
      <c r="Q168" s="1234"/>
      <c r="R168" s="1234"/>
      <c r="S168" s="1234"/>
      <c r="T168" s="1234"/>
      <c r="U168" s="1234"/>
      <c r="V168" s="1234"/>
      <c r="W168" s="1234"/>
      <c r="X168" s="1234"/>
      <c r="Y168" s="1234"/>
      <c r="Z168" s="1234"/>
    </row>
    <row r="169" spans="1:26" ht="14.5">
      <c r="A169" s="1234"/>
      <c r="B169" s="1234"/>
      <c r="C169" s="1234"/>
      <c r="D169" s="1234"/>
      <c r="E169" s="1234"/>
      <c r="F169" s="1234"/>
      <c r="G169" s="1234"/>
      <c r="H169" s="1234"/>
      <c r="I169" s="1234"/>
      <c r="J169" s="1234"/>
      <c r="K169" s="1234"/>
      <c r="L169" s="1234"/>
      <c r="M169" s="1234"/>
      <c r="N169" s="1234"/>
      <c r="O169" s="1234"/>
      <c r="P169" s="1234"/>
      <c r="Q169" s="1234"/>
      <c r="R169" s="1234"/>
      <c r="S169" s="1234"/>
      <c r="T169" s="1234"/>
      <c r="U169" s="1234"/>
      <c r="V169" s="1234"/>
      <c r="W169" s="1234"/>
      <c r="X169" s="1234"/>
      <c r="Y169" s="1234"/>
      <c r="Z169" s="1234"/>
    </row>
    <row r="170" spans="1:26" ht="14.5">
      <c r="A170" s="1234"/>
      <c r="B170" s="1234"/>
      <c r="C170" s="1234"/>
      <c r="D170" s="1234"/>
      <c r="E170" s="1234"/>
      <c r="F170" s="1234"/>
      <c r="G170" s="1234"/>
      <c r="H170" s="1234"/>
      <c r="I170" s="1234"/>
      <c r="J170" s="1234"/>
      <c r="K170" s="1234"/>
      <c r="L170" s="1234"/>
      <c r="M170" s="1234"/>
      <c r="N170" s="1234"/>
      <c r="O170" s="1234"/>
      <c r="P170" s="1234"/>
      <c r="Q170" s="1234"/>
      <c r="R170" s="1234"/>
      <c r="S170" s="1234"/>
      <c r="T170" s="1234"/>
      <c r="U170" s="1234"/>
      <c r="V170" s="1234"/>
      <c r="W170" s="1234"/>
      <c r="X170" s="1234"/>
      <c r="Y170" s="1234"/>
      <c r="Z170" s="1234"/>
    </row>
    <row r="171" spans="1:26" ht="14.5">
      <c r="A171" s="1234"/>
      <c r="B171" s="1234"/>
      <c r="C171" s="1234"/>
      <c r="D171" s="1234"/>
      <c r="E171" s="1234"/>
      <c r="F171" s="1234"/>
      <c r="G171" s="1234"/>
      <c r="H171" s="1234"/>
      <c r="I171" s="1234"/>
      <c r="J171" s="1234"/>
      <c r="K171" s="1234"/>
      <c r="L171" s="1234"/>
      <c r="M171" s="1234"/>
      <c r="N171" s="1234"/>
      <c r="O171" s="1234"/>
      <c r="P171" s="1234"/>
      <c r="Q171" s="1234"/>
      <c r="R171" s="1234"/>
      <c r="S171" s="1234"/>
      <c r="T171" s="1234"/>
      <c r="U171" s="1234"/>
      <c r="V171" s="1234"/>
      <c r="W171" s="1234"/>
      <c r="X171" s="1234"/>
      <c r="Y171" s="1234"/>
      <c r="Z171" s="1234"/>
    </row>
    <row r="172" spans="1:26" ht="14.5">
      <c r="A172" s="1234"/>
      <c r="B172" s="1234"/>
      <c r="C172" s="1234"/>
      <c r="D172" s="1234"/>
      <c r="E172" s="1234"/>
      <c r="F172" s="1234"/>
      <c r="G172" s="1234"/>
      <c r="H172" s="1234"/>
      <c r="I172" s="1234"/>
      <c r="J172" s="1234"/>
      <c r="K172" s="1234"/>
      <c r="L172" s="1234"/>
      <c r="M172" s="1234"/>
      <c r="N172" s="1234"/>
      <c r="O172" s="1234"/>
      <c r="P172" s="1234"/>
      <c r="Q172" s="1234"/>
      <c r="R172" s="1234"/>
      <c r="S172" s="1234"/>
      <c r="T172" s="1234"/>
      <c r="U172" s="1234"/>
      <c r="V172" s="1234"/>
      <c r="W172" s="1234"/>
      <c r="X172" s="1234"/>
      <c r="Y172" s="1234"/>
      <c r="Z172" s="1234"/>
    </row>
    <row r="173" spans="1:26" ht="14.5">
      <c r="A173" s="1234"/>
      <c r="B173" s="1234"/>
      <c r="C173" s="1234"/>
      <c r="D173" s="1234"/>
      <c r="E173" s="1234"/>
      <c r="F173" s="1234"/>
      <c r="G173" s="1234"/>
      <c r="H173" s="1234"/>
      <c r="I173" s="1234"/>
      <c r="J173" s="1234"/>
      <c r="K173" s="1234"/>
      <c r="L173" s="1234"/>
      <c r="M173" s="1234"/>
      <c r="N173" s="1234"/>
      <c r="O173" s="1234"/>
      <c r="P173" s="1234"/>
      <c r="Q173" s="1234"/>
      <c r="R173" s="1234"/>
      <c r="S173" s="1234"/>
      <c r="T173" s="1234"/>
      <c r="U173" s="1234"/>
      <c r="V173" s="1234"/>
      <c r="W173" s="1234"/>
      <c r="X173" s="1234"/>
      <c r="Y173" s="1234"/>
      <c r="Z173" s="1234"/>
    </row>
    <row r="174" spans="1:26" ht="14.5">
      <c r="A174" s="1234"/>
      <c r="B174" s="1234"/>
      <c r="C174" s="1234"/>
      <c r="D174" s="1234"/>
      <c r="E174" s="1234"/>
      <c r="F174" s="1234"/>
      <c r="G174" s="1234"/>
      <c r="H174" s="1234"/>
      <c r="I174" s="1234"/>
      <c r="J174" s="1234"/>
      <c r="K174" s="1234"/>
      <c r="L174" s="1234"/>
      <c r="M174" s="1234"/>
      <c r="N174" s="1234"/>
      <c r="O174" s="1234"/>
      <c r="P174" s="1234"/>
      <c r="Q174" s="1234"/>
      <c r="R174" s="1234"/>
      <c r="S174" s="1234"/>
      <c r="T174" s="1234"/>
      <c r="U174" s="1234"/>
      <c r="V174" s="1234"/>
      <c r="W174" s="1234"/>
      <c r="X174" s="1234"/>
      <c r="Y174" s="1234"/>
      <c r="Z174" s="1234"/>
    </row>
    <row r="175" spans="1:26" ht="14.5">
      <c r="A175" s="1234"/>
      <c r="B175" s="1234"/>
      <c r="C175" s="1234"/>
      <c r="D175" s="1234"/>
      <c r="E175" s="1234"/>
      <c r="F175" s="1234"/>
      <c r="G175" s="1234"/>
      <c r="H175" s="1234"/>
      <c r="I175" s="1234"/>
      <c r="J175" s="1234"/>
      <c r="K175" s="1234"/>
      <c r="L175" s="1234"/>
      <c r="M175" s="1234"/>
      <c r="N175" s="1234"/>
      <c r="O175" s="1234"/>
      <c r="P175" s="1234"/>
      <c r="Q175" s="1234"/>
      <c r="R175" s="1234"/>
      <c r="S175" s="1234"/>
      <c r="T175" s="1234"/>
      <c r="U175" s="1234"/>
      <c r="V175" s="1234"/>
      <c r="W175" s="1234"/>
      <c r="X175" s="1234"/>
      <c r="Y175" s="1234"/>
      <c r="Z175" s="1234"/>
    </row>
    <row r="176" spans="1:26" ht="14.5">
      <c r="A176" s="1234"/>
      <c r="B176" s="1234"/>
      <c r="C176" s="1234"/>
      <c r="D176" s="1234"/>
      <c r="E176" s="1234"/>
      <c r="F176" s="1234"/>
      <c r="G176" s="1234"/>
      <c r="H176" s="1234"/>
      <c r="I176" s="1234"/>
      <c r="J176" s="1234"/>
      <c r="K176" s="1234"/>
      <c r="L176" s="1234"/>
      <c r="M176" s="1234"/>
      <c r="N176" s="1234"/>
      <c r="O176" s="1234"/>
      <c r="P176" s="1234"/>
      <c r="Q176" s="1234"/>
      <c r="R176" s="1234"/>
      <c r="S176" s="1234"/>
      <c r="T176" s="1234"/>
      <c r="U176" s="1234"/>
      <c r="V176" s="1234"/>
      <c r="W176" s="1234"/>
      <c r="X176" s="1234"/>
      <c r="Y176" s="1234"/>
      <c r="Z176" s="1234"/>
    </row>
    <row r="177" spans="1:26" ht="14.5">
      <c r="A177" s="1234"/>
      <c r="B177" s="1234"/>
      <c r="C177" s="1234"/>
      <c r="D177" s="1234"/>
      <c r="E177" s="1234"/>
      <c r="F177" s="1234"/>
      <c r="G177" s="1234"/>
      <c r="H177" s="1234"/>
      <c r="I177" s="1234"/>
      <c r="J177" s="1234"/>
      <c r="K177" s="1234"/>
      <c r="L177" s="1234"/>
      <c r="M177" s="1234"/>
      <c r="N177" s="1234"/>
      <c r="O177" s="1234"/>
      <c r="P177" s="1234"/>
      <c r="Q177" s="1234"/>
      <c r="R177" s="1234"/>
      <c r="S177" s="1234"/>
      <c r="T177" s="1234"/>
      <c r="U177" s="1234"/>
      <c r="V177" s="1234"/>
      <c r="W177" s="1234"/>
      <c r="X177" s="1234"/>
      <c r="Y177" s="1234"/>
      <c r="Z177" s="1234"/>
    </row>
    <row r="178" spans="1:26" ht="14.5">
      <c r="A178" s="1234"/>
      <c r="B178" s="1234"/>
      <c r="C178" s="1234"/>
      <c r="D178" s="1234"/>
      <c r="E178" s="1234"/>
      <c r="F178" s="1234"/>
      <c r="G178" s="1234"/>
      <c r="H178" s="1234"/>
      <c r="I178" s="1234"/>
      <c r="J178" s="1234"/>
      <c r="K178" s="1234"/>
      <c r="L178" s="1234"/>
      <c r="M178" s="1234"/>
      <c r="N178" s="1234"/>
      <c r="O178" s="1234"/>
      <c r="P178" s="1234"/>
      <c r="Q178" s="1234"/>
      <c r="R178" s="1234"/>
      <c r="S178" s="1234"/>
      <c r="T178" s="1234"/>
      <c r="U178" s="1234"/>
      <c r="V178" s="1234"/>
      <c r="W178" s="1234"/>
      <c r="X178" s="1234"/>
      <c r="Y178" s="1234"/>
      <c r="Z178" s="1234"/>
    </row>
    <row r="179" spans="1:26" ht="14.5">
      <c r="A179" s="1234"/>
      <c r="B179" s="1234"/>
      <c r="C179" s="1234"/>
      <c r="D179" s="1234"/>
      <c r="E179" s="1234"/>
      <c r="F179" s="1234"/>
      <c r="G179" s="1234"/>
      <c r="H179" s="1234"/>
      <c r="I179" s="1234"/>
      <c r="J179" s="1234"/>
      <c r="K179" s="1234"/>
      <c r="L179" s="1234"/>
      <c r="M179" s="1234"/>
      <c r="N179" s="1234"/>
      <c r="O179" s="1234"/>
      <c r="P179" s="1234"/>
      <c r="Q179" s="1234"/>
      <c r="R179" s="1234"/>
      <c r="S179" s="1234"/>
      <c r="T179" s="1234"/>
      <c r="U179" s="1234"/>
      <c r="V179" s="1234"/>
      <c r="W179" s="1234"/>
      <c r="X179" s="1234"/>
      <c r="Y179" s="1234"/>
      <c r="Z179" s="1234"/>
    </row>
    <row r="180" spans="1:26" ht="14.5">
      <c r="A180" s="1234"/>
      <c r="B180" s="1234"/>
      <c r="C180" s="1234"/>
      <c r="D180" s="1234"/>
      <c r="E180" s="1234"/>
      <c r="F180" s="1234"/>
      <c r="G180" s="1234"/>
      <c r="H180" s="1234"/>
      <c r="I180" s="1234"/>
      <c r="J180" s="1234"/>
      <c r="K180" s="1234"/>
      <c r="L180" s="1234"/>
      <c r="M180" s="1234"/>
      <c r="N180" s="1234"/>
      <c r="O180" s="1234"/>
      <c r="P180" s="1234"/>
      <c r="Q180" s="1234"/>
      <c r="R180" s="1234"/>
      <c r="S180" s="1234"/>
      <c r="T180" s="1234"/>
      <c r="U180" s="1234"/>
      <c r="V180" s="1234"/>
      <c r="W180" s="1234"/>
      <c r="X180" s="1234"/>
      <c r="Y180" s="1234"/>
      <c r="Z180" s="1234"/>
    </row>
    <row r="181" spans="1:26" ht="14.5">
      <c r="A181" s="1234"/>
      <c r="B181" s="1234"/>
      <c r="C181" s="1234"/>
      <c r="D181" s="1234"/>
      <c r="E181" s="1234"/>
      <c r="F181" s="1234"/>
      <c r="G181" s="1234"/>
      <c r="H181" s="1234"/>
      <c r="I181" s="1234"/>
      <c r="J181" s="1234"/>
      <c r="K181" s="1234"/>
      <c r="L181" s="1234"/>
      <c r="M181" s="1234"/>
      <c r="N181" s="1234"/>
      <c r="O181" s="1234"/>
      <c r="P181" s="1234"/>
      <c r="Q181" s="1234"/>
      <c r="R181" s="1234"/>
      <c r="S181" s="1234"/>
      <c r="T181" s="1234"/>
      <c r="U181" s="1234"/>
      <c r="V181" s="1234"/>
      <c r="W181" s="1234"/>
      <c r="X181" s="1234"/>
      <c r="Y181" s="1234"/>
      <c r="Z181" s="1234"/>
    </row>
    <row r="182" spans="1:26" ht="14.5">
      <c r="A182" s="1234"/>
      <c r="B182" s="1234"/>
      <c r="C182" s="1234"/>
      <c r="D182" s="1234"/>
      <c r="E182" s="1234"/>
      <c r="F182" s="1234"/>
      <c r="G182" s="1234"/>
      <c r="H182" s="1234"/>
      <c r="I182" s="1234"/>
      <c r="J182" s="1234"/>
      <c r="K182" s="1234"/>
      <c r="L182" s="1234"/>
      <c r="M182" s="1234"/>
      <c r="N182" s="1234"/>
      <c r="O182" s="1234"/>
      <c r="P182" s="1234"/>
      <c r="Q182" s="1234"/>
      <c r="R182" s="1234"/>
      <c r="S182" s="1234"/>
      <c r="T182" s="1234"/>
      <c r="U182" s="1234"/>
      <c r="V182" s="1234"/>
      <c r="W182" s="1234"/>
      <c r="X182" s="1234"/>
      <c r="Y182" s="1234"/>
      <c r="Z182" s="1234"/>
    </row>
    <row r="183" spans="1:26" ht="14.5">
      <c r="A183" s="1234"/>
      <c r="B183" s="1234"/>
      <c r="C183" s="1234"/>
      <c r="D183" s="1234"/>
      <c r="E183" s="1234"/>
      <c r="F183" s="1234"/>
      <c r="G183" s="1234"/>
      <c r="H183" s="1234"/>
      <c r="I183" s="1234"/>
      <c r="J183" s="1234"/>
      <c r="K183" s="1234"/>
      <c r="L183" s="1234"/>
      <c r="M183" s="1234"/>
      <c r="N183" s="1234"/>
      <c r="O183" s="1234"/>
      <c r="P183" s="1234"/>
      <c r="Q183" s="1234"/>
      <c r="R183" s="1234"/>
      <c r="S183" s="1234"/>
      <c r="T183" s="1234"/>
      <c r="U183" s="1234"/>
      <c r="V183" s="1234"/>
      <c r="W183" s="1234"/>
      <c r="X183" s="1234"/>
      <c r="Y183" s="1234"/>
      <c r="Z183" s="1234"/>
    </row>
    <row r="184" spans="1:26" ht="14.5">
      <c r="A184" s="1234"/>
      <c r="B184" s="1234"/>
      <c r="C184" s="1234"/>
      <c r="D184" s="1234"/>
      <c r="E184" s="1234"/>
      <c r="F184" s="1234"/>
      <c r="G184" s="1234"/>
      <c r="H184" s="1234"/>
      <c r="I184" s="1234"/>
      <c r="J184" s="1234"/>
      <c r="K184" s="1234"/>
      <c r="L184" s="1234"/>
      <c r="M184" s="1234"/>
      <c r="N184" s="1234"/>
      <c r="O184" s="1234"/>
      <c r="P184" s="1234"/>
      <c r="Q184" s="1234"/>
      <c r="R184" s="1234"/>
      <c r="S184" s="1234"/>
      <c r="T184" s="1234"/>
      <c r="U184" s="1234"/>
      <c r="V184" s="1234"/>
      <c r="W184" s="1234"/>
      <c r="X184" s="1234"/>
      <c r="Y184" s="1234"/>
      <c r="Z184" s="1234"/>
    </row>
    <row r="185" spans="1:26" ht="14.5">
      <c r="A185" s="1234"/>
      <c r="B185" s="1234"/>
      <c r="C185" s="1234"/>
      <c r="D185" s="1234"/>
      <c r="E185" s="1234"/>
      <c r="F185" s="1234"/>
      <c r="G185" s="1234"/>
      <c r="H185" s="1234"/>
      <c r="I185" s="1234"/>
      <c r="J185" s="1234"/>
      <c r="K185" s="1234"/>
      <c r="L185" s="1234"/>
      <c r="M185" s="1234"/>
      <c r="N185" s="1234"/>
      <c r="O185" s="1234"/>
      <c r="P185" s="1234"/>
      <c r="Q185" s="1234"/>
      <c r="R185" s="1234"/>
      <c r="S185" s="1234"/>
      <c r="T185" s="1234"/>
      <c r="U185" s="1234"/>
      <c r="V185" s="1234"/>
      <c r="W185" s="1234"/>
      <c r="X185" s="1234"/>
      <c r="Y185" s="1234"/>
      <c r="Z185" s="1234"/>
    </row>
    <row r="186" spans="1:26" ht="14.5">
      <c r="A186" s="1234"/>
      <c r="B186" s="1234"/>
      <c r="C186" s="1234"/>
      <c r="D186" s="1234"/>
      <c r="E186" s="1234"/>
      <c r="F186" s="1234"/>
      <c r="G186" s="1234"/>
      <c r="H186" s="1234"/>
      <c r="I186" s="1234"/>
      <c r="J186" s="1234"/>
      <c r="K186" s="1234"/>
      <c r="L186" s="1234"/>
      <c r="M186" s="1234"/>
      <c r="N186" s="1234"/>
      <c r="O186" s="1234"/>
      <c r="P186" s="1234"/>
      <c r="Q186" s="1234"/>
      <c r="R186" s="1234"/>
      <c r="S186" s="1234"/>
      <c r="T186" s="1234"/>
      <c r="U186" s="1234"/>
      <c r="V186" s="1234"/>
      <c r="W186" s="1234"/>
      <c r="X186" s="1234"/>
      <c r="Y186" s="1234"/>
      <c r="Z186" s="1234"/>
    </row>
    <row r="187" spans="1:26" ht="14.5">
      <c r="A187" s="1234"/>
      <c r="B187" s="1234"/>
      <c r="C187" s="1234"/>
      <c r="D187" s="1234"/>
      <c r="E187" s="1234"/>
      <c r="F187" s="1234"/>
      <c r="G187" s="1234"/>
      <c r="H187" s="1234"/>
      <c r="I187" s="1234"/>
      <c r="J187" s="1234"/>
      <c r="K187" s="1234"/>
      <c r="L187" s="1234"/>
      <c r="M187" s="1234"/>
      <c r="N187" s="1234"/>
      <c r="O187" s="1234"/>
      <c r="P187" s="1234"/>
      <c r="Q187" s="1234"/>
      <c r="R187" s="1234"/>
      <c r="S187" s="1234"/>
      <c r="T187" s="1234"/>
      <c r="U187" s="1234"/>
      <c r="V187" s="1234"/>
      <c r="W187" s="1234"/>
      <c r="X187" s="1234"/>
      <c r="Y187" s="1234"/>
      <c r="Z187" s="1234"/>
    </row>
    <row r="188" spans="1:26" ht="14.5">
      <c r="A188" s="1234"/>
      <c r="B188" s="1234"/>
      <c r="C188" s="1234"/>
      <c r="D188" s="1234"/>
      <c r="E188" s="1234"/>
      <c r="F188" s="1234"/>
      <c r="G188" s="1234"/>
      <c r="H188" s="1234"/>
      <c r="I188" s="1234"/>
      <c r="J188" s="1234"/>
      <c r="K188" s="1234"/>
      <c r="L188" s="1234"/>
      <c r="M188" s="1234"/>
      <c r="N188" s="1234"/>
      <c r="O188" s="1234"/>
      <c r="P188" s="1234"/>
      <c r="Q188" s="1234"/>
      <c r="R188" s="1234"/>
      <c r="S188" s="1234"/>
      <c r="T188" s="1234"/>
      <c r="U188" s="1234"/>
      <c r="V188" s="1234"/>
      <c r="W188" s="1234"/>
      <c r="X188" s="1234"/>
      <c r="Y188" s="1234"/>
      <c r="Z188" s="1234"/>
    </row>
    <row r="189" spans="1:26" ht="14.5">
      <c r="A189" s="1234"/>
      <c r="B189" s="1234"/>
      <c r="C189" s="1234"/>
      <c r="D189" s="1234"/>
      <c r="E189" s="1234"/>
      <c r="F189" s="1234"/>
      <c r="G189" s="1234"/>
      <c r="H189" s="1234"/>
      <c r="I189" s="1234"/>
      <c r="J189" s="1234"/>
      <c r="K189" s="1234"/>
      <c r="L189" s="1234"/>
      <c r="M189" s="1234"/>
      <c r="N189" s="1234"/>
      <c r="O189" s="1234"/>
      <c r="P189" s="1234"/>
      <c r="Q189" s="1234"/>
      <c r="R189" s="1234"/>
      <c r="S189" s="1234"/>
      <c r="T189" s="1234"/>
      <c r="U189" s="1234"/>
      <c r="V189" s="1234"/>
      <c r="W189" s="1234"/>
      <c r="X189" s="1234"/>
      <c r="Y189" s="1234"/>
      <c r="Z189" s="1234"/>
    </row>
    <row r="190" spans="1:26" ht="14.5">
      <c r="A190" s="1234"/>
      <c r="B190" s="1234"/>
      <c r="C190" s="1234"/>
      <c r="D190" s="1234"/>
      <c r="E190" s="1234"/>
      <c r="F190" s="1234"/>
      <c r="G190" s="1234"/>
      <c r="H190" s="1234"/>
      <c r="I190" s="1234"/>
      <c r="J190" s="1234"/>
      <c r="K190" s="1234"/>
      <c r="L190" s="1234"/>
      <c r="M190" s="1234"/>
      <c r="N190" s="1234"/>
      <c r="O190" s="1234"/>
      <c r="P190" s="1234"/>
      <c r="Q190" s="1234"/>
      <c r="R190" s="1234"/>
      <c r="S190" s="1234"/>
      <c r="T190" s="1234"/>
      <c r="U190" s="1234"/>
      <c r="V190" s="1234"/>
      <c r="W190" s="1234"/>
      <c r="X190" s="1234"/>
      <c r="Y190" s="1234"/>
      <c r="Z190" s="1234"/>
    </row>
    <row r="191" spans="1:26" ht="14.5">
      <c r="A191" s="1234"/>
      <c r="B191" s="1234"/>
      <c r="C191" s="1234"/>
      <c r="D191" s="1234"/>
      <c r="E191" s="1234"/>
      <c r="F191" s="1234"/>
      <c r="G191" s="1234"/>
      <c r="H191" s="1234"/>
      <c r="I191" s="1234"/>
      <c r="J191" s="1234"/>
      <c r="K191" s="1234"/>
      <c r="L191" s="1234"/>
      <c r="M191" s="1234"/>
      <c r="N191" s="1234"/>
      <c r="O191" s="1234"/>
      <c r="P191" s="1234"/>
      <c r="Q191" s="1234"/>
      <c r="R191" s="1234"/>
      <c r="S191" s="1234"/>
      <c r="T191" s="1234"/>
      <c r="U191" s="1234"/>
      <c r="V191" s="1234"/>
      <c r="W191" s="1234"/>
      <c r="X191" s="1234"/>
      <c r="Y191" s="1234"/>
      <c r="Z191" s="1234"/>
    </row>
    <row r="192" spans="1:26" ht="14.5">
      <c r="A192" s="1234"/>
      <c r="B192" s="1234"/>
      <c r="C192" s="1234"/>
      <c r="D192" s="1234"/>
      <c r="E192" s="1234"/>
      <c r="F192" s="1234"/>
      <c r="G192" s="1234"/>
      <c r="H192" s="1234"/>
      <c r="I192" s="1234"/>
      <c r="J192" s="1234"/>
      <c r="K192" s="1234"/>
      <c r="L192" s="1234"/>
      <c r="M192" s="1234"/>
      <c r="N192" s="1234"/>
      <c r="O192" s="1234"/>
      <c r="P192" s="1234"/>
      <c r="Q192" s="1234"/>
      <c r="R192" s="1234"/>
      <c r="S192" s="1234"/>
      <c r="T192" s="1234"/>
      <c r="U192" s="1234"/>
      <c r="V192" s="1234"/>
      <c r="W192" s="1234"/>
      <c r="X192" s="1234"/>
      <c r="Y192" s="1234"/>
      <c r="Z192" s="1234"/>
    </row>
    <row r="193" spans="1:26" ht="14.5">
      <c r="A193" s="1234"/>
      <c r="B193" s="1234"/>
      <c r="C193" s="1234"/>
      <c r="D193" s="1234"/>
      <c r="E193" s="1234"/>
      <c r="F193" s="1234"/>
      <c r="G193" s="1234"/>
      <c r="H193" s="1234"/>
      <c r="I193" s="1234"/>
      <c r="J193" s="1234"/>
      <c r="K193" s="1234"/>
      <c r="L193" s="1234"/>
      <c r="M193" s="1234"/>
      <c r="N193" s="1234"/>
      <c r="O193" s="1234"/>
      <c r="P193" s="1234"/>
      <c r="Q193" s="1234"/>
      <c r="R193" s="1234"/>
      <c r="S193" s="1234"/>
      <c r="T193" s="1234"/>
      <c r="U193" s="1234"/>
      <c r="V193" s="1234"/>
      <c r="W193" s="1234"/>
      <c r="X193" s="1234"/>
      <c r="Y193" s="1234"/>
      <c r="Z193" s="1234"/>
    </row>
    <row r="194" spans="1:26" ht="14.5">
      <c r="A194" s="1234"/>
      <c r="B194" s="1234"/>
      <c r="C194" s="1234"/>
      <c r="D194" s="1234"/>
      <c r="E194" s="1234"/>
      <c r="F194" s="1234"/>
      <c r="G194" s="1234"/>
      <c r="H194" s="1234"/>
      <c r="I194" s="1234"/>
      <c r="J194" s="1234"/>
      <c r="K194" s="1234"/>
      <c r="L194" s="1234"/>
      <c r="M194" s="1234"/>
      <c r="N194" s="1234"/>
      <c r="O194" s="1234"/>
      <c r="P194" s="1234"/>
      <c r="Q194" s="1234"/>
      <c r="R194" s="1234"/>
      <c r="S194" s="1234"/>
      <c r="T194" s="1234"/>
      <c r="U194" s="1234"/>
      <c r="V194" s="1234"/>
      <c r="W194" s="1234"/>
      <c r="X194" s="1234"/>
      <c r="Y194" s="1234"/>
      <c r="Z194" s="1234"/>
    </row>
    <row r="195" spans="1:26" ht="14.5">
      <c r="A195" s="1234"/>
      <c r="B195" s="1234"/>
      <c r="C195" s="1234"/>
      <c r="D195" s="1234"/>
      <c r="E195" s="1234"/>
      <c r="F195" s="1234"/>
      <c r="G195" s="1234"/>
      <c r="H195" s="1234"/>
      <c r="I195" s="1234"/>
      <c r="J195" s="1234"/>
      <c r="K195" s="1234"/>
      <c r="L195" s="1234"/>
      <c r="M195" s="1234"/>
      <c r="N195" s="1234"/>
      <c r="O195" s="1234"/>
      <c r="P195" s="1234"/>
      <c r="Q195" s="1234"/>
      <c r="R195" s="1234"/>
      <c r="S195" s="1234"/>
      <c r="T195" s="1234"/>
      <c r="U195" s="1234"/>
      <c r="V195" s="1234"/>
      <c r="W195" s="1234"/>
      <c r="X195" s="1234"/>
      <c r="Y195" s="1234"/>
      <c r="Z195" s="1234"/>
    </row>
    <row r="196" spans="1:26" ht="14.5">
      <c r="A196" s="1234"/>
      <c r="B196" s="1234"/>
      <c r="C196" s="1234"/>
      <c r="D196" s="1234"/>
      <c r="E196" s="1234"/>
      <c r="F196" s="1234"/>
      <c r="G196" s="1234"/>
      <c r="H196" s="1234"/>
      <c r="I196" s="1234"/>
      <c r="J196" s="1234"/>
      <c r="K196" s="1234"/>
      <c r="L196" s="1234"/>
      <c r="M196" s="1234"/>
      <c r="N196" s="1234"/>
      <c r="O196" s="1234"/>
      <c r="P196" s="1234"/>
      <c r="Q196" s="1234"/>
      <c r="R196" s="1234"/>
      <c r="S196" s="1234"/>
      <c r="T196" s="1234"/>
      <c r="U196" s="1234"/>
      <c r="V196" s="1234"/>
      <c r="W196" s="1234"/>
      <c r="X196" s="1234"/>
      <c r="Y196" s="1234"/>
      <c r="Z196" s="1234"/>
    </row>
    <row r="197" spans="1:26" ht="14.5">
      <c r="A197" s="1234"/>
      <c r="B197" s="1234"/>
      <c r="C197" s="1234"/>
      <c r="D197" s="1234"/>
      <c r="E197" s="1234"/>
      <c r="F197" s="1234"/>
      <c r="G197" s="1234"/>
      <c r="H197" s="1234"/>
      <c r="I197" s="1234"/>
      <c r="J197" s="1234"/>
      <c r="K197" s="1234"/>
      <c r="L197" s="1234"/>
      <c r="M197" s="1234"/>
      <c r="N197" s="1234"/>
      <c r="O197" s="1234"/>
      <c r="P197" s="1234"/>
      <c r="Q197" s="1234"/>
      <c r="R197" s="1234"/>
      <c r="S197" s="1234"/>
      <c r="T197" s="1234"/>
      <c r="U197" s="1234"/>
      <c r="V197" s="1234"/>
      <c r="W197" s="1234"/>
      <c r="X197" s="1234"/>
      <c r="Y197" s="1234"/>
      <c r="Z197" s="1234"/>
    </row>
    <row r="198" spans="1:26" ht="14.5">
      <c r="A198" s="1234"/>
      <c r="B198" s="1234"/>
      <c r="C198" s="1234"/>
      <c r="D198" s="1234"/>
      <c r="E198" s="1234"/>
      <c r="F198" s="1234"/>
      <c r="G198" s="1234"/>
      <c r="H198" s="1234"/>
      <c r="I198" s="1234"/>
      <c r="J198" s="1234"/>
      <c r="K198" s="1234"/>
      <c r="L198" s="1234"/>
      <c r="M198" s="1234"/>
      <c r="N198" s="1234"/>
      <c r="O198" s="1234"/>
      <c r="P198" s="1234"/>
      <c r="Q198" s="1234"/>
      <c r="R198" s="1234"/>
      <c r="S198" s="1234"/>
      <c r="T198" s="1234"/>
      <c r="U198" s="1234"/>
      <c r="V198" s="1234"/>
      <c r="W198" s="1234"/>
      <c r="X198" s="1234"/>
      <c r="Y198" s="1234"/>
      <c r="Z198" s="1234"/>
    </row>
    <row r="199" spans="1:26" ht="14.5">
      <c r="A199" s="1234"/>
      <c r="B199" s="1234"/>
      <c r="C199" s="1234"/>
      <c r="D199" s="1234"/>
      <c r="E199" s="1234"/>
      <c r="F199" s="1234"/>
      <c r="G199" s="1234"/>
      <c r="H199" s="1234"/>
      <c r="I199" s="1234"/>
      <c r="J199" s="1234"/>
      <c r="K199" s="1234"/>
      <c r="L199" s="1234"/>
      <c r="M199" s="1234"/>
      <c r="N199" s="1234"/>
      <c r="O199" s="1234"/>
      <c r="P199" s="1234"/>
      <c r="Q199" s="1234"/>
      <c r="R199" s="1234"/>
      <c r="S199" s="1234"/>
      <c r="T199" s="1234"/>
      <c r="U199" s="1234"/>
      <c r="V199" s="1234"/>
      <c r="W199" s="1234"/>
      <c r="X199" s="1234"/>
      <c r="Y199" s="1234"/>
      <c r="Z199" s="1234"/>
    </row>
    <row r="200" spans="1:26" ht="14.5">
      <c r="A200" s="1234"/>
      <c r="B200" s="1234"/>
      <c r="C200" s="1234"/>
      <c r="D200" s="1234"/>
      <c r="E200" s="1234"/>
      <c r="F200" s="1234"/>
      <c r="G200" s="1234"/>
      <c r="H200" s="1234"/>
      <c r="I200" s="1234"/>
      <c r="J200" s="1234"/>
      <c r="K200" s="1234"/>
      <c r="L200" s="1234"/>
      <c r="M200" s="1234"/>
      <c r="N200" s="1234"/>
      <c r="O200" s="1234"/>
      <c r="P200" s="1234"/>
      <c r="Q200" s="1234"/>
      <c r="R200" s="1234"/>
      <c r="S200" s="1234"/>
      <c r="T200" s="1234"/>
      <c r="U200" s="1234"/>
      <c r="V200" s="1234"/>
      <c r="W200" s="1234"/>
      <c r="X200" s="1234"/>
      <c r="Y200" s="1234"/>
      <c r="Z200" s="1234"/>
    </row>
    <row r="201" spans="1:26" ht="14.5">
      <c r="A201" s="1234"/>
      <c r="B201" s="1234"/>
      <c r="C201" s="1234"/>
      <c r="D201" s="1234"/>
      <c r="E201" s="1234"/>
      <c r="F201" s="1234"/>
      <c r="G201" s="1234"/>
      <c r="H201" s="1234"/>
      <c r="I201" s="1234"/>
      <c r="J201" s="1234"/>
      <c r="K201" s="1234"/>
      <c r="L201" s="1234"/>
      <c r="M201" s="1234"/>
      <c r="N201" s="1234"/>
      <c r="O201" s="1234"/>
      <c r="P201" s="1234"/>
      <c r="Q201" s="1234"/>
      <c r="R201" s="1234"/>
      <c r="S201" s="1234"/>
      <c r="T201" s="1234"/>
      <c r="U201" s="1234"/>
      <c r="V201" s="1234"/>
      <c r="W201" s="1234"/>
      <c r="X201" s="1234"/>
      <c r="Y201" s="1234"/>
      <c r="Z201" s="1234"/>
    </row>
    <row r="202" spans="1:26" ht="14.5">
      <c r="A202" s="1234"/>
      <c r="B202" s="1234"/>
      <c r="C202" s="1234"/>
      <c r="D202" s="1234"/>
      <c r="E202" s="1234"/>
      <c r="F202" s="1234"/>
      <c r="G202" s="1234"/>
      <c r="H202" s="1234"/>
      <c r="I202" s="1234"/>
      <c r="J202" s="1234"/>
      <c r="K202" s="1234"/>
      <c r="L202" s="1234"/>
      <c r="M202" s="1234"/>
      <c r="N202" s="1234"/>
      <c r="O202" s="1234"/>
      <c r="P202" s="1234"/>
      <c r="Q202" s="1234"/>
      <c r="R202" s="1234"/>
      <c r="S202" s="1234"/>
      <c r="T202" s="1234"/>
      <c r="U202" s="1234"/>
      <c r="V202" s="1234"/>
      <c r="W202" s="1234"/>
      <c r="X202" s="1234"/>
      <c r="Y202" s="1234"/>
      <c r="Z202" s="1234"/>
    </row>
    <row r="203" spans="1:26" ht="14.5">
      <c r="A203" s="1234"/>
      <c r="B203" s="1234"/>
      <c r="C203" s="1234"/>
      <c r="D203" s="1234"/>
      <c r="E203" s="1234"/>
      <c r="F203" s="1234"/>
      <c r="G203" s="1234"/>
      <c r="H203" s="1234"/>
      <c r="I203" s="1234"/>
      <c r="J203" s="1234"/>
      <c r="K203" s="1234"/>
      <c r="L203" s="1234"/>
      <c r="M203" s="1234"/>
      <c r="N203" s="1234"/>
      <c r="O203" s="1234"/>
      <c r="P203" s="1234"/>
      <c r="Q203" s="1234"/>
      <c r="R203" s="1234"/>
      <c r="S203" s="1234"/>
      <c r="T203" s="1234"/>
      <c r="U203" s="1234"/>
      <c r="V203" s="1234"/>
      <c r="W203" s="1234"/>
      <c r="X203" s="1234"/>
      <c r="Y203" s="1234"/>
      <c r="Z203" s="1234"/>
    </row>
    <row r="204" spans="1:26" ht="14.5">
      <c r="A204" s="1234"/>
      <c r="B204" s="1234"/>
      <c r="C204" s="1234"/>
      <c r="D204" s="1234"/>
      <c r="E204" s="1234"/>
      <c r="F204" s="1234"/>
      <c r="G204" s="1234"/>
      <c r="H204" s="1234"/>
      <c r="I204" s="1234"/>
      <c r="J204" s="1234"/>
      <c r="K204" s="1234"/>
      <c r="L204" s="1234"/>
      <c r="M204" s="1234"/>
      <c r="N204" s="1234"/>
      <c r="O204" s="1234"/>
      <c r="P204" s="1234"/>
      <c r="Q204" s="1234"/>
      <c r="R204" s="1234"/>
      <c r="S204" s="1234"/>
      <c r="T204" s="1234"/>
      <c r="U204" s="1234"/>
      <c r="V204" s="1234"/>
      <c r="W204" s="1234"/>
      <c r="X204" s="1234"/>
      <c r="Y204" s="1234"/>
      <c r="Z204" s="1234"/>
    </row>
    <row r="205" spans="1:26" ht="14.5">
      <c r="A205" s="1234"/>
      <c r="B205" s="1234"/>
      <c r="C205" s="1234"/>
      <c r="D205" s="1234"/>
      <c r="E205" s="1234"/>
      <c r="F205" s="1234"/>
      <c r="G205" s="1234"/>
      <c r="H205" s="1234"/>
      <c r="I205" s="1234"/>
      <c r="J205" s="1234"/>
      <c r="K205" s="1234"/>
      <c r="L205" s="1234"/>
      <c r="M205" s="1234"/>
      <c r="N205" s="1234"/>
      <c r="O205" s="1234"/>
      <c r="P205" s="1234"/>
      <c r="Q205" s="1234"/>
      <c r="R205" s="1234"/>
      <c r="S205" s="1234"/>
      <c r="T205" s="1234"/>
      <c r="U205" s="1234"/>
      <c r="V205" s="1234"/>
      <c r="W205" s="1234"/>
      <c r="X205" s="1234"/>
      <c r="Y205" s="1234"/>
      <c r="Z205" s="1234"/>
    </row>
    <row r="206" spans="1:26" ht="14.5">
      <c r="A206" s="1234"/>
      <c r="B206" s="1234"/>
      <c r="C206" s="1234"/>
      <c r="D206" s="1234"/>
      <c r="E206" s="1234"/>
      <c r="F206" s="1234"/>
      <c r="G206" s="1234"/>
      <c r="H206" s="1234"/>
      <c r="I206" s="1234"/>
      <c r="J206" s="1234"/>
      <c r="K206" s="1234"/>
      <c r="L206" s="1234"/>
      <c r="M206" s="1234"/>
      <c r="N206" s="1234"/>
      <c r="O206" s="1234"/>
      <c r="P206" s="1234"/>
      <c r="Q206" s="1234"/>
      <c r="R206" s="1234"/>
      <c r="S206" s="1234"/>
      <c r="T206" s="1234"/>
      <c r="U206" s="1234"/>
      <c r="V206" s="1234"/>
      <c r="W206" s="1234"/>
      <c r="X206" s="1234"/>
      <c r="Y206" s="1234"/>
      <c r="Z206" s="1234"/>
    </row>
    <row r="207" spans="1:26" ht="14.5">
      <c r="A207" s="1234"/>
      <c r="B207" s="1234"/>
      <c r="C207" s="1234"/>
      <c r="D207" s="1234"/>
      <c r="E207" s="1234"/>
      <c r="F207" s="1234"/>
      <c r="G207" s="1234"/>
      <c r="H207" s="1234"/>
      <c r="I207" s="1234"/>
      <c r="J207" s="1234"/>
      <c r="K207" s="1234"/>
      <c r="L207" s="1234"/>
      <c r="M207" s="1234"/>
      <c r="N207" s="1234"/>
      <c r="O207" s="1234"/>
      <c r="P207" s="1234"/>
      <c r="Q207" s="1234"/>
      <c r="R207" s="1234"/>
      <c r="S207" s="1234"/>
      <c r="T207" s="1234"/>
      <c r="U207" s="1234"/>
      <c r="V207" s="1234"/>
      <c r="W207" s="1234"/>
      <c r="X207" s="1234"/>
      <c r="Y207" s="1234"/>
      <c r="Z207" s="1234"/>
    </row>
    <row r="208" spans="1:26" ht="14.5">
      <c r="A208" s="1234"/>
      <c r="B208" s="1234"/>
      <c r="C208" s="1234"/>
      <c r="D208" s="1234"/>
      <c r="E208" s="1234"/>
      <c r="F208" s="1234"/>
      <c r="G208" s="1234"/>
      <c r="H208" s="1234"/>
      <c r="I208" s="1234"/>
      <c r="J208" s="1234"/>
      <c r="K208" s="1234"/>
      <c r="L208" s="1234"/>
      <c r="M208" s="1234"/>
      <c r="N208" s="1234"/>
      <c r="O208" s="1234"/>
      <c r="P208" s="1234"/>
      <c r="Q208" s="1234"/>
      <c r="R208" s="1234"/>
      <c r="S208" s="1234"/>
      <c r="T208" s="1234"/>
      <c r="U208" s="1234"/>
      <c r="V208" s="1234"/>
      <c r="W208" s="1234"/>
      <c r="X208" s="1234"/>
      <c r="Y208" s="1234"/>
      <c r="Z208" s="1234"/>
    </row>
    <row r="209" spans="1:26" ht="14.5">
      <c r="A209" s="1234"/>
      <c r="B209" s="1234"/>
      <c r="C209" s="1234"/>
      <c r="D209" s="1234"/>
      <c r="E209" s="1234"/>
      <c r="F209" s="1234"/>
      <c r="G209" s="1234"/>
      <c r="H209" s="1234"/>
      <c r="I209" s="1234"/>
      <c r="J209" s="1234"/>
      <c r="K209" s="1234"/>
      <c r="L209" s="1234"/>
      <c r="M209" s="1234"/>
      <c r="N209" s="1234"/>
      <c r="O209" s="1234"/>
      <c r="P209" s="1234"/>
      <c r="Q209" s="1234"/>
      <c r="R209" s="1234"/>
      <c r="S209" s="1234"/>
      <c r="T209" s="1234"/>
      <c r="U209" s="1234"/>
      <c r="V209" s="1234"/>
      <c r="W209" s="1234"/>
      <c r="X209" s="1234"/>
      <c r="Y209" s="1234"/>
      <c r="Z209" s="1234"/>
    </row>
    <row r="210" spans="1:26" ht="14.5">
      <c r="A210" s="1234"/>
      <c r="B210" s="1234"/>
      <c r="C210" s="1234"/>
      <c r="D210" s="1234"/>
      <c r="E210" s="1234"/>
      <c r="F210" s="1234"/>
      <c r="G210" s="1234"/>
      <c r="H210" s="1234"/>
      <c r="I210" s="1234"/>
      <c r="J210" s="1234"/>
      <c r="K210" s="1234"/>
      <c r="L210" s="1234"/>
      <c r="M210" s="1234"/>
      <c r="N210" s="1234"/>
      <c r="O210" s="1234"/>
      <c r="P210" s="1234"/>
      <c r="Q210" s="1234"/>
      <c r="R210" s="1234"/>
      <c r="S210" s="1234"/>
      <c r="T210" s="1234"/>
      <c r="U210" s="1234"/>
      <c r="V210" s="1234"/>
      <c r="W210" s="1234"/>
      <c r="X210" s="1234"/>
      <c r="Y210" s="1234"/>
      <c r="Z210" s="1234"/>
    </row>
    <row r="211" spans="1:26" ht="14.5">
      <c r="A211" s="1234"/>
      <c r="B211" s="1234"/>
      <c r="C211" s="1234"/>
      <c r="D211" s="1234"/>
      <c r="E211" s="1234"/>
      <c r="F211" s="1234"/>
      <c r="G211" s="1234"/>
      <c r="H211" s="1234"/>
      <c r="I211" s="1234"/>
      <c r="J211" s="1234"/>
      <c r="K211" s="1234"/>
      <c r="L211" s="1234"/>
      <c r="M211" s="1234"/>
      <c r="N211" s="1234"/>
      <c r="O211" s="1234"/>
      <c r="P211" s="1234"/>
      <c r="Q211" s="1234"/>
      <c r="R211" s="1234"/>
      <c r="S211" s="1234"/>
      <c r="T211" s="1234"/>
      <c r="U211" s="1234"/>
      <c r="V211" s="1234"/>
      <c r="W211" s="1234"/>
      <c r="X211" s="1234"/>
      <c r="Y211" s="1234"/>
      <c r="Z211" s="1234"/>
    </row>
    <row r="212" spans="1:26" ht="14.5">
      <c r="A212" s="1234"/>
      <c r="B212" s="1234"/>
      <c r="C212" s="1234"/>
      <c r="D212" s="1234"/>
      <c r="E212" s="1234"/>
      <c r="F212" s="1234"/>
      <c r="G212" s="1234"/>
      <c r="H212" s="1234"/>
      <c r="I212" s="1234"/>
      <c r="J212" s="1234"/>
      <c r="K212" s="1234"/>
      <c r="L212" s="1234"/>
      <c r="M212" s="1234"/>
      <c r="N212" s="1234"/>
      <c r="O212" s="1234"/>
      <c r="P212" s="1234"/>
      <c r="Q212" s="1234"/>
      <c r="R212" s="1234"/>
      <c r="S212" s="1234"/>
      <c r="T212" s="1234"/>
      <c r="U212" s="1234"/>
      <c r="V212" s="1234"/>
      <c r="W212" s="1234"/>
      <c r="X212" s="1234"/>
      <c r="Y212" s="1234"/>
      <c r="Z212" s="1234"/>
    </row>
    <row r="213" spans="1:26" ht="14.5">
      <c r="A213" s="1234"/>
      <c r="B213" s="1234"/>
      <c r="C213" s="1234"/>
      <c r="D213" s="1234"/>
      <c r="E213" s="1234"/>
      <c r="F213" s="1234"/>
      <c r="G213" s="1234"/>
      <c r="H213" s="1234"/>
      <c r="I213" s="1234"/>
      <c r="J213" s="1234"/>
      <c r="K213" s="1234"/>
      <c r="L213" s="1234"/>
      <c r="M213" s="1234"/>
      <c r="N213" s="1234"/>
      <c r="O213" s="1234"/>
      <c r="P213" s="1234"/>
      <c r="Q213" s="1234"/>
      <c r="R213" s="1234"/>
      <c r="S213" s="1234"/>
      <c r="T213" s="1234"/>
      <c r="U213" s="1234"/>
      <c r="V213" s="1234"/>
      <c r="W213" s="1234"/>
      <c r="X213" s="1234"/>
      <c r="Y213" s="1234"/>
      <c r="Z213" s="1234"/>
    </row>
    <row r="214" spans="1:26" ht="14.5">
      <c r="A214" s="1234"/>
      <c r="B214" s="1234"/>
      <c r="C214" s="1234"/>
      <c r="D214" s="1234"/>
      <c r="E214" s="1234"/>
      <c r="F214" s="1234"/>
      <c r="G214" s="1234"/>
      <c r="H214" s="1234"/>
      <c r="I214" s="1234"/>
      <c r="J214" s="1234"/>
      <c r="K214" s="1234"/>
      <c r="L214" s="1234"/>
      <c r="M214" s="1234"/>
      <c r="N214" s="1234"/>
      <c r="O214" s="1234"/>
      <c r="P214" s="1234"/>
      <c r="Q214" s="1234"/>
      <c r="R214" s="1234"/>
      <c r="S214" s="1234"/>
      <c r="T214" s="1234"/>
      <c r="U214" s="1234"/>
      <c r="V214" s="1234"/>
      <c r="W214" s="1234"/>
      <c r="X214" s="1234"/>
      <c r="Y214" s="1234"/>
      <c r="Z214" s="1234"/>
    </row>
    <row r="215" spans="1:26" ht="14.5">
      <c r="A215" s="1234"/>
      <c r="B215" s="1234"/>
      <c r="C215" s="1234"/>
      <c r="D215" s="1234"/>
      <c r="E215" s="1234"/>
      <c r="F215" s="1234"/>
      <c r="G215" s="1234"/>
      <c r="H215" s="1234"/>
      <c r="I215" s="1234"/>
      <c r="J215" s="1234"/>
      <c r="K215" s="1234"/>
      <c r="L215" s="1234"/>
      <c r="M215" s="1234"/>
      <c r="N215" s="1234"/>
      <c r="O215" s="1234"/>
      <c r="P215" s="1234"/>
      <c r="Q215" s="1234"/>
      <c r="R215" s="1234"/>
      <c r="S215" s="1234"/>
      <c r="T215" s="1234"/>
      <c r="U215" s="1234"/>
      <c r="V215" s="1234"/>
      <c r="W215" s="1234"/>
      <c r="X215" s="1234"/>
      <c r="Y215" s="1234"/>
      <c r="Z215" s="1234"/>
    </row>
    <row r="216" spans="1:26" ht="14.5">
      <c r="A216" s="1234"/>
      <c r="B216" s="1234"/>
      <c r="C216" s="1234"/>
      <c r="D216" s="1234"/>
      <c r="E216" s="1234"/>
      <c r="F216" s="1234"/>
      <c r="G216" s="1234"/>
      <c r="H216" s="1234"/>
      <c r="I216" s="1234"/>
      <c r="J216" s="1234"/>
      <c r="K216" s="1234"/>
      <c r="L216" s="1234"/>
      <c r="M216" s="1234"/>
      <c r="N216" s="1234"/>
      <c r="O216" s="1234"/>
      <c r="P216" s="1234"/>
      <c r="Q216" s="1234"/>
      <c r="R216" s="1234"/>
      <c r="S216" s="1234"/>
      <c r="T216" s="1234"/>
      <c r="U216" s="1234"/>
      <c r="V216" s="1234"/>
      <c r="W216" s="1234"/>
      <c r="X216" s="1234"/>
      <c r="Y216" s="1234"/>
      <c r="Z216" s="1234"/>
    </row>
    <row r="217" spans="1:26" ht="14.5">
      <c r="A217" s="1234"/>
      <c r="B217" s="1234"/>
      <c r="C217" s="1234"/>
      <c r="D217" s="1234"/>
      <c r="E217" s="1234"/>
      <c r="F217" s="1234"/>
      <c r="G217" s="1234"/>
      <c r="H217" s="1234"/>
      <c r="I217" s="1234"/>
      <c r="J217" s="1234"/>
      <c r="K217" s="1234"/>
      <c r="L217" s="1234"/>
      <c r="M217" s="1234"/>
      <c r="N217" s="1234"/>
      <c r="O217" s="1234"/>
      <c r="P217" s="1234"/>
      <c r="Q217" s="1234"/>
      <c r="R217" s="1234"/>
      <c r="S217" s="1234"/>
      <c r="T217" s="1234"/>
      <c r="U217" s="1234"/>
      <c r="V217" s="1234"/>
      <c r="W217" s="1234"/>
      <c r="X217" s="1234"/>
      <c r="Y217" s="1234"/>
      <c r="Z217" s="1234"/>
    </row>
    <row r="218" spans="1:26" ht="14.5">
      <c r="A218" s="1234"/>
      <c r="B218" s="1234"/>
      <c r="C218" s="1234"/>
      <c r="D218" s="1234"/>
      <c r="E218" s="1234"/>
      <c r="F218" s="1234"/>
      <c r="G218" s="1234"/>
      <c r="H218" s="1234"/>
      <c r="I218" s="1234"/>
      <c r="J218" s="1234"/>
      <c r="K218" s="1234"/>
      <c r="L218" s="1234"/>
      <c r="M218" s="1234"/>
      <c r="N218" s="1234"/>
      <c r="O218" s="1234"/>
      <c r="P218" s="1234"/>
      <c r="Q218" s="1234"/>
      <c r="R218" s="1234"/>
      <c r="S218" s="1234"/>
      <c r="T218" s="1234"/>
      <c r="U218" s="1234"/>
      <c r="V218" s="1234"/>
      <c r="W218" s="1234"/>
      <c r="X218" s="1234"/>
      <c r="Y218" s="1234"/>
      <c r="Z218" s="1234"/>
    </row>
    <row r="219" spans="1:26" ht="14.5">
      <c r="A219" s="1234"/>
      <c r="B219" s="1234"/>
      <c r="C219" s="1234"/>
      <c r="D219" s="1234"/>
      <c r="E219" s="1234"/>
      <c r="F219" s="1234"/>
      <c r="G219" s="1234"/>
      <c r="H219" s="1234"/>
      <c r="I219" s="1234"/>
      <c r="J219" s="1234"/>
      <c r="K219" s="1234"/>
      <c r="L219" s="1234"/>
      <c r="M219" s="1234"/>
      <c r="N219" s="1234"/>
      <c r="O219" s="1234"/>
      <c r="P219" s="1234"/>
      <c r="Q219" s="1234"/>
      <c r="R219" s="1234"/>
      <c r="S219" s="1234"/>
      <c r="T219" s="1234"/>
      <c r="U219" s="1234"/>
      <c r="V219" s="1234"/>
      <c r="W219" s="1234"/>
      <c r="X219" s="1234"/>
      <c r="Y219" s="1234"/>
      <c r="Z219" s="1234"/>
    </row>
    <row r="220" spans="1:26" ht="14.5">
      <c r="A220" s="1234"/>
      <c r="B220" s="1234"/>
      <c r="C220" s="1234"/>
      <c r="D220" s="1234"/>
      <c r="E220" s="1234"/>
      <c r="F220" s="1234"/>
      <c r="G220" s="1234"/>
      <c r="H220" s="1234"/>
      <c r="I220" s="1234"/>
      <c r="J220" s="1234"/>
      <c r="K220" s="1234"/>
      <c r="L220" s="1234"/>
      <c r="M220" s="1234"/>
      <c r="N220" s="1234"/>
      <c r="O220" s="1234"/>
      <c r="P220" s="1234"/>
      <c r="Q220" s="1234"/>
      <c r="R220" s="1234"/>
      <c r="S220" s="1234"/>
      <c r="T220" s="1234"/>
      <c r="U220" s="1234"/>
      <c r="V220" s="1234"/>
      <c r="W220" s="1234"/>
      <c r="X220" s="1234"/>
      <c r="Y220" s="1234"/>
      <c r="Z220" s="1234"/>
    </row>
    <row r="221" spans="1:26" ht="14.5">
      <c r="A221" s="1234"/>
      <c r="B221" s="1234"/>
      <c r="C221" s="1234"/>
      <c r="D221" s="1234"/>
      <c r="E221" s="1234"/>
      <c r="F221" s="1234"/>
      <c r="G221" s="1234"/>
      <c r="H221" s="1234"/>
      <c r="I221" s="1234"/>
      <c r="J221" s="1234"/>
      <c r="K221" s="1234"/>
      <c r="L221" s="1234"/>
      <c r="M221" s="1234"/>
      <c r="N221" s="1234"/>
      <c r="O221" s="1234"/>
      <c r="P221" s="1234"/>
      <c r="Q221" s="1234"/>
      <c r="R221" s="1234"/>
      <c r="S221" s="1234"/>
      <c r="T221" s="1234"/>
      <c r="U221" s="1234"/>
      <c r="V221" s="1234"/>
      <c r="W221" s="1234"/>
      <c r="X221" s="1234"/>
      <c r="Y221" s="1234"/>
      <c r="Z221" s="1234"/>
    </row>
    <row r="222" spans="1:26" ht="14.5">
      <c r="A222" s="1234"/>
      <c r="B222" s="1234"/>
      <c r="C222" s="1234"/>
      <c r="D222" s="1234"/>
      <c r="E222" s="1234"/>
      <c r="F222" s="1234"/>
      <c r="G222" s="1234"/>
      <c r="H222" s="1234"/>
      <c r="I222" s="1234"/>
      <c r="J222" s="1234"/>
      <c r="K222" s="1234"/>
      <c r="L222" s="1234"/>
      <c r="M222" s="1234"/>
      <c r="N222" s="1234"/>
      <c r="O222" s="1234"/>
      <c r="P222" s="1234"/>
      <c r="Q222" s="1234"/>
      <c r="R222" s="1234"/>
      <c r="S222" s="1234"/>
      <c r="T222" s="1234"/>
      <c r="U222" s="1234"/>
      <c r="V222" s="1234"/>
      <c r="W222" s="1234"/>
      <c r="X222" s="1234"/>
      <c r="Y222" s="1234"/>
      <c r="Z222" s="1234"/>
    </row>
    <row r="223" spans="1:26" ht="14.5">
      <c r="A223" s="1234"/>
      <c r="B223" s="1234"/>
      <c r="C223" s="1234"/>
      <c r="D223" s="1234"/>
      <c r="E223" s="1234"/>
      <c r="F223" s="1234"/>
      <c r="G223" s="1234"/>
      <c r="H223" s="1234"/>
      <c r="I223" s="1234"/>
      <c r="J223" s="1234"/>
      <c r="K223" s="1234"/>
      <c r="L223" s="1234"/>
      <c r="M223" s="1234"/>
      <c r="N223" s="1234"/>
      <c r="O223" s="1234"/>
      <c r="P223" s="1234"/>
      <c r="Q223" s="1234"/>
      <c r="R223" s="1234"/>
      <c r="S223" s="1234"/>
      <c r="T223" s="1234"/>
      <c r="U223" s="1234"/>
      <c r="V223" s="1234"/>
      <c r="W223" s="1234"/>
      <c r="X223" s="1234"/>
      <c r="Y223" s="1234"/>
      <c r="Z223" s="1234"/>
    </row>
    <row r="224" spans="1:26" ht="14.5">
      <c r="A224" s="1234"/>
      <c r="B224" s="1234"/>
      <c r="C224" s="1234"/>
      <c r="D224" s="1234"/>
      <c r="E224" s="1234"/>
      <c r="F224" s="1234"/>
      <c r="G224" s="1234"/>
      <c r="H224" s="1234"/>
      <c r="I224" s="1234"/>
      <c r="J224" s="1234"/>
      <c r="K224" s="1234"/>
      <c r="L224" s="1234"/>
      <c r="M224" s="1234"/>
      <c r="N224" s="1234"/>
      <c r="O224" s="1234"/>
      <c r="P224" s="1234"/>
      <c r="Q224" s="1234"/>
      <c r="R224" s="1234"/>
      <c r="S224" s="1234"/>
      <c r="T224" s="1234"/>
      <c r="U224" s="1234"/>
      <c r="V224" s="1234"/>
      <c r="W224" s="1234"/>
      <c r="X224" s="1234"/>
      <c r="Y224" s="1234"/>
      <c r="Z224" s="1234"/>
    </row>
    <row r="225" spans="1:26" ht="14.5">
      <c r="A225" s="1234"/>
      <c r="B225" s="1234"/>
      <c r="C225" s="1234"/>
      <c r="D225" s="1234"/>
      <c r="E225" s="1234"/>
      <c r="F225" s="1234"/>
      <c r="G225" s="1234"/>
      <c r="H225" s="1234"/>
      <c r="I225" s="1234"/>
      <c r="J225" s="1234"/>
      <c r="K225" s="1234"/>
      <c r="L225" s="1234"/>
      <c r="M225" s="1234"/>
      <c r="N225" s="1234"/>
      <c r="O225" s="1234"/>
      <c r="P225" s="1234"/>
      <c r="Q225" s="1234"/>
      <c r="R225" s="1234"/>
      <c r="S225" s="1234"/>
      <c r="T225" s="1234"/>
      <c r="U225" s="1234"/>
      <c r="V225" s="1234"/>
      <c r="W225" s="1234"/>
      <c r="X225" s="1234"/>
      <c r="Y225" s="1234"/>
      <c r="Z225" s="1234"/>
    </row>
    <row r="226" spans="1:26" ht="14.5">
      <c r="A226" s="1234"/>
      <c r="B226" s="1234"/>
      <c r="C226" s="1234"/>
      <c r="D226" s="1234"/>
      <c r="E226" s="1234"/>
      <c r="F226" s="1234"/>
      <c r="G226" s="1234"/>
      <c r="H226" s="1234"/>
      <c r="I226" s="1234"/>
      <c r="J226" s="1234"/>
      <c r="K226" s="1234"/>
      <c r="L226" s="1234"/>
      <c r="M226" s="1234"/>
      <c r="N226" s="1234"/>
      <c r="O226" s="1234"/>
      <c r="P226" s="1234"/>
      <c r="Q226" s="1234"/>
      <c r="R226" s="1234"/>
      <c r="S226" s="1234"/>
      <c r="T226" s="1234"/>
      <c r="U226" s="1234"/>
      <c r="V226" s="1234"/>
      <c r="W226" s="1234"/>
      <c r="X226" s="1234"/>
      <c r="Y226" s="1234"/>
      <c r="Z226" s="1234"/>
    </row>
    <row r="227" spans="1:26" ht="14.5">
      <c r="A227" s="1234"/>
      <c r="B227" s="1234"/>
      <c r="C227" s="1234"/>
      <c r="D227" s="1234"/>
      <c r="E227" s="1234"/>
      <c r="F227" s="1234"/>
      <c r="G227" s="1234"/>
      <c r="H227" s="1234"/>
      <c r="I227" s="1234"/>
      <c r="J227" s="1234"/>
      <c r="K227" s="1234"/>
      <c r="L227" s="1234"/>
      <c r="M227" s="1234"/>
      <c r="N227" s="1234"/>
      <c r="O227" s="1234"/>
      <c r="P227" s="1234"/>
      <c r="Q227" s="1234"/>
      <c r="R227" s="1234"/>
      <c r="S227" s="1234"/>
      <c r="T227" s="1234"/>
      <c r="U227" s="1234"/>
      <c r="V227" s="1234"/>
      <c r="W227" s="1234"/>
      <c r="X227" s="1234"/>
      <c r="Y227" s="1234"/>
      <c r="Z227" s="1234"/>
    </row>
    <row r="228" spans="1:26" ht="14.5">
      <c r="A228" s="1234"/>
      <c r="B228" s="1234"/>
      <c r="C228" s="1234"/>
      <c r="D228" s="1234"/>
      <c r="E228" s="1234"/>
      <c r="F228" s="1234"/>
      <c r="G228" s="1234"/>
      <c r="H228" s="1234"/>
      <c r="I228" s="1234"/>
      <c r="J228" s="1234"/>
      <c r="K228" s="1234"/>
      <c r="L228" s="1234"/>
      <c r="M228" s="1234"/>
      <c r="N228" s="1234"/>
      <c r="O228" s="1234"/>
      <c r="P228" s="1234"/>
      <c r="Q228" s="1234"/>
      <c r="R228" s="1234"/>
      <c r="S228" s="1234"/>
      <c r="T228" s="1234"/>
      <c r="U228" s="1234"/>
      <c r="V228" s="1234"/>
      <c r="W228" s="1234"/>
      <c r="X228" s="1234"/>
      <c r="Y228" s="1234"/>
      <c r="Z228" s="1234"/>
    </row>
    <row r="229" spans="1:26" ht="14.5">
      <c r="A229" s="1234"/>
      <c r="B229" s="1234"/>
      <c r="C229" s="1234"/>
      <c r="D229" s="1234"/>
      <c r="E229" s="1234"/>
      <c r="F229" s="1234"/>
      <c r="G229" s="1234"/>
      <c r="H229" s="1234"/>
      <c r="I229" s="1234"/>
      <c r="J229" s="1234"/>
      <c r="K229" s="1234"/>
      <c r="L229" s="1234"/>
      <c r="M229" s="1234"/>
      <c r="N229" s="1234"/>
      <c r="O229" s="1234"/>
      <c r="P229" s="1234"/>
      <c r="Q229" s="1234"/>
      <c r="R229" s="1234"/>
      <c r="S229" s="1234"/>
      <c r="T229" s="1234"/>
      <c r="U229" s="1234"/>
      <c r="V229" s="1234"/>
      <c r="W229" s="1234"/>
      <c r="X229" s="1234"/>
      <c r="Y229" s="1234"/>
      <c r="Z229" s="1234"/>
    </row>
    <row r="230" spans="1:26" ht="14.5">
      <c r="A230" s="1234"/>
      <c r="B230" s="1234"/>
      <c r="C230" s="1234"/>
      <c r="D230" s="1234"/>
      <c r="E230" s="1234"/>
      <c r="F230" s="1234"/>
      <c r="G230" s="1234"/>
      <c r="H230" s="1234"/>
      <c r="I230" s="1234"/>
      <c r="J230" s="1234"/>
      <c r="K230" s="1234"/>
      <c r="L230" s="1234"/>
      <c r="M230" s="1234"/>
      <c r="N230" s="1234"/>
      <c r="O230" s="1234"/>
      <c r="P230" s="1234"/>
      <c r="Q230" s="1234"/>
      <c r="R230" s="1234"/>
      <c r="S230" s="1234"/>
      <c r="T230" s="1234"/>
      <c r="U230" s="1234"/>
      <c r="V230" s="1234"/>
      <c r="W230" s="1234"/>
      <c r="X230" s="1234"/>
      <c r="Y230" s="1234"/>
      <c r="Z230" s="1234"/>
    </row>
    <row r="231" spans="1:26" ht="14.5">
      <c r="A231" s="1234"/>
      <c r="B231" s="1234"/>
      <c r="C231" s="1234"/>
      <c r="D231" s="1234"/>
      <c r="E231" s="1234"/>
      <c r="F231" s="1234"/>
      <c r="G231" s="1234"/>
      <c r="H231" s="1234"/>
      <c r="I231" s="1234"/>
      <c r="J231" s="1234"/>
      <c r="K231" s="1234"/>
      <c r="L231" s="1234"/>
      <c r="M231" s="1234"/>
      <c r="N231" s="1234"/>
      <c r="O231" s="1234"/>
      <c r="P231" s="1234"/>
      <c r="Q231" s="1234"/>
      <c r="R231" s="1234"/>
      <c r="S231" s="1234"/>
      <c r="T231" s="1234"/>
      <c r="U231" s="1234"/>
      <c r="V231" s="1234"/>
      <c r="W231" s="1234"/>
      <c r="X231" s="1234"/>
      <c r="Y231" s="1234"/>
      <c r="Z231" s="1234"/>
    </row>
    <row r="232" spans="1:26" ht="14.5">
      <c r="A232" s="1234"/>
      <c r="B232" s="1234"/>
      <c r="C232" s="1234"/>
      <c r="D232" s="1234"/>
      <c r="E232" s="1234"/>
      <c r="F232" s="1234"/>
      <c r="G232" s="1234"/>
      <c r="H232" s="1234"/>
      <c r="I232" s="1234"/>
      <c r="J232" s="1234"/>
      <c r="K232" s="1234"/>
      <c r="L232" s="1234"/>
      <c r="M232" s="1234"/>
      <c r="N232" s="1234"/>
      <c r="O232" s="1234"/>
      <c r="P232" s="1234"/>
      <c r="Q232" s="1234"/>
      <c r="R232" s="1234"/>
      <c r="S232" s="1234"/>
      <c r="T232" s="1234"/>
      <c r="U232" s="1234"/>
      <c r="V232" s="1234"/>
      <c r="W232" s="1234"/>
      <c r="X232" s="1234"/>
      <c r="Y232" s="1234"/>
      <c r="Z232" s="1234"/>
    </row>
    <row r="233" spans="1:26" ht="14.5">
      <c r="A233" s="1234"/>
      <c r="B233" s="1234"/>
      <c r="C233" s="1234"/>
      <c r="D233" s="1234"/>
      <c r="E233" s="1234"/>
      <c r="F233" s="1234"/>
      <c r="G233" s="1234"/>
      <c r="H233" s="1234"/>
      <c r="I233" s="1234"/>
      <c r="J233" s="1234"/>
      <c r="K233" s="1234"/>
      <c r="L233" s="1234"/>
      <c r="M233" s="1234"/>
      <c r="N233" s="1234"/>
      <c r="O233" s="1234"/>
      <c r="P233" s="1234"/>
      <c r="Q233" s="1234"/>
      <c r="R233" s="1234"/>
      <c r="S233" s="1234"/>
      <c r="T233" s="1234"/>
      <c r="U233" s="1234"/>
      <c r="V233" s="1234"/>
      <c r="W233" s="1234"/>
      <c r="X233" s="1234"/>
      <c r="Y233" s="1234"/>
      <c r="Z233" s="1234"/>
    </row>
    <row r="234" spans="1:26" ht="14.5">
      <c r="A234" s="1234"/>
      <c r="B234" s="1234"/>
      <c r="C234" s="1234"/>
      <c r="D234" s="1234"/>
      <c r="E234" s="1234"/>
      <c r="F234" s="1234"/>
      <c r="G234" s="1234"/>
      <c r="H234" s="1234"/>
      <c r="I234" s="1234"/>
      <c r="J234" s="1234"/>
      <c r="K234" s="1234"/>
      <c r="L234" s="1234"/>
      <c r="M234" s="1234"/>
      <c r="N234" s="1234"/>
      <c r="O234" s="1234"/>
      <c r="P234" s="1234"/>
      <c r="Q234" s="1234"/>
      <c r="R234" s="1234"/>
      <c r="S234" s="1234"/>
      <c r="T234" s="1234"/>
      <c r="U234" s="1234"/>
      <c r="V234" s="1234"/>
      <c r="W234" s="1234"/>
      <c r="X234" s="1234"/>
      <c r="Y234" s="1234"/>
      <c r="Z234" s="1234"/>
    </row>
    <row r="235" spans="1:26" ht="14.5">
      <c r="A235" s="1234"/>
      <c r="B235" s="1234"/>
      <c r="C235" s="1234"/>
      <c r="D235" s="1234"/>
      <c r="E235" s="1234"/>
      <c r="F235" s="1234"/>
      <c r="G235" s="1234"/>
      <c r="H235" s="1234"/>
      <c r="I235" s="1234"/>
      <c r="J235" s="1234"/>
      <c r="K235" s="1234"/>
      <c r="L235" s="1234"/>
      <c r="M235" s="1234"/>
      <c r="N235" s="1234"/>
      <c r="O235" s="1234"/>
      <c r="P235" s="1234"/>
      <c r="Q235" s="1234"/>
      <c r="R235" s="1234"/>
      <c r="S235" s="1234"/>
      <c r="T235" s="1234"/>
      <c r="U235" s="1234"/>
      <c r="V235" s="1234"/>
      <c r="W235" s="1234"/>
      <c r="X235" s="1234"/>
      <c r="Y235" s="1234"/>
      <c r="Z235" s="1234"/>
    </row>
    <row r="236" spans="1:26" ht="14.5">
      <c r="A236" s="1234"/>
      <c r="B236" s="1234"/>
      <c r="C236" s="1234"/>
      <c r="D236" s="1234"/>
      <c r="E236" s="1234"/>
      <c r="F236" s="1234"/>
      <c r="G236" s="1234"/>
      <c r="H236" s="1234"/>
      <c r="I236" s="1234"/>
      <c r="J236" s="1234"/>
      <c r="K236" s="1234"/>
      <c r="L236" s="1234"/>
      <c r="M236" s="1234"/>
      <c r="N236" s="1234"/>
      <c r="O236" s="1234"/>
      <c r="P236" s="1234"/>
      <c r="Q236" s="1234"/>
      <c r="R236" s="1234"/>
      <c r="S236" s="1234"/>
      <c r="T236" s="1234"/>
      <c r="U236" s="1234"/>
      <c r="V236" s="1234"/>
      <c r="W236" s="1234"/>
      <c r="X236" s="1234"/>
      <c r="Y236" s="1234"/>
      <c r="Z236" s="1234"/>
    </row>
    <row r="237" spans="1:26" ht="14.5">
      <c r="A237" s="1234"/>
      <c r="B237" s="1234"/>
      <c r="C237" s="1234"/>
      <c r="D237" s="1234"/>
      <c r="E237" s="1234"/>
      <c r="F237" s="1234"/>
      <c r="G237" s="1234"/>
      <c r="H237" s="1234"/>
      <c r="I237" s="1234"/>
      <c r="J237" s="1234"/>
      <c r="K237" s="1234"/>
      <c r="L237" s="1234"/>
      <c r="M237" s="1234"/>
      <c r="N237" s="1234"/>
      <c r="O237" s="1234"/>
      <c r="P237" s="1234"/>
      <c r="Q237" s="1234"/>
      <c r="R237" s="1234"/>
      <c r="S237" s="1234"/>
      <c r="T237" s="1234"/>
      <c r="U237" s="1234"/>
      <c r="V237" s="1234"/>
      <c r="W237" s="1234"/>
      <c r="X237" s="1234"/>
      <c r="Y237" s="1234"/>
      <c r="Z237" s="1234"/>
    </row>
    <row r="238" spans="1:26" ht="14.5">
      <c r="A238" s="1234"/>
      <c r="B238" s="1234"/>
      <c r="C238" s="1234"/>
      <c r="D238" s="1234"/>
      <c r="E238" s="1234"/>
      <c r="F238" s="1234"/>
      <c r="G238" s="1234"/>
      <c r="H238" s="1234"/>
      <c r="I238" s="1234"/>
      <c r="J238" s="1234"/>
      <c r="K238" s="1234"/>
      <c r="L238" s="1234"/>
      <c r="M238" s="1234"/>
      <c r="N238" s="1234"/>
      <c r="O238" s="1234"/>
      <c r="P238" s="1234"/>
      <c r="Q238" s="1234"/>
      <c r="R238" s="1234"/>
      <c r="S238" s="1234"/>
      <c r="T238" s="1234"/>
      <c r="U238" s="1234"/>
      <c r="V238" s="1234"/>
      <c r="W238" s="1234"/>
      <c r="X238" s="1234"/>
      <c r="Y238" s="1234"/>
      <c r="Z238" s="1234"/>
    </row>
    <row r="239" spans="1:26" ht="14.5">
      <c r="A239" s="1234"/>
      <c r="B239" s="1234"/>
      <c r="C239" s="1234"/>
      <c r="D239" s="1234"/>
      <c r="E239" s="1234"/>
      <c r="F239" s="1234"/>
      <c r="G239" s="1234"/>
      <c r="H239" s="1234"/>
      <c r="I239" s="1234"/>
      <c r="J239" s="1234"/>
      <c r="K239" s="1234"/>
      <c r="L239" s="1234"/>
      <c r="M239" s="1234"/>
      <c r="N239" s="1234"/>
      <c r="O239" s="1234"/>
      <c r="P239" s="1234"/>
      <c r="Q239" s="1234"/>
      <c r="R239" s="1234"/>
      <c r="S239" s="1234"/>
      <c r="T239" s="1234"/>
      <c r="U239" s="1234"/>
      <c r="V239" s="1234"/>
      <c r="W239" s="1234"/>
      <c r="X239" s="1234"/>
      <c r="Y239" s="1234"/>
      <c r="Z239" s="1234"/>
    </row>
    <row r="240" spans="1:26" ht="14.5">
      <c r="A240" s="1234"/>
      <c r="B240" s="1234"/>
      <c r="C240" s="1234"/>
      <c r="D240" s="1234"/>
      <c r="E240" s="1234"/>
      <c r="F240" s="1234"/>
      <c r="G240" s="1234"/>
      <c r="H240" s="1234"/>
      <c r="I240" s="1234"/>
      <c r="J240" s="1234"/>
      <c r="K240" s="1234"/>
      <c r="L240" s="1234"/>
      <c r="M240" s="1234"/>
      <c r="N240" s="1234"/>
      <c r="O240" s="1234"/>
      <c r="P240" s="1234"/>
      <c r="Q240" s="1234"/>
      <c r="R240" s="1234"/>
      <c r="S240" s="1234"/>
      <c r="T240" s="1234"/>
      <c r="U240" s="1234"/>
      <c r="V240" s="1234"/>
      <c r="W240" s="1234"/>
      <c r="X240" s="1234"/>
      <c r="Y240" s="1234"/>
      <c r="Z240" s="1234"/>
    </row>
    <row r="241" spans="1:26" ht="14.5">
      <c r="A241" s="1234"/>
      <c r="B241" s="1234"/>
      <c r="C241" s="1234"/>
      <c r="D241" s="1234"/>
      <c r="E241" s="1234"/>
      <c r="F241" s="1234"/>
      <c r="G241" s="1234"/>
      <c r="H241" s="1234"/>
      <c r="I241" s="1234"/>
      <c r="J241" s="1234"/>
      <c r="K241" s="1234"/>
      <c r="L241" s="1234"/>
      <c r="M241" s="1234"/>
      <c r="N241" s="1234"/>
      <c r="O241" s="1234"/>
      <c r="P241" s="1234"/>
      <c r="Q241" s="1234"/>
      <c r="R241" s="1234"/>
      <c r="S241" s="1234"/>
      <c r="T241" s="1234"/>
      <c r="U241" s="1234"/>
      <c r="V241" s="1234"/>
      <c r="W241" s="1234"/>
      <c r="X241" s="1234"/>
      <c r="Y241" s="1234"/>
      <c r="Z241" s="1234"/>
    </row>
    <row r="242" spans="1:26" ht="14.5">
      <c r="A242" s="1234"/>
      <c r="B242" s="1234"/>
      <c r="C242" s="1234"/>
      <c r="D242" s="1234"/>
      <c r="E242" s="1234"/>
      <c r="F242" s="1234"/>
      <c r="G242" s="1234"/>
      <c r="H242" s="1234"/>
      <c r="I242" s="1234"/>
      <c r="J242" s="1234"/>
      <c r="K242" s="1234"/>
      <c r="L242" s="1234"/>
      <c r="M242" s="1234"/>
      <c r="N242" s="1234"/>
      <c r="O242" s="1234"/>
      <c r="P242" s="1234"/>
      <c r="Q242" s="1234"/>
      <c r="R242" s="1234"/>
      <c r="S242" s="1234"/>
      <c r="T242" s="1234"/>
      <c r="U242" s="1234"/>
      <c r="V242" s="1234"/>
      <c r="W242" s="1234"/>
      <c r="X242" s="1234"/>
      <c r="Y242" s="1234"/>
      <c r="Z242" s="1234"/>
    </row>
    <row r="243" spans="1:26" ht="14.5">
      <c r="A243" s="1234"/>
      <c r="B243" s="1234"/>
      <c r="C243" s="1234"/>
      <c r="D243" s="1234"/>
      <c r="E243" s="1234"/>
      <c r="F243" s="1234"/>
      <c r="G243" s="1234"/>
      <c r="H243" s="1234"/>
      <c r="I243" s="1234"/>
      <c r="J243" s="1234"/>
      <c r="K243" s="1234"/>
      <c r="L243" s="1234"/>
      <c r="M243" s="1234"/>
      <c r="N243" s="1234"/>
      <c r="O243" s="1234"/>
      <c r="P243" s="1234"/>
      <c r="Q243" s="1234"/>
      <c r="R243" s="1234"/>
      <c r="S243" s="1234"/>
      <c r="T243" s="1234"/>
      <c r="U243" s="1234"/>
      <c r="V243" s="1234"/>
      <c r="W243" s="1234"/>
      <c r="X243" s="1234"/>
      <c r="Y243" s="1234"/>
      <c r="Z243" s="1234"/>
    </row>
    <row r="244" spans="1:26" ht="14.5">
      <c r="A244" s="1234"/>
      <c r="B244" s="1234"/>
      <c r="C244" s="1234"/>
      <c r="D244" s="1234"/>
      <c r="E244" s="1234"/>
      <c r="F244" s="1234"/>
      <c r="G244" s="1234"/>
      <c r="H244" s="1234"/>
      <c r="I244" s="1234"/>
      <c r="J244" s="1234"/>
      <c r="K244" s="1234"/>
      <c r="L244" s="1234"/>
      <c r="M244" s="1234"/>
      <c r="N244" s="1234"/>
      <c r="O244" s="1234"/>
      <c r="P244" s="1234"/>
      <c r="Q244" s="1234"/>
      <c r="R244" s="1234"/>
      <c r="S244" s="1234"/>
      <c r="T244" s="1234"/>
      <c r="U244" s="1234"/>
      <c r="V244" s="1234"/>
      <c r="W244" s="1234"/>
      <c r="X244" s="1234"/>
      <c r="Y244" s="1234"/>
      <c r="Z244" s="1234"/>
    </row>
    <row r="245" spans="1:26" ht="14.5">
      <c r="A245" s="1234"/>
      <c r="B245" s="1234"/>
      <c r="C245" s="1234"/>
      <c r="D245" s="1234"/>
      <c r="E245" s="1234"/>
      <c r="F245" s="1234"/>
      <c r="G245" s="1234"/>
      <c r="H245" s="1234"/>
      <c r="I245" s="1234"/>
      <c r="J245" s="1234"/>
      <c r="K245" s="1234"/>
      <c r="L245" s="1234"/>
      <c r="M245" s="1234"/>
      <c r="N245" s="1234"/>
      <c r="O245" s="1234"/>
      <c r="P245" s="1234"/>
      <c r="Q245" s="1234"/>
      <c r="R245" s="1234"/>
      <c r="S245" s="1234"/>
      <c r="T245" s="1234"/>
      <c r="U245" s="1234"/>
      <c r="V245" s="1234"/>
      <c r="W245" s="1234"/>
      <c r="X245" s="1234"/>
      <c r="Y245" s="1234"/>
      <c r="Z245" s="1234"/>
    </row>
    <row r="246" spans="1:26" ht="14.5">
      <c r="A246" s="1234"/>
      <c r="B246" s="1234"/>
      <c r="C246" s="1234"/>
      <c r="D246" s="1234"/>
      <c r="E246" s="1234"/>
      <c r="F246" s="1234"/>
      <c r="G246" s="1234"/>
      <c r="H246" s="1234"/>
      <c r="I246" s="1234"/>
      <c r="J246" s="1234"/>
      <c r="K246" s="1234"/>
      <c r="L246" s="1234"/>
      <c r="M246" s="1234"/>
      <c r="N246" s="1234"/>
      <c r="O246" s="1234"/>
      <c r="P246" s="1234"/>
      <c r="Q246" s="1234"/>
      <c r="R246" s="1234"/>
      <c r="S246" s="1234"/>
      <c r="T246" s="1234"/>
      <c r="U246" s="1234"/>
      <c r="V246" s="1234"/>
      <c r="W246" s="1234"/>
      <c r="X246" s="1234"/>
      <c r="Y246" s="1234"/>
      <c r="Z246" s="1234"/>
    </row>
    <row r="247" spans="1:26" ht="14.5">
      <c r="A247" s="1234"/>
      <c r="B247" s="1234"/>
      <c r="C247" s="1234"/>
      <c r="D247" s="1234"/>
      <c r="E247" s="1234"/>
      <c r="F247" s="1234"/>
      <c r="G247" s="1234"/>
      <c r="H247" s="1234"/>
      <c r="I247" s="1234"/>
      <c r="J247" s="1234"/>
      <c r="K247" s="1234"/>
      <c r="L247" s="1234"/>
      <c r="M247" s="1234"/>
      <c r="N247" s="1234"/>
      <c r="O247" s="1234"/>
      <c r="P247" s="1234"/>
      <c r="Q247" s="1234"/>
      <c r="R247" s="1234"/>
      <c r="S247" s="1234"/>
      <c r="T247" s="1234"/>
      <c r="U247" s="1234"/>
      <c r="V247" s="1234"/>
      <c r="W247" s="1234"/>
      <c r="X247" s="1234"/>
      <c r="Y247" s="1234"/>
      <c r="Z247" s="1234"/>
    </row>
    <row r="248" spans="1:26" ht="14.5">
      <c r="A248" s="1234"/>
      <c r="B248" s="1234"/>
      <c r="C248" s="1234"/>
      <c r="D248" s="1234"/>
      <c r="E248" s="1234"/>
      <c r="F248" s="1234"/>
      <c r="G248" s="1234"/>
      <c r="H248" s="1234"/>
      <c r="I248" s="1234"/>
      <c r="J248" s="1234"/>
      <c r="K248" s="1234"/>
      <c r="L248" s="1234"/>
      <c r="M248" s="1234"/>
      <c r="N248" s="1234"/>
      <c r="O248" s="1234"/>
      <c r="P248" s="1234"/>
      <c r="Q248" s="1234"/>
      <c r="R248" s="1234"/>
      <c r="S248" s="1234"/>
      <c r="T248" s="1234"/>
      <c r="U248" s="1234"/>
      <c r="V248" s="1234"/>
      <c r="W248" s="1234"/>
      <c r="X248" s="1234"/>
      <c r="Y248" s="1234"/>
      <c r="Z248" s="1234"/>
    </row>
    <row r="249" spans="1:26" ht="14.5">
      <c r="A249" s="1234"/>
      <c r="B249" s="1234"/>
      <c r="C249" s="1234"/>
      <c r="D249" s="1234"/>
      <c r="E249" s="1234"/>
      <c r="F249" s="1234"/>
      <c r="G249" s="1234"/>
      <c r="H249" s="1234"/>
      <c r="I249" s="1234"/>
      <c r="J249" s="1234"/>
      <c r="K249" s="1234"/>
      <c r="L249" s="1234"/>
      <c r="M249" s="1234"/>
      <c r="N249" s="1234"/>
      <c r="O249" s="1234"/>
      <c r="P249" s="1234"/>
      <c r="Q249" s="1234"/>
      <c r="R249" s="1234"/>
      <c r="S249" s="1234"/>
      <c r="T249" s="1234"/>
      <c r="U249" s="1234"/>
      <c r="V249" s="1234"/>
      <c r="W249" s="1234"/>
      <c r="X249" s="1234"/>
      <c r="Y249" s="1234"/>
      <c r="Z249" s="1234"/>
    </row>
    <row r="250" spans="1:26" ht="14.5">
      <c r="A250" s="1234"/>
      <c r="B250" s="1234"/>
      <c r="C250" s="1234"/>
      <c r="D250" s="1234"/>
      <c r="E250" s="1234"/>
      <c r="F250" s="1234"/>
      <c r="G250" s="1234"/>
      <c r="H250" s="1234"/>
      <c r="I250" s="1234"/>
      <c r="J250" s="1234"/>
      <c r="K250" s="1234"/>
      <c r="L250" s="1234"/>
      <c r="M250" s="1234"/>
      <c r="N250" s="1234"/>
      <c r="O250" s="1234"/>
      <c r="P250" s="1234"/>
      <c r="Q250" s="1234"/>
      <c r="R250" s="1234"/>
      <c r="S250" s="1234"/>
      <c r="T250" s="1234"/>
      <c r="U250" s="1234"/>
      <c r="V250" s="1234"/>
      <c r="W250" s="1234"/>
      <c r="X250" s="1234"/>
      <c r="Y250" s="1234"/>
      <c r="Z250" s="1234"/>
    </row>
    <row r="251" spans="1:26" ht="14.5">
      <c r="A251" s="1234"/>
      <c r="B251" s="1234"/>
      <c r="C251" s="1234"/>
      <c r="D251" s="1234"/>
      <c r="E251" s="1234"/>
      <c r="F251" s="1234"/>
      <c r="G251" s="1234"/>
      <c r="H251" s="1234"/>
      <c r="I251" s="1234"/>
      <c r="J251" s="1234"/>
      <c r="K251" s="1234"/>
      <c r="L251" s="1234"/>
      <c r="M251" s="1234"/>
      <c r="N251" s="1234"/>
      <c r="O251" s="1234"/>
      <c r="P251" s="1234"/>
      <c r="Q251" s="1234"/>
      <c r="R251" s="1234"/>
      <c r="S251" s="1234"/>
      <c r="T251" s="1234"/>
      <c r="U251" s="1234"/>
      <c r="V251" s="1234"/>
      <c r="W251" s="1234"/>
      <c r="X251" s="1234"/>
      <c r="Y251" s="1234"/>
      <c r="Z251" s="1234"/>
    </row>
    <row r="252" spans="1:26" ht="14.5">
      <c r="A252" s="1234"/>
      <c r="B252" s="1234"/>
      <c r="C252" s="1234"/>
      <c r="D252" s="1234"/>
      <c r="E252" s="1234"/>
      <c r="F252" s="1234"/>
      <c r="G252" s="1234"/>
      <c r="H252" s="1234"/>
      <c r="I252" s="1234"/>
      <c r="J252" s="1234"/>
      <c r="K252" s="1234"/>
      <c r="L252" s="1234"/>
      <c r="M252" s="1234"/>
      <c r="N252" s="1234"/>
      <c r="O252" s="1234"/>
      <c r="P252" s="1234"/>
      <c r="Q252" s="1234"/>
      <c r="R252" s="1234"/>
      <c r="S252" s="1234"/>
      <c r="T252" s="1234"/>
      <c r="U252" s="1234"/>
      <c r="V252" s="1234"/>
      <c r="W252" s="1234"/>
      <c r="X252" s="1234"/>
      <c r="Y252" s="1234"/>
      <c r="Z252" s="1234"/>
    </row>
    <row r="253" spans="1:26" ht="14.5">
      <c r="A253" s="1234"/>
      <c r="B253" s="1234"/>
      <c r="C253" s="1234"/>
      <c r="D253" s="1234"/>
      <c r="E253" s="1234"/>
      <c r="F253" s="1234"/>
      <c r="G253" s="1234"/>
      <c r="H253" s="1234"/>
      <c r="I253" s="1234"/>
      <c r="J253" s="1234"/>
      <c r="K253" s="1234"/>
      <c r="L253" s="1234"/>
      <c r="M253" s="1234"/>
      <c r="N253" s="1234"/>
      <c r="O253" s="1234"/>
      <c r="P253" s="1234"/>
      <c r="Q253" s="1234"/>
      <c r="R253" s="1234"/>
      <c r="S253" s="1234"/>
      <c r="T253" s="1234"/>
      <c r="U253" s="1234"/>
      <c r="V253" s="1234"/>
      <c r="W253" s="1234"/>
      <c r="X253" s="1234"/>
      <c r="Y253" s="1234"/>
      <c r="Z253" s="1234"/>
    </row>
    <row r="254" spans="1:26" ht="14.5">
      <c r="A254" s="1234"/>
      <c r="B254" s="1234"/>
      <c r="C254" s="1234"/>
      <c r="D254" s="1234"/>
      <c r="E254" s="1234"/>
      <c r="F254" s="1234"/>
      <c r="G254" s="1234"/>
      <c r="H254" s="1234"/>
      <c r="I254" s="1234"/>
      <c r="J254" s="1234"/>
      <c r="K254" s="1234"/>
      <c r="L254" s="1234"/>
      <c r="M254" s="1234"/>
      <c r="N254" s="1234"/>
      <c r="O254" s="1234"/>
      <c r="P254" s="1234"/>
      <c r="Q254" s="1234"/>
      <c r="R254" s="1234"/>
      <c r="S254" s="1234"/>
      <c r="T254" s="1234"/>
      <c r="U254" s="1234"/>
      <c r="V254" s="1234"/>
      <c r="W254" s="1234"/>
      <c r="X254" s="1234"/>
      <c r="Y254" s="1234"/>
      <c r="Z254" s="1234"/>
    </row>
    <row r="255" spans="1:26" ht="14.5">
      <c r="A255" s="1234"/>
      <c r="B255" s="1234"/>
      <c r="C255" s="1234"/>
      <c r="D255" s="1234"/>
      <c r="E255" s="1234"/>
      <c r="F255" s="1234"/>
      <c r="G255" s="1234"/>
      <c r="H255" s="1234"/>
      <c r="I255" s="1234"/>
      <c r="J255" s="1234"/>
      <c r="K255" s="1234"/>
      <c r="L255" s="1234"/>
      <c r="M255" s="1234"/>
      <c r="N255" s="1234"/>
      <c r="O255" s="1234"/>
      <c r="P255" s="1234"/>
      <c r="Q255" s="1234"/>
      <c r="R255" s="1234"/>
      <c r="S255" s="1234"/>
      <c r="T255" s="1234"/>
      <c r="U255" s="1234"/>
      <c r="V255" s="1234"/>
      <c r="W255" s="1234"/>
      <c r="X255" s="1234"/>
      <c r="Y255" s="1234"/>
      <c r="Z255" s="1234"/>
    </row>
    <row r="256" spans="1:26" ht="14.5">
      <c r="A256" s="1234"/>
      <c r="B256" s="1234"/>
      <c r="C256" s="1234"/>
      <c r="D256" s="1234"/>
      <c r="E256" s="1234"/>
      <c r="F256" s="1234"/>
      <c r="G256" s="1234"/>
      <c r="H256" s="1234"/>
      <c r="I256" s="1234"/>
      <c r="J256" s="1234"/>
      <c r="K256" s="1234"/>
      <c r="L256" s="1234"/>
      <c r="M256" s="1234"/>
      <c r="N256" s="1234"/>
      <c r="O256" s="1234"/>
      <c r="P256" s="1234"/>
      <c r="Q256" s="1234"/>
      <c r="R256" s="1234"/>
      <c r="S256" s="1234"/>
      <c r="T256" s="1234"/>
      <c r="U256" s="1234"/>
      <c r="V256" s="1234"/>
      <c r="W256" s="1234"/>
      <c r="X256" s="1234"/>
      <c r="Y256" s="1234"/>
      <c r="Z256" s="1234"/>
    </row>
    <row r="257" spans="1:26" ht="14.5">
      <c r="A257" s="1234"/>
      <c r="B257" s="1234"/>
      <c r="C257" s="1234"/>
      <c r="D257" s="1234"/>
      <c r="E257" s="1234"/>
      <c r="F257" s="1234"/>
      <c r="G257" s="1234"/>
      <c r="H257" s="1234"/>
      <c r="I257" s="1234"/>
      <c r="J257" s="1234"/>
      <c r="K257" s="1234"/>
      <c r="L257" s="1234"/>
      <c r="M257" s="1234"/>
      <c r="N257" s="1234"/>
      <c r="O257" s="1234"/>
      <c r="P257" s="1234"/>
      <c r="Q257" s="1234"/>
      <c r="R257" s="1234"/>
      <c r="S257" s="1234"/>
      <c r="T257" s="1234"/>
      <c r="U257" s="1234"/>
      <c r="V257" s="1234"/>
      <c r="W257" s="1234"/>
      <c r="X257" s="1234"/>
      <c r="Y257" s="1234"/>
      <c r="Z257" s="1234"/>
    </row>
    <row r="258" spans="1:26" ht="14.5">
      <c r="A258" s="1234"/>
      <c r="B258" s="1234"/>
      <c r="C258" s="1234"/>
      <c r="D258" s="1234"/>
      <c r="E258" s="1234"/>
      <c r="F258" s="1234"/>
      <c r="G258" s="1234"/>
      <c r="H258" s="1234"/>
      <c r="I258" s="1234"/>
      <c r="J258" s="1234"/>
      <c r="K258" s="1234"/>
      <c r="L258" s="1234"/>
      <c r="M258" s="1234"/>
      <c r="N258" s="1234"/>
      <c r="O258" s="1234"/>
      <c r="P258" s="1234"/>
      <c r="Q258" s="1234"/>
      <c r="R258" s="1234"/>
      <c r="S258" s="1234"/>
      <c r="T258" s="1234"/>
      <c r="U258" s="1234"/>
      <c r="V258" s="1234"/>
      <c r="W258" s="1234"/>
      <c r="X258" s="1234"/>
      <c r="Y258" s="1234"/>
      <c r="Z258" s="1234"/>
    </row>
    <row r="259" spans="1:26" ht="14.5">
      <c r="A259" s="1234"/>
      <c r="B259" s="1234"/>
      <c r="C259" s="1234"/>
      <c r="D259" s="1234"/>
      <c r="E259" s="1234"/>
      <c r="F259" s="1234"/>
      <c r="G259" s="1234"/>
      <c r="H259" s="1234"/>
      <c r="I259" s="1234"/>
      <c r="J259" s="1234"/>
      <c r="K259" s="1234"/>
      <c r="L259" s="1234"/>
      <c r="M259" s="1234"/>
      <c r="N259" s="1234"/>
      <c r="O259" s="1234"/>
      <c r="P259" s="1234"/>
      <c r="Q259" s="1234"/>
      <c r="R259" s="1234"/>
      <c r="S259" s="1234"/>
      <c r="T259" s="1234"/>
      <c r="U259" s="1234"/>
      <c r="V259" s="1234"/>
      <c r="W259" s="1234"/>
      <c r="X259" s="1234"/>
      <c r="Y259" s="1234"/>
      <c r="Z259" s="1234"/>
    </row>
    <row r="260" spans="1:26" ht="14.5">
      <c r="A260" s="1234"/>
      <c r="B260" s="1234"/>
      <c r="C260" s="1234"/>
      <c r="D260" s="1234"/>
      <c r="E260" s="1234"/>
      <c r="F260" s="1234"/>
      <c r="G260" s="1234"/>
      <c r="H260" s="1234"/>
      <c r="I260" s="1234"/>
      <c r="J260" s="1234"/>
      <c r="K260" s="1234"/>
      <c r="L260" s="1234"/>
      <c r="M260" s="1234"/>
      <c r="N260" s="1234"/>
      <c r="O260" s="1234"/>
      <c r="P260" s="1234"/>
      <c r="Q260" s="1234"/>
      <c r="R260" s="1234"/>
      <c r="S260" s="1234"/>
      <c r="T260" s="1234"/>
      <c r="U260" s="1234"/>
      <c r="V260" s="1234"/>
      <c r="W260" s="1234"/>
      <c r="X260" s="1234"/>
      <c r="Y260" s="1234"/>
      <c r="Z260" s="1234"/>
    </row>
    <row r="261" spans="1:26" ht="14.5">
      <c r="A261" s="1234"/>
      <c r="B261" s="1234"/>
      <c r="C261" s="1234"/>
      <c r="D261" s="1234"/>
      <c r="E261" s="1234"/>
      <c r="F261" s="1234"/>
      <c r="G261" s="1234"/>
      <c r="H261" s="1234"/>
      <c r="I261" s="1234"/>
      <c r="J261" s="1234"/>
      <c r="K261" s="1234"/>
      <c r="L261" s="1234"/>
      <c r="M261" s="1234"/>
      <c r="N261" s="1234"/>
      <c r="O261" s="1234"/>
      <c r="P261" s="1234"/>
      <c r="Q261" s="1234"/>
      <c r="R261" s="1234"/>
      <c r="S261" s="1234"/>
      <c r="T261" s="1234"/>
      <c r="U261" s="1234"/>
      <c r="V261" s="1234"/>
      <c r="W261" s="1234"/>
      <c r="X261" s="1234"/>
      <c r="Y261" s="1234"/>
      <c r="Z261" s="1234"/>
    </row>
    <row r="262" spans="1:26" ht="14.5">
      <c r="A262" s="1234"/>
      <c r="B262" s="1234"/>
      <c r="C262" s="1234"/>
      <c r="D262" s="1234"/>
      <c r="E262" s="1234"/>
      <c r="F262" s="1234"/>
      <c r="G262" s="1234"/>
      <c r="H262" s="1234"/>
      <c r="I262" s="1234"/>
      <c r="J262" s="1234"/>
      <c r="K262" s="1234"/>
      <c r="L262" s="1234"/>
      <c r="M262" s="1234"/>
      <c r="N262" s="1234"/>
      <c r="O262" s="1234"/>
      <c r="P262" s="1234"/>
      <c r="Q262" s="1234"/>
      <c r="R262" s="1234"/>
      <c r="S262" s="1234"/>
      <c r="T262" s="1234"/>
      <c r="U262" s="1234"/>
      <c r="V262" s="1234"/>
      <c r="W262" s="1234"/>
      <c r="X262" s="1234"/>
      <c r="Y262" s="1234"/>
      <c r="Z262" s="1234"/>
    </row>
    <row r="263" spans="1:26" ht="14.5">
      <c r="A263" s="1234"/>
      <c r="B263" s="1234"/>
      <c r="C263" s="1234"/>
      <c r="D263" s="1234"/>
      <c r="E263" s="1234"/>
      <c r="F263" s="1234"/>
      <c r="G263" s="1234"/>
      <c r="H263" s="1234"/>
      <c r="I263" s="1234"/>
      <c r="J263" s="1234"/>
      <c r="K263" s="1234"/>
      <c r="L263" s="1234"/>
      <c r="M263" s="1234"/>
      <c r="N263" s="1234"/>
      <c r="O263" s="1234"/>
      <c r="P263" s="1234"/>
      <c r="Q263" s="1234"/>
      <c r="R263" s="1234"/>
      <c r="S263" s="1234"/>
      <c r="T263" s="1234"/>
      <c r="U263" s="1234"/>
      <c r="V263" s="1234"/>
      <c r="W263" s="1234"/>
      <c r="X263" s="1234"/>
      <c r="Y263" s="1234"/>
      <c r="Z263" s="1234"/>
    </row>
    <row r="264" spans="1:26" ht="14.5">
      <c r="A264" s="1234"/>
      <c r="B264" s="1234"/>
      <c r="C264" s="1234"/>
      <c r="D264" s="1234"/>
      <c r="E264" s="1234"/>
      <c r="F264" s="1234"/>
      <c r="G264" s="1234"/>
      <c r="H264" s="1234"/>
      <c r="I264" s="1234"/>
      <c r="J264" s="1234"/>
      <c r="K264" s="1234"/>
      <c r="L264" s="1234"/>
      <c r="M264" s="1234"/>
      <c r="N264" s="1234"/>
      <c r="O264" s="1234"/>
      <c r="P264" s="1234"/>
      <c r="Q264" s="1234"/>
      <c r="R264" s="1234"/>
      <c r="S264" s="1234"/>
      <c r="T264" s="1234"/>
      <c r="U264" s="1234"/>
      <c r="V264" s="1234"/>
      <c r="W264" s="1234"/>
      <c r="X264" s="1234"/>
      <c r="Y264" s="1234"/>
      <c r="Z264" s="1234"/>
    </row>
    <row r="265" spans="1:26" ht="14.5">
      <c r="A265" s="1234"/>
      <c r="B265" s="1234"/>
      <c r="C265" s="1234"/>
      <c r="D265" s="1234"/>
      <c r="E265" s="1234"/>
      <c r="F265" s="1234"/>
      <c r="G265" s="1234"/>
      <c r="H265" s="1234"/>
      <c r="I265" s="1234"/>
      <c r="J265" s="1234"/>
      <c r="K265" s="1234"/>
      <c r="L265" s="1234"/>
      <c r="M265" s="1234"/>
      <c r="N265" s="1234"/>
      <c r="O265" s="1234"/>
      <c r="P265" s="1234"/>
      <c r="Q265" s="1234"/>
      <c r="R265" s="1234"/>
      <c r="S265" s="1234"/>
      <c r="T265" s="1234"/>
      <c r="U265" s="1234"/>
      <c r="V265" s="1234"/>
      <c r="W265" s="1234"/>
      <c r="X265" s="1234"/>
      <c r="Y265" s="1234"/>
      <c r="Z265" s="1234"/>
    </row>
    <row r="266" spans="1:26" ht="14.5">
      <c r="A266" s="1234"/>
      <c r="B266" s="1234"/>
      <c r="C266" s="1234"/>
      <c r="D266" s="1234"/>
      <c r="E266" s="1234"/>
      <c r="F266" s="1234"/>
      <c r="G266" s="1234"/>
      <c r="H266" s="1234"/>
      <c r="I266" s="1234"/>
      <c r="J266" s="1234"/>
      <c r="K266" s="1234"/>
      <c r="L266" s="1234"/>
      <c r="M266" s="1234"/>
      <c r="N266" s="1234"/>
      <c r="O266" s="1234"/>
      <c r="P266" s="1234"/>
      <c r="Q266" s="1234"/>
      <c r="R266" s="1234"/>
      <c r="S266" s="1234"/>
      <c r="T266" s="1234"/>
      <c r="U266" s="1234"/>
      <c r="V266" s="1234"/>
      <c r="W266" s="1234"/>
      <c r="X266" s="1234"/>
      <c r="Y266" s="1234"/>
      <c r="Z266" s="1234"/>
    </row>
    <row r="267" spans="1:26" ht="14.5">
      <c r="A267" s="1234"/>
      <c r="B267" s="1234"/>
      <c r="C267" s="1234"/>
      <c r="D267" s="1234"/>
      <c r="E267" s="1234"/>
      <c r="F267" s="1234"/>
      <c r="G267" s="1234"/>
      <c r="H267" s="1234"/>
      <c r="I267" s="1234"/>
      <c r="J267" s="1234"/>
      <c r="K267" s="1234"/>
      <c r="L267" s="1234"/>
      <c r="M267" s="1234"/>
      <c r="N267" s="1234"/>
      <c r="O267" s="1234"/>
      <c r="P267" s="1234"/>
      <c r="Q267" s="1234"/>
      <c r="R267" s="1234"/>
      <c r="S267" s="1234"/>
      <c r="T267" s="1234"/>
      <c r="U267" s="1234"/>
      <c r="V267" s="1234"/>
      <c r="W267" s="1234"/>
      <c r="X267" s="1234"/>
      <c r="Y267" s="1234"/>
      <c r="Z267" s="1234"/>
    </row>
    <row r="268" spans="1:26" ht="14.5">
      <c r="A268" s="1234"/>
      <c r="B268" s="1234"/>
      <c r="C268" s="1234"/>
      <c r="D268" s="1234"/>
      <c r="E268" s="1234"/>
      <c r="F268" s="1234"/>
      <c r="G268" s="1234"/>
      <c r="H268" s="1234"/>
      <c r="I268" s="1234"/>
      <c r="J268" s="1234"/>
      <c r="K268" s="1234"/>
      <c r="L268" s="1234"/>
      <c r="M268" s="1234"/>
      <c r="N268" s="1234"/>
      <c r="O268" s="1234"/>
      <c r="P268" s="1234"/>
      <c r="Q268" s="1234"/>
      <c r="R268" s="1234"/>
      <c r="S268" s="1234"/>
      <c r="T268" s="1234"/>
      <c r="U268" s="1234"/>
      <c r="V268" s="1234"/>
      <c r="W268" s="1234"/>
      <c r="X268" s="1234"/>
      <c r="Y268" s="1234"/>
      <c r="Z268" s="1234"/>
    </row>
    <row r="269" spans="1:26" ht="14.5">
      <c r="A269" s="1234"/>
      <c r="B269" s="1234"/>
      <c r="C269" s="1234"/>
      <c r="D269" s="1234"/>
      <c r="E269" s="1234"/>
      <c r="F269" s="1234"/>
      <c r="G269" s="1234"/>
      <c r="H269" s="1234"/>
      <c r="I269" s="1234"/>
      <c r="J269" s="1234"/>
      <c r="K269" s="1234"/>
      <c r="L269" s="1234"/>
      <c r="M269" s="1234"/>
      <c r="N269" s="1234"/>
      <c r="O269" s="1234"/>
      <c r="P269" s="1234"/>
      <c r="Q269" s="1234"/>
      <c r="R269" s="1234"/>
      <c r="S269" s="1234"/>
      <c r="T269" s="1234"/>
      <c r="U269" s="1234"/>
      <c r="V269" s="1234"/>
      <c r="W269" s="1234"/>
      <c r="X269" s="1234"/>
      <c r="Y269" s="1234"/>
      <c r="Z269" s="1234"/>
    </row>
    <row r="270" spans="1:26" ht="14.5">
      <c r="A270" s="1234"/>
      <c r="B270" s="1234"/>
      <c r="C270" s="1234"/>
      <c r="D270" s="1234"/>
      <c r="E270" s="1234"/>
      <c r="F270" s="1234"/>
      <c r="G270" s="1234"/>
      <c r="H270" s="1234"/>
      <c r="I270" s="1234"/>
      <c r="J270" s="1234"/>
      <c r="K270" s="1234"/>
      <c r="L270" s="1234"/>
      <c r="M270" s="1234"/>
      <c r="N270" s="1234"/>
      <c r="O270" s="1234"/>
      <c r="P270" s="1234"/>
      <c r="Q270" s="1234"/>
      <c r="R270" s="1234"/>
      <c r="S270" s="1234"/>
      <c r="T270" s="1234"/>
      <c r="U270" s="1234"/>
      <c r="V270" s="1234"/>
      <c r="W270" s="1234"/>
      <c r="X270" s="1234"/>
      <c r="Y270" s="1234"/>
      <c r="Z270" s="1234"/>
    </row>
    <row r="271" spans="1:26" ht="14.5">
      <c r="A271" s="1234"/>
      <c r="B271" s="1234"/>
      <c r="C271" s="1234"/>
      <c r="D271" s="1234"/>
      <c r="E271" s="1234"/>
      <c r="F271" s="1234"/>
      <c r="G271" s="1234"/>
      <c r="H271" s="1234"/>
      <c r="I271" s="1234"/>
      <c r="J271" s="1234"/>
      <c r="K271" s="1234"/>
      <c r="L271" s="1234"/>
      <c r="M271" s="1234"/>
      <c r="N271" s="1234"/>
      <c r="O271" s="1234"/>
      <c r="P271" s="1234"/>
      <c r="Q271" s="1234"/>
      <c r="R271" s="1234"/>
      <c r="S271" s="1234"/>
      <c r="T271" s="1234"/>
      <c r="U271" s="1234"/>
      <c r="V271" s="1234"/>
      <c r="W271" s="1234"/>
      <c r="X271" s="1234"/>
      <c r="Y271" s="1234"/>
      <c r="Z271" s="1234"/>
    </row>
    <row r="272" spans="1:26" ht="14.5">
      <c r="A272" s="1234"/>
      <c r="B272" s="1234"/>
      <c r="C272" s="1234"/>
      <c r="D272" s="1234"/>
      <c r="E272" s="1234"/>
      <c r="F272" s="1234"/>
      <c r="G272" s="1234"/>
      <c r="H272" s="1234"/>
      <c r="I272" s="1234"/>
      <c r="J272" s="1234"/>
      <c r="K272" s="1234"/>
      <c r="L272" s="1234"/>
      <c r="M272" s="1234"/>
      <c r="N272" s="1234"/>
      <c r="O272" s="1234"/>
      <c r="P272" s="1234"/>
      <c r="Q272" s="1234"/>
      <c r="R272" s="1234"/>
      <c r="S272" s="1234"/>
      <c r="T272" s="1234"/>
      <c r="U272" s="1234"/>
      <c r="V272" s="1234"/>
      <c r="W272" s="1234"/>
      <c r="X272" s="1234"/>
      <c r="Y272" s="1234"/>
      <c r="Z272" s="1234"/>
    </row>
    <row r="273" spans="1:26" ht="14.5">
      <c r="A273" s="1234"/>
      <c r="B273" s="1234"/>
      <c r="C273" s="1234"/>
      <c r="D273" s="1234"/>
      <c r="E273" s="1234"/>
      <c r="F273" s="1234"/>
      <c r="G273" s="1234"/>
      <c r="H273" s="1234"/>
      <c r="I273" s="1234"/>
      <c r="J273" s="1234"/>
      <c r="K273" s="1234"/>
      <c r="L273" s="1234"/>
      <c r="M273" s="1234"/>
      <c r="N273" s="1234"/>
      <c r="O273" s="1234"/>
      <c r="P273" s="1234"/>
      <c r="Q273" s="1234"/>
      <c r="R273" s="1234"/>
      <c r="S273" s="1234"/>
      <c r="T273" s="1234"/>
      <c r="U273" s="1234"/>
      <c r="V273" s="1234"/>
      <c r="W273" s="1234"/>
      <c r="X273" s="1234"/>
      <c r="Y273" s="1234"/>
      <c r="Z273" s="1234"/>
    </row>
    <row r="274" spans="1:26" ht="14.5">
      <c r="A274" s="1234"/>
      <c r="B274" s="1234"/>
      <c r="C274" s="1234"/>
      <c r="D274" s="1234"/>
      <c r="E274" s="1234"/>
      <c r="F274" s="1234"/>
      <c r="G274" s="1234"/>
      <c r="H274" s="1234"/>
      <c r="I274" s="1234"/>
      <c r="J274" s="1234"/>
      <c r="K274" s="1234"/>
      <c r="L274" s="1234"/>
      <c r="M274" s="1234"/>
      <c r="N274" s="1234"/>
      <c r="O274" s="1234"/>
      <c r="P274" s="1234"/>
      <c r="Q274" s="1234"/>
      <c r="R274" s="1234"/>
      <c r="S274" s="1234"/>
      <c r="T274" s="1234"/>
      <c r="U274" s="1234"/>
      <c r="V274" s="1234"/>
      <c r="W274" s="1234"/>
      <c r="X274" s="1234"/>
      <c r="Y274" s="1234"/>
      <c r="Z274" s="1234"/>
    </row>
    <row r="275" spans="1:26" ht="14.5">
      <c r="A275" s="1234"/>
      <c r="B275" s="1234"/>
      <c r="C275" s="1234"/>
      <c r="D275" s="1234"/>
      <c r="E275" s="1234"/>
      <c r="F275" s="1234"/>
      <c r="G275" s="1234"/>
      <c r="H275" s="1234"/>
      <c r="I275" s="1234"/>
      <c r="J275" s="1234"/>
      <c r="K275" s="1234"/>
      <c r="L275" s="1234"/>
      <c r="M275" s="1234"/>
      <c r="N275" s="1234"/>
      <c r="O275" s="1234"/>
      <c r="P275" s="1234"/>
      <c r="Q275" s="1234"/>
      <c r="R275" s="1234"/>
      <c r="S275" s="1234"/>
      <c r="T275" s="1234"/>
      <c r="U275" s="1234"/>
      <c r="V275" s="1234"/>
      <c r="W275" s="1234"/>
      <c r="X275" s="1234"/>
      <c r="Y275" s="1234"/>
      <c r="Z275" s="1234"/>
    </row>
    <row r="276" spans="1:26" ht="14.5">
      <c r="A276" s="1234"/>
      <c r="B276" s="1234"/>
      <c r="C276" s="1234"/>
      <c r="D276" s="1234"/>
      <c r="E276" s="1234"/>
      <c r="F276" s="1234"/>
      <c r="G276" s="1234"/>
      <c r="H276" s="1234"/>
      <c r="I276" s="1234"/>
      <c r="J276" s="1234"/>
      <c r="K276" s="1234"/>
      <c r="L276" s="1234"/>
      <c r="M276" s="1234"/>
      <c r="N276" s="1234"/>
      <c r="O276" s="1234"/>
      <c r="P276" s="1234"/>
      <c r="Q276" s="1234"/>
      <c r="R276" s="1234"/>
      <c r="S276" s="1234"/>
      <c r="T276" s="1234"/>
      <c r="U276" s="1234"/>
      <c r="V276" s="1234"/>
      <c r="W276" s="1234"/>
      <c r="X276" s="1234"/>
      <c r="Y276" s="1234"/>
      <c r="Z276" s="1234"/>
    </row>
    <row r="277" spans="1:26" ht="14.5">
      <c r="A277" s="1234"/>
      <c r="B277" s="1234"/>
      <c r="C277" s="1234"/>
      <c r="D277" s="1234"/>
      <c r="E277" s="1234"/>
      <c r="F277" s="1234"/>
      <c r="G277" s="1234"/>
      <c r="H277" s="1234"/>
      <c r="I277" s="1234"/>
      <c r="J277" s="1234"/>
      <c r="K277" s="1234"/>
      <c r="L277" s="1234"/>
      <c r="M277" s="1234"/>
      <c r="N277" s="1234"/>
      <c r="O277" s="1234"/>
      <c r="P277" s="1234"/>
      <c r="Q277" s="1234"/>
      <c r="R277" s="1234"/>
      <c r="S277" s="1234"/>
      <c r="T277" s="1234"/>
      <c r="U277" s="1234"/>
      <c r="V277" s="1234"/>
      <c r="W277" s="1234"/>
      <c r="X277" s="1234"/>
      <c r="Y277" s="1234"/>
      <c r="Z277" s="1234"/>
    </row>
    <row r="278" spans="1:26" ht="14.5">
      <c r="A278" s="1234"/>
      <c r="B278" s="1234"/>
      <c r="C278" s="1234"/>
      <c r="D278" s="1234"/>
      <c r="E278" s="1234"/>
      <c r="F278" s="1234"/>
      <c r="G278" s="1234"/>
      <c r="H278" s="1234"/>
      <c r="I278" s="1234"/>
      <c r="J278" s="1234"/>
      <c r="K278" s="1234"/>
      <c r="L278" s="1234"/>
      <c r="M278" s="1234"/>
      <c r="N278" s="1234"/>
      <c r="O278" s="1234"/>
      <c r="P278" s="1234"/>
      <c r="Q278" s="1234"/>
      <c r="R278" s="1234"/>
      <c r="S278" s="1234"/>
      <c r="T278" s="1234"/>
      <c r="U278" s="1234"/>
      <c r="V278" s="1234"/>
      <c r="W278" s="1234"/>
      <c r="X278" s="1234"/>
      <c r="Y278" s="1234"/>
      <c r="Z278" s="1234"/>
    </row>
    <row r="279" spans="1:26" ht="14.5">
      <c r="A279" s="1234"/>
      <c r="B279" s="1234"/>
      <c r="C279" s="1234"/>
      <c r="D279" s="1234"/>
      <c r="E279" s="1234"/>
      <c r="F279" s="1234"/>
      <c r="G279" s="1234"/>
      <c r="H279" s="1234"/>
      <c r="I279" s="1234"/>
      <c r="J279" s="1234"/>
      <c r="K279" s="1234"/>
      <c r="L279" s="1234"/>
      <c r="M279" s="1234"/>
      <c r="N279" s="1234"/>
      <c r="O279" s="1234"/>
      <c r="P279" s="1234"/>
      <c r="Q279" s="1234"/>
      <c r="R279" s="1234"/>
      <c r="S279" s="1234"/>
      <c r="T279" s="1234"/>
      <c r="U279" s="1234"/>
      <c r="V279" s="1234"/>
      <c r="W279" s="1234"/>
      <c r="X279" s="1234"/>
      <c r="Y279" s="1234"/>
      <c r="Z279" s="1234"/>
    </row>
    <row r="280" spans="1:26" ht="14.5">
      <c r="A280" s="1234"/>
      <c r="B280" s="1234"/>
      <c r="C280" s="1234"/>
      <c r="D280" s="1234"/>
      <c r="E280" s="1234"/>
      <c r="F280" s="1234"/>
      <c r="G280" s="1234"/>
      <c r="H280" s="1234"/>
      <c r="I280" s="1234"/>
      <c r="J280" s="1234"/>
      <c r="K280" s="1234"/>
      <c r="L280" s="1234"/>
      <c r="M280" s="1234"/>
      <c r="N280" s="1234"/>
      <c r="O280" s="1234"/>
      <c r="P280" s="1234"/>
      <c r="Q280" s="1234"/>
      <c r="R280" s="1234"/>
      <c r="S280" s="1234"/>
      <c r="T280" s="1234"/>
      <c r="U280" s="1234"/>
      <c r="V280" s="1234"/>
      <c r="W280" s="1234"/>
      <c r="X280" s="1234"/>
      <c r="Y280" s="1234"/>
      <c r="Z280" s="1234"/>
    </row>
    <row r="281" spans="1:26" ht="14.5">
      <c r="A281" s="1234"/>
      <c r="B281" s="1234"/>
      <c r="C281" s="1234"/>
      <c r="D281" s="1234"/>
      <c r="E281" s="1234"/>
      <c r="F281" s="1234"/>
      <c r="G281" s="1234"/>
      <c r="H281" s="1234"/>
      <c r="I281" s="1234"/>
      <c r="J281" s="1234"/>
      <c r="K281" s="1234"/>
      <c r="L281" s="1234"/>
      <c r="M281" s="1234"/>
      <c r="N281" s="1234"/>
      <c r="O281" s="1234"/>
      <c r="P281" s="1234"/>
      <c r="Q281" s="1234"/>
      <c r="R281" s="1234"/>
      <c r="S281" s="1234"/>
      <c r="T281" s="1234"/>
      <c r="U281" s="1234"/>
      <c r="V281" s="1234"/>
      <c r="W281" s="1234"/>
      <c r="X281" s="1234"/>
      <c r="Y281" s="1234"/>
      <c r="Z281" s="1234"/>
    </row>
    <row r="282" spans="1:26" ht="14.5">
      <c r="A282" s="1234"/>
      <c r="B282" s="1234"/>
      <c r="C282" s="1234"/>
      <c r="D282" s="1234"/>
      <c r="E282" s="1234"/>
      <c r="F282" s="1234"/>
      <c r="G282" s="1234"/>
      <c r="H282" s="1234"/>
      <c r="I282" s="1234"/>
      <c r="J282" s="1234"/>
      <c r="K282" s="1234"/>
      <c r="L282" s="1234"/>
      <c r="M282" s="1234"/>
      <c r="N282" s="1234"/>
      <c r="O282" s="1234"/>
      <c r="P282" s="1234"/>
      <c r="Q282" s="1234"/>
      <c r="R282" s="1234"/>
      <c r="S282" s="1234"/>
      <c r="T282" s="1234"/>
      <c r="U282" s="1234"/>
      <c r="V282" s="1234"/>
      <c r="W282" s="1234"/>
      <c r="X282" s="1234"/>
      <c r="Y282" s="1234"/>
      <c r="Z282" s="1234"/>
    </row>
    <row r="283" spans="1:26" ht="14.5">
      <c r="A283" s="1234"/>
      <c r="B283" s="1234"/>
      <c r="C283" s="1234"/>
      <c r="D283" s="1234"/>
      <c r="E283" s="1234"/>
      <c r="F283" s="1234"/>
      <c r="G283" s="1234"/>
      <c r="H283" s="1234"/>
      <c r="I283" s="1234"/>
      <c r="J283" s="1234"/>
      <c r="K283" s="1234"/>
      <c r="L283" s="1234"/>
      <c r="M283" s="1234"/>
      <c r="N283" s="1234"/>
      <c r="O283" s="1234"/>
      <c r="P283" s="1234"/>
      <c r="Q283" s="1234"/>
      <c r="R283" s="1234"/>
      <c r="S283" s="1234"/>
      <c r="T283" s="1234"/>
      <c r="U283" s="1234"/>
      <c r="V283" s="1234"/>
      <c r="W283" s="1234"/>
      <c r="X283" s="1234"/>
      <c r="Y283" s="1234"/>
      <c r="Z283" s="1234"/>
    </row>
    <row r="284" spans="1:26" ht="14.5">
      <c r="A284" s="1234"/>
      <c r="B284" s="1234"/>
      <c r="C284" s="1234"/>
      <c r="D284" s="1234"/>
      <c r="E284" s="1234"/>
      <c r="F284" s="1234"/>
      <c r="G284" s="1234"/>
      <c r="H284" s="1234"/>
      <c r="I284" s="1234"/>
      <c r="J284" s="1234"/>
      <c r="K284" s="1234"/>
      <c r="L284" s="1234"/>
      <c r="M284" s="1234"/>
      <c r="N284" s="1234"/>
      <c r="O284" s="1234"/>
      <c r="P284" s="1234"/>
      <c r="Q284" s="1234"/>
      <c r="R284" s="1234"/>
      <c r="S284" s="1234"/>
      <c r="T284" s="1234"/>
      <c r="U284" s="1234"/>
      <c r="V284" s="1234"/>
      <c r="W284" s="1234"/>
      <c r="X284" s="1234"/>
      <c r="Y284" s="1234"/>
      <c r="Z284" s="1234"/>
    </row>
    <row r="285" spans="1:26" ht="14.5">
      <c r="A285" s="1234"/>
      <c r="B285" s="1234"/>
      <c r="C285" s="1234"/>
      <c r="D285" s="1234"/>
      <c r="E285" s="1234"/>
      <c r="F285" s="1234"/>
      <c r="G285" s="1234"/>
      <c r="H285" s="1234"/>
      <c r="I285" s="1234"/>
      <c r="J285" s="1234"/>
      <c r="K285" s="1234"/>
      <c r="L285" s="1234"/>
      <c r="M285" s="1234"/>
      <c r="N285" s="1234"/>
      <c r="O285" s="1234"/>
      <c r="P285" s="1234"/>
      <c r="Q285" s="1234"/>
      <c r="R285" s="1234"/>
      <c r="S285" s="1234"/>
      <c r="T285" s="1234"/>
      <c r="U285" s="1234"/>
      <c r="V285" s="1234"/>
      <c r="W285" s="1234"/>
      <c r="X285" s="1234"/>
      <c r="Y285" s="1234"/>
      <c r="Z285" s="1234"/>
    </row>
    <row r="286" spans="1:26" ht="14.5">
      <c r="A286" s="1234"/>
      <c r="B286" s="1234"/>
      <c r="C286" s="1234"/>
      <c r="D286" s="1234"/>
      <c r="E286" s="1234"/>
      <c r="F286" s="1234"/>
      <c r="G286" s="1234"/>
      <c r="H286" s="1234"/>
      <c r="I286" s="1234"/>
      <c r="J286" s="1234"/>
      <c r="K286" s="1234"/>
      <c r="L286" s="1234"/>
      <c r="M286" s="1234"/>
      <c r="N286" s="1234"/>
      <c r="O286" s="1234"/>
      <c r="P286" s="1234"/>
      <c r="Q286" s="1234"/>
      <c r="R286" s="1234"/>
      <c r="S286" s="1234"/>
      <c r="T286" s="1234"/>
      <c r="U286" s="1234"/>
      <c r="V286" s="1234"/>
      <c r="W286" s="1234"/>
      <c r="X286" s="1234"/>
      <c r="Y286" s="1234"/>
      <c r="Z286" s="1234"/>
    </row>
    <row r="287" spans="1:26" ht="14.5">
      <c r="A287" s="1234"/>
      <c r="B287" s="1234"/>
      <c r="C287" s="1234"/>
      <c r="D287" s="1234"/>
      <c r="E287" s="1234"/>
      <c r="F287" s="1234"/>
      <c r="G287" s="1234"/>
      <c r="H287" s="1234"/>
      <c r="I287" s="1234"/>
      <c r="J287" s="1234"/>
      <c r="K287" s="1234"/>
      <c r="L287" s="1234"/>
      <c r="M287" s="1234"/>
      <c r="N287" s="1234"/>
      <c r="O287" s="1234"/>
      <c r="P287" s="1234"/>
      <c r="Q287" s="1234"/>
      <c r="R287" s="1234"/>
      <c r="S287" s="1234"/>
      <c r="T287" s="1234"/>
      <c r="U287" s="1234"/>
      <c r="V287" s="1234"/>
      <c r="W287" s="1234"/>
      <c r="X287" s="1234"/>
      <c r="Y287" s="1234"/>
      <c r="Z287" s="1234"/>
    </row>
    <row r="288" spans="1:26" ht="14.5">
      <c r="A288" s="1234"/>
      <c r="B288" s="1234"/>
      <c r="C288" s="1234"/>
      <c r="D288" s="1234"/>
      <c r="E288" s="1234"/>
      <c r="F288" s="1234"/>
      <c r="G288" s="1234"/>
      <c r="H288" s="1234"/>
      <c r="I288" s="1234"/>
      <c r="J288" s="1234"/>
      <c r="K288" s="1234"/>
      <c r="L288" s="1234"/>
      <c r="M288" s="1234"/>
      <c r="N288" s="1234"/>
      <c r="O288" s="1234"/>
      <c r="P288" s="1234"/>
      <c r="Q288" s="1234"/>
      <c r="R288" s="1234"/>
      <c r="S288" s="1234"/>
      <c r="T288" s="1234"/>
      <c r="U288" s="1234"/>
      <c r="V288" s="1234"/>
      <c r="W288" s="1234"/>
      <c r="X288" s="1234"/>
      <c r="Y288" s="1234"/>
      <c r="Z288" s="1234"/>
    </row>
    <row r="289" spans="1:26" ht="14.5">
      <c r="A289" s="1234"/>
      <c r="B289" s="1234"/>
      <c r="C289" s="1234"/>
      <c r="D289" s="1234"/>
      <c r="E289" s="1234"/>
      <c r="F289" s="1234"/>
      <c r="G289" s="1234"/>
      <c r="H289" s="1234"/>
      <c r="I289" s="1234"/>
      <c r="J289" s="1234"/>
      <c r="K289" s="1234"/>
      <c r="L289" s="1234"/>
      <c r="M289" s="1234"/>
      <c r="N289" s="1234"/>
      <c r="O289" s="1234"/>
      <c r="P289" s="1234"/>
      <c r="Q289" s="1234"/>
      <c r="R289" s="1234"/>
      <c r="S289" s="1234"/>
      <c r="T289" s="1234"/>
      <c r="U289" s="1234"/>
      <c r="V289" s="1234"/>
      <c r="W289" s="1234"/>
      <c r="X289" s="1234"/>
      <c r="Y289" s="1234"/>
      <c r="Z289" s="1234"/>
    </row>
    <row r="290" spans="1:26" ht="14.5">
      <c r="A290" s="1234"/>
      <c r="B290" s="1234"/>
      <c r="C290" s="1234"/>
      <c r="D290" s="1234"/>
      <c r="E290" s="1234"/>
      <c r="F290" s="1234"/>
      <c r="G290" s="1234"/>
      <c r="H290" s="1234"/>
      <c r="I290" s="1234"/>
      <c r="J290" s="1234"/>
      <c r="K290" s="1234"/>
      <c r="L290" s="1234"/>
      <c r="M290" s="1234"/>
      <c r="N290" s="1234"/>
      <c r="O290" s="1234"/>
      <c r="P290" s="1234"/>
      <c r="Q290" s="1234"/>
      <c r="R290" s="1234"/>
      <c r="S290" s="1234"/>
      <c r="T290" s="1234"/>
      <c r="U290" s="1234"/>
      <c r="V290" s="1234"/>
      <c r="W290" s="1234"/>
      <c r="X290" s="1234"/>
      <c r="Y290" s="1234"/>
      <c r="Z290" s="1234"/>
    </row>
    <row r="291" spans="1:26" ht="14.5">
      <c r="A291" s="1234"/>
      <c r="B291" s="1234"/>
      <c r="C291" s="1234"/>
      <c r="D291" s="1234"/>
      <c r="E291" s="1234"/>
      <c r="F291" s="1234"/>
      <c r="G291" s="1234"/>
      <c r="H291" s="1234"/>
      <c r="I291" s="1234"/>
      <c r="J291" s="1234"/>
      <c r="K291" s="1234"/>
      <c r="L291" s="1234"/>
      <c r="M291" s="1234"/>
      <c r="N291" s="1234"/>
      <c r="O291" s="1234"/>
      <c r="P291" s="1234"/>
      <c r="Q291" s="1234"/>
      <c r="R291" s="1234"/>
      <c r="S291" s="1234"/>
      <c r="T291" s="1234"/>
      <c r="U291" s="1234"/>
      <c r="V291" s="1234"/>
      <c r="W291" s="1234"/>
      <c r="X291" s="1234"/>
      <c r="Y291" s="1234"/>
      <c r="Z291" s="1234"/>
    </row>
    <row r="292" spans="1:26" ht="14.5">
      <c r="A292" s="1234"/>
      <c r="B292" s="1234"/>
      <c r="C292" s="1234"/>
      <c r="D292" s="1234"/>
      <c r="E292" s="1234"/>
      <c r="F292" s="1234"/>
      <c r="G292" s="1234"/>
      <c r="H292" s="1234"/>
      <c r="I292" s="1234"/>
      <c r="J292" s="1234"/>
      <c r="K292" s="1234"/>
      <c r="L292" s="1234"/>
      <c r="M292" s="1234"/>
      <c r="N292" s="1234"/>
      <c r="O292" s="1234"/>
      <c r="P292" s="1234"/>
      <c r="Q292" s="1234"/>
      <c r="R292" s="1234"/>
      <c r="S292" s="1234"/>
      <c r="T292" s="1234"/>
      <c r="U292" s="1234"/>
      <c r="V292" s="1234"/>
      <c r="W292" s="1234"/>
      <c r="X292" s="1234"/>
      <c r="Y292" s="1234"/>
      <c r="Z292" s="1234"/>
    </row>
    <row r="293" spans="1:26" ht="14.5">
      <c r="A293" s="1234"/>
      <c r="B293" s="1234"/>
      <c r="C293" s="1234"/>
      <c r="D293" s="1234"/>
      <c r="E293" s="1234"/>
      <c r="F293" s="1234"/>
      <c r="G293" s="1234"/>
      <c r="H293" s="1234"/>
      <c r="I293" s="1234"/>
      <c r="J293" s="1234"/>
      <c r="K293" s="1234"/>
      <c r="L293" s="1234"/>
      <c r="M293" s="1234"/>
      <c r="N293" s="1234"/>
      <c r="O293" s="1234"/>
      <c r="P293" s="1234"/>
      <c r="Q293" s="1234"/>
      <c r="R293" s="1234"/>
      <c r="S293" s="1234"/>
      <c r="T293" s="1234"/>
      <c r="U293" s="1234"/>
      <c r="V293" s="1234"/>
      <c r="W293" s="1234"/>
      <c r="X293" s="1234"/>
      <c r="Y293" s="1234"/>
      <c r="Z293" s="1234"/>
    </row>
    <row r="294" spans="1:26" ht="14.5">
      <c r="A294" s="1234"/>
      <c r="B294" s="1234"/>
      <c r="C294" s="1234"/>
      <c r="D294" s="1234"/>
      <c r="E294" s="1234"/>
      <c r="F294" s="1234"/>
      <c r="G294" s="1234"/>
      <c r="H294" s="1234"/>
      <c r="I294" s="1234"/>
      <c r="J294" s="1234"/>
      <c r="K294" s="1234"/>
      <c r="L294" s="1234"/>
      <c r="M294" s="1234"/>
      <c r="N294" s="1234"/>
      <c r="O294" s="1234"/>
      <c r="P294" s="1234"/>
      <c r="Q294" s="1234"/>
      <c r="R294" s="1234"/>
      <c r="S294" s="1234"/>
      <c r="T294" s="1234"/>
      <c r="U294" s="1234"/>
      <c r="V294" s="1234"/>
      <c r="W294" s="1234"/>
      <c r="X294" s="1234"/>
      <c r="Y294" s="1234"/>
      <c r="Z294" s="1234"/>
    </row>
    <row r="295" spans="1:26" ht="14.5">
      <c r="A295" s="1234"/>
      <c r="B295" s="1234"/>
      <c r="C295" s="1234"/>
      <c r="D295" s="1234"/>
      <c r="E295" s="1234"/>
      <c r="F295" s="1234"/>
      <c r="G295" s="1234"/>
      <c r="H295" s="1234"/>
      <c r="I295" s="1234"/>
      <c r="J295" s="1234"/>
      <c r="K295" s="1234"/>
      <c r="L295" s="1234"/>
      <c r="M295" s="1234"/>
      <c r="N295" s="1234"/>
      <c r="O295" s="1234"/>
      <c r="P295" s="1234"/>
      <c r="Q295" s="1234"/>
      <c r="R295" s="1234"/>
      <c r="S295" s="1234"/>
      <c r="T295" s="1234"/>
      <c r="U295" s="1234"/>
      <c r="V295" s="1234"/>
      <c r="W295" s="1234"/>
      <c r="X295" s="1234"/>
      <c r="Y295" s="1234"/>
      <c r="Z295" s="1234"/>
    </row>
    <row r="296" spans="1:26" ht="14.5">
      <c r="A296" s="1234"/>
      <c r="B296" s="1234"/>
      <c r="C296" s="1234"/>
      <c r="D296" s="1234"/>
      <c r="E296" s="1234"/>
      <c r="F296" s="1234"/>
      <c r="G296" s="1234"/>
      <c r="H296" s="1234"/>
      <c r="I296" s="1234"/>
      <c r="J296" s="1234"/>
      <c r="K296" s="1234"/>
      <c r="L296" s="1234"/>
      <c r="M296" s="1234"/>
      <c r="N296" s="1234"/>
      <c r="O296" s="1234"/>
      <c r="P296" s="1234"/>
      <c r="Q296" s="1234"/>
      <c r="R296" s="1234"/>
      <c r="S296" s="1234"/>
      <c r="T296" s="1234"/>
      <c r="U296" s="1234"/>
      <c r="V296" s="1234"/>
      <c r="W296" s="1234"/>
      <c r="X296" s="1234"/>
      <c r="Y296" s="1234"/>
      <c r="Z296" s="1234"/>
    </row>
    <row r="297" spans="1:26" ht="14.5">
      <c r="A297" s="1234"/>
      <c r="B297" s="1234"/>
      <c r="C297" s="1234"/>
      <c r="D297" s="1234"/>
      <c r="E297" s="1234"/>
      <c r="F297" s="1234"/>
      <c r="G297" s="1234"/>
      <c r="H297" s="1234"/>
      <c r="I297" s="1234"/>
      <c r="J297" s="1234"/>
      <c r="K297" s="1234"/>
      <c r="L297" s="1234"/>
      <c r="M297" s="1234"/>
      <c r="N297" s="1234"/>
      <c r="O297" s="1234"/>
      <c r="P297" s="1234"/>
      <c r="Q297" s="1234"/>
      <c r="R297" s="1234"/>
      <c r="S297" s="1234"/>
      <c r="T297" s="1234"/>
      <c r="U297" s="1234"/>
      <c r="V297" s="1234"/>
      <c r="W297" s="1234"/>
      <c r="X297" s="1234"/>
      <c r="Y297" s="1234"/>
      <c r="Z297" s="1234"/>
    </row>
    <row r="298" spans="1:26" ht="14.5">
      <c r="A298" s="1234"/>
      <c r="B298" s="1234"/>
      <c r="C298" s="1234"/>
      <c r="D298" s="1234"/>
      <c r="E298" s="1234"/>
      <c r="F298" s="1234"/>
      <c r="G298" s="1234"/>
      <c r="H298" s="1234"/>
      <c r="I298" s="1234"/>
      <c r="J298" s="1234"/>
      <c r="K298" s="1234"/>
      <c r="L298" s="1234"/>
      <c r="M298" s="1234"/>
      <c r="N298" s="1234"/>
      <c r="O298" s="1234"/>
      <c r="P298" s="1234"/>
      <c r="Q298" s="1234"/>
      <c r="R298" s="1234"/>
      <c r="S298" s="1234"/>
      <c r="T298" s="1234"/>
      <c r="U298" s="1234"/>
      <c r="V298" s="1234"/>
      <c r="W298" s="1234"/>
      <c r="X298" s="1234"/>
      <c r="Y298" s="1234"/>
      <c r="Z298" s="1234"/>
    </row>
    <row r="299" spans="1:26" ht="14.5">
      <c r="A299" s="1234"/>
      <c r="B299" s="1234"/>
      <c r="C299" s="1234"/>
      <c r="D299" s="1234"/>
      <c r="E299" s="1234"/>
      <c r="F299" s="1234"/>
      <c r="G299" s="1234"/>
      <c r="H299" s="1234"/>
      <c r="I299" s="1234"/>
      <c r="J299" s="1234"/>
      <c r="K299" s="1234"/>
      <c r="L299" s="1234"/>
      <c r="M299" s="1234"/>
      <c r="N299" s="1234"/>
      <c r="O299" s="1234"/>
      <c r="P299" s="1234"/>
      <c r="Q299" s="1234"/>
      <c r="R299" s="1234"/>
      <c r="S299" s="1234"/>
      <c r="T299" s="1234"/>
      <c r="U299" s="1234"/>
      <c r="V299" s="1234"/>
      <c r="W299" s="1234"/>
      <c r="X299" s="1234"/>
      <c r="Y299" s="1234"/>
      <c r="Z299" s="1234"/>
    </row>
    <row r="300" spans="1:26" ht="14.5">
      <c r="A300" s="1234"/>
      <c r="B300" s="1234"/>
      <c r="C300" s="1234"/>
      <c r="D300" s="1234"/>
      <c r="E300" s="1234"/>
      <c r="F300" s="1234"/>
      <c r="G300" s="1234"/>
      <c r="H300" s="1234"/>
      <c r="I300" s="1234"/>
      <c r="J300" s="1234"/>
      <c r="K300" s="1234"/>
      <c r="L300" s="1234"/>
      <c r="M300" s="1234"/>
      <c r="N300" s="1234"/>
      <c r="O300" s="1234"/>
      <c r="P300" s="1234"/>
      <c r="Q300" s="1234"/>
      <c r="R300" s="1234"/>
      <c r="S300" s="1234"/>
      <c r="T300" s="1234"/>
      <c r="U300" s="1234"/>
      <c r="V300" s="1234"/>
      <c r="W300" s="1234"/>
      <c r="X300" s="1234"/>
      <c r="Y300" s="1234"/>
      <c r="Z300" s="1234"/>
    </row>
    <row r="301" spans="1:26" ht="14.5">
      <c r="A301" s="1234"/>
      <c r="B301" s="1234"/>
      <c r="C301" s="1234"/>
      <c r="D301" s="1234"/>
      <c r="E301" s="1234"/>
      <c r="F301" s="1234"/>
      <c r="G301" s="1234"/>
      <c r="H301" s="1234"/>
      <c r="I301" s="1234"/>
      <c r="J301" s="1234"/>
      <c r="K301" s="1234"/>
      <c r="L301" s="1234"/>
      <c r="M301" s="1234"/>
      <c r="N301" s="1234"/>
      <c r="O301" s="1234"/>
      <c r="P301" s="1234"/>
      <c r="Q301" s="1234"/>
      <c r="R301" s="1234"/>
      <c r="S301" s="1234"/>
      <c r="T301" s="1234"/>
      <c r="U301" s="1234"/>
      <c r="V301" s="1234"/>
      <c r="W301" s="1234"/>
      <c r="X301" s="1234"/>
      <c r="Y301" s="1234"/>
      <c r="Z301" s="1234"/>
    </row>
    <row r="302" spans="1:26" ht="14.5">
      <c r="A302" s="1234"/>
      <c r="B302" s="1234"/>
      <c r="C302" s="1234"/>
      <c r="D302" s="1234"/>
      <c r="E302" s="1234"/>
      <c r="F302" s="1234"/>
      <c r="G302" s="1234"/>
      <c r="H302" s="1234"/>
      <c r="I302" s="1234"/>
      <c r="J302" s="1234"/>
      <c r="K302" s="1234"/>
      <c r="L302" s="1234"/>
      <c r="M302" s="1234"/>
      <c r="N302" s="1234"/>
      <c r="O302" s="1234"/>
      <c r="P302" s="1234"/>
      <c r="Q302" s="1234"/>
      <c r="R302" s="1234"/>
      <c r="S302" s="1234"/>
      <c r="T302" s="1234"/>
      <c r="U302" s="1234"/>
      <c r="V302" s="1234"/>
      <c r="W302" s="1234"/>
      <c r="X302" s="1234"/>
      <c r="Y302" s="1234"/>
      <c r="Z302" s="1234"/>
    </row>
    <row r="303" spans="1:26" ht="14.5">
      <c r="A303" s="1234"/>
      <c r="B303" s="1234"/>
      <c r="C303" s="1234"/>
      <c r="D303" s="1234"/>
      <c r="E303" s="1234"/>
      <c r="F303" s="1234"/>
      <c r="G303" s="1234"/>
      <c r="H303" s="1234"/>
      <c r="I303" s="1234"/>
      <c r="J303" s="1234"/>
      <c r="K303" s="1234"/>
      <c r="L303" s="1234"/>
      <c r="M303" s="1234"/>
      <c r="N303" s="1234"/>
      <c r="O303" s="1234"/>
      <c r="P303" s="1234"/>
      <c r="Q303" s="1234"/>
      <c r="R303" s="1234"/>
      <c r="S303" s="1234"/>
      <c r="T303" s="1234"/>
      <c r="U303" s="1234"/>
      <c r="V303" s="1234"/>
      <c r="W303" s="1234"/>
      <c r="X303" s="1234"/>
      <c r="Y303" s="1234"/>
      <c r="Z303" s="1234"/>
    </row>
    <row r="304" spans="1:26" ht="14.5">
      <c r="A304" s="1234"/>
      <c r="B304" s="1234"/>
      <c r="C304" s="1234"/>
      <c r="D304" s="1234"/>
      <c r="E304" s="1234"/>
      <c r="F304" s="1234"/>
      <c r="G304" s="1234"/>
      <c r="H304" s="1234"/>
      <c r="I304" s="1234"/>
      <c r="J304" s="1234"/>
      <c r="K304" s="1234"/>
      <c r="L304" s="1234"/>
      <c r="M304" s="1234"/>
      <c r="N304" s="1234"/>
      <c r="O304" s="1234"/>
      <c r="P304" s="1234"/>
      <c r="Q304" s="1234"/>
      <c r="R304" s="1234"/>
      <c r="S304" s="1234"/>
      <c r="T304" s="1234"/>
      <c r="U304" s="1234"/>
      <c r="V304" s="1234"/>
      <c r="W304" s="1234"/>
      <c r="X304" s="1234"/>
      <c r="Y304" s="1234"/>
      <c r="Z304" s="1234"/>
    </row>
    <row r="305" spans="1:26" ht="14.5">
      <c r="A305" s="1234"/>
      <c r="B305" s="1234"/>
      <c r="C305" s="1234"/>
      <c r="D305" s="1234"/>
      <c r="E305" s="1234"/>
      <c r="F305" s="1234"/>
      <c r="G305" s="1234"/>
      <c r="H305" s="1234"/>
      <c r="I305" s="1234"/>
      <c r="J305" s="1234"/>
      <c r="K305" s="1234"/>
      <c r="L305" s="1234"/>
      <c r="M305" s="1234"/>
      <c r="N305" s="1234"/>
      <c r="O305" s="1234"/>
      <c r="P305" s="1234"/>
      <c r="Q305" s="1234"/>
      <c r="R305" s="1234"/>
      <c r="S305" s="1234"/>
      <c r="T305" s="1234"/>
      <c r="U305" s="1234"/>
      <c r="V305" s="1234"/>
      <c r="W305" s="1234"/>
      <c r="X305" s="1234"/>
      <c r="Y305" s="1234"/>
      <c r="Z305" s="1234"/>
    </row>
    <row r="306" spans="1:26" ht="14.5">
      <c r="A306" s="1234"/>
      <c r="B306" s="1234"/>
      <c r="C306" s="1234"/>
      <c r="D306" s="1234"/>
      <c r="E306" s="1234"/>
      <c r="F306" s="1234"/>
      <c r="G306" s="1234"/>
      <c r="H306" s="1234"/>
      <c r="I306" s="1234"/>
      <c r="J306" s="1234"/>
      <c r="K306" s="1234"/>
      <c r="L306" s="1234"/>
      <c r="M306" s="1234"/>
      <c r="N306" s="1234"/>
      <c r="O306" s="1234"/>
      <c r="P306" s="1234"/>
      <c r="Q306" s="1234"/>
      <c r="R306" s="1234"/>
      <c r="S306" s="1234"/>
      <c r="T306" s="1234"/>
      <c r="U306" s="1234"/>
      <c r="V306" s="1234"/>
      <c r="W306" s="1234"/>
      <c r="X306" s="1234"/>
      <c r="Y306" s="1234"/>
      <c r="Z306" s="1234"/>
    </row>
    <row r="307" spans="1:26" ht="14.5">
      <c r="A307" s="1234"/>
      <c r="B307" s="1234"/>
      <c r="C307" s="1234"/>
      <c r="D307" s="1234"/>
      <c r="E307" s="1234"/>
      <c r="F307" s="1234"/>
      <c r="G307" s="1234"/>
      <c r="H307" s="1234"/>
      <c r="I307" s="1234"/>
      <c r="J307" s="1234"/>
      <c r="K307" s="1234"/>
      <c r="L307" s="1234"/>
      <c r="M307" s="1234"/>
      <c r="N307" s="1234"/>
      <c r="O307" s="1234"/>
      <c r="P307" s="1234"/>
      <c r="Q307" s="1234"/>
      <c r="R307" s="1234"/>
      <c r="S307" s="1234"/>
      <c r="T307" s="1234"/>
      <c r="U307" s="1234"/>
      <c r="V307" s="1234"/>
      <c r="W307" s="1234"/>
      <c r="X307" s="1234"/>
      <c r="Y307" s="1234"/>
      <c r="Z307" s="1234"/>
    </row>
    <row r="308" spans="1:26" ht="14.5">
      <c r="A308" s="1234"/>
      <c r="B308" s="1234"/>
      <c r="C308" s="1234"/>
      <c r="D308" s="1234"/>
      <c r="E308" s="1234"/>
      <c r="F308" s="1234"/>
      <c r="G308" s="1234"/>
      <c r="H308" s="1234"/>
      <c r="I308" s="1234"/>
      <c r="J308" s="1234"/>
      <c r="K308" s="1234"/>
      <c r="L308" s="1234"/>
      <c r="M308" s="1234"/>
      <c r="N308" s="1234"/>
      <c r="O308" s="1234"/>
      <c r="P308" s="1234"/>
      <c r="Q308" s="1234"/>
      <c r="R308" s="1234"/>
      <c r="S308" s="1234"/>
      <c r="T308" s="1234"/>
      <c r="U308" s="1234"/>
      <c r="V308" s="1234"/>
      <c r="W308" s="1234"/>
      <c r="X308" s="1234"/>
      <c r="Y308" s="1234"/>
      <c r="Z308" s="1234"/>
    </row>
    <row r="309" spans="1:26" ht="14.5">
      <c r="A309" s="1234"/>
      <c r="B309" s="1234"/>
      <c r="C309" s="1234"/>
      <c r="D309" s="1234"/>
      <c r="E309" s="1234"/>
      <c r="F309" s="1234"/>
      <c r="G309" s="1234"/>
      <c r="H309" s="1234"/>
      <c r="I309" s="1234"/>
      <c r="J309" s="1234"/>
      <c r="K309" s="1234"/>
      <c r="L309" s="1234"/>
      <c r="M309" s="1234"/>
      <c r="N309" s="1234"/>
      <c r="O309" s="1234"/>
      <c r="P309" s="1234"/>
      <c r="Q309" s="1234"/>
      <c r="R309" s="1234"/>
      <c r="S309" s="1234"/>
      <c r="T309" s="1234"/>
      <c r="U309" s="1234"/>
      <c r="V309" s="1234"/>
      <c r="W309" s="1234"/>
      <c r="X309" s="1234"/>
      <c r="Y309" s="1234"/>
      <c r="Z309" s="1234"/>
    </row>
    <row r="310" spans="1:26" ht="14.5">
      <c r="A310" s="1234"/>
      <c r="B310" s="1234"/>
      <c r="C310" s="1234"/>
      <c r="D310" s="1234"/>
      <c r="E310" s="1234"/>
      <c r="F310" s="1234"/>
      <c r="G310" s="1234"/>
      <c r="H310" s="1234"/>
      <c r="I310" s="1234"/>
      <c r="J310" s="1234"/>
      <c r="K310" s="1234"/>
      <c r="L310" s="1234"/>
      <c r="M310" s="1234"/>
      <c r="N310" s="1234"/>
      <c r="O310" s="1234"/>
      <c r="P310" s="1234"/>
      <c r="Q310" s="1234"/>
      <c r="R310" s="1234"/>
      <c r="S310" s="1234"/>
      <c r="T310" s="1234"/>
      <c r="U310" s="1234"/>
      <c r="V310" s="1234"/>
      <c r="W310" s="1234"/>
      <c r="X310" s="1234"/>
      <c r="Y310" s="1234"/>
      <c r="Z310" s="1234"/>
    </row>
    <row r="311" spans="1:26" ht="14.5">
      <c r="A311" s="1234"/>
      <c r="B311" s="1234"/>
      <c r="C311" s="1234"/>
      <c r="D311" s="1234"/>
      <c r="E311" s="1234"/>
      <c r="F311" s="1234"/>
      <c r="G311" s="1234"/>
      <c r="H311" s="1234"/>
      <c r="I311" s="1234"/>
      <c r="J311" s="1234"/>
      <c r="K311" s="1234"/>
      <c r="L311" s="1234"/>
      <c r="M311" s="1234"/>
      <c r="N311" s="1234"/>
      <c r="O311" s="1234"/>
      <c r="P311" s="1234"/>
      <c r="Q311" s="1234"/>
      <c r="R311" s="1234"/>
      <c r="S311" s="1234"/>
      <c r="T311" s="1234"/>
      <c r="U311" s="1234"/>
      <c r="V311" s="1234"/>
      <c r="W311" s="1234"/>
      <c r="X311" s="1234"/>
      <c r="Y311" s="1234"/>
      <c r="Z311" s="1234"/>
    </row>
    <row r="312" spans="1:26" ht="14.5">
      <c r="A312" s="1234"/>
      <c r="B312" s="1234"/>
      <c r="C312" s="1234"/>
      <c r="D312" s="1234"/>
      <c r="E312" s="1234"/>
      <c r="F312" s="1234"/>
      <c r="G312" s="1234"/>
      <c r="H312" s="1234"/>
      <c r="I312" s="1234"/>
      <c r="J312" s="1234"/>
      <c r="K312" s="1234"/>
      <c r="L312" s="1234"/>
      <c r="M312" s="1234"/>
      <c r="N312" s="1234"/>
      <c r="O312" s="1234"/>
      <c r="P312" s="1234"/>
      <c r="Q312" s="1234"/>
      <c r="R312" s="1234"/>
      <c r="S312" s="1234"/>
      <c r="T312" s="1234"/>
      <c r="U312" s="1234"/>
      <c r="V312" s="1234"/>
      <c r="W312" s="1234"/>
      <c r="X312" s="1234"/>
      <c r="Y312" s="1234"/>
      <c r="Z312" s="1234"/>
    </row>
    <row r="313" spans="1:26" ht="14.5">
      <c r="A313" s="1234"/>
      <c r="B313" s="1234"/>
      <c r="C313" s="1234"/>
      <c r="D313" s="1234"/>
      <c r="E313" s="1234"/>
      <c r="F313" s="1234"/>
      <c r="G313" s="1234"/>
      <c r="H313" s="1234"/>
      <c r="I313" s="1234"/>
      <c r="J313" s="1234"/>
      <c r="K313" s="1234"/>
      <c r="L313" s="1234"/>
      <c r="M313" s="1234"/>
      <c r="N313" s="1234"/>
      <c r="O313" s="1234"/>
      <c r="P313" s="1234"/>
      <c r="Q313" s="1234"/>
      <c r="R313" s="1234"/>
      <c r="S313" s="1234"/>
      <c r="T313" s="1234"/>
      <c r="U313" s="1234"/>
      <c r="V313" s="1234"/>
      <c r="W313" s="1234"/>
      <c r="X313" s="1234"/>
      <c r="Y313" s="1234"/>
      <c r="Z313" s="1234"/>
    </row>
    <row r="314" spans="1:26" ht="14.5">
      <c r="A314" s="1234"/>
      <c r="B314" s="1234"/>
      <c r="C314" s="1234"/>
      <c r="D314" s="1234"/>
      <c r="E314" s="1234"/>
      <c r="F314" s="1234"/>
      <c r="G314" s="1234"/>
      <c r="H314" s="1234"/>
      <c r="I314" s="1234"/>
      <c r="J314" s="1234"/>
      <c r="K314" s="1234"/>
      <c r="L314" s="1234"/>
      <c r="M314" s="1234"/>
      <c r="N314" s="1234"/>
      <c r="O314" s="1234"/>
      <c r="P314" s="1234"/>
      <c r="Q314" s="1234"/>
      <c r="R314" s="1234"/>
      <c r="S314" s="1234"/>
      <c r="T314" s="1234"/>
      <c r="U314" s="1234"/>
      <c r="V314" s="1234"/>
      <c r="W314" s="1234"/>
      <c r="X314" s="1234"/>
      <c r="Y314" s="1234"/>
      <c r="Z314" s="1234"/>
    </row>
    <row r="315" spans="1:26" ht="14.5">
      <c r="A315" s="1234"/>
      <c r="B315" s="1234"/>
      <c r="C315" s="1234"/>
      <c r="D315" s="1234"/>
      <c r="E315" s="1234"/>
      <c r="F315" s="1234"/>
      <c r="G315" s="1234"/>
      <c r="H315" s="1234"/>
      <c r="I315" s="1234"/>
      <c r="J315" s="1234"/>
      <c r="K315" s="1234"/>
      <c r="L315" s="1234"/>
      <c r="M315" s="1234"/>
      <c r="N315" s="1234"/>
      <c r="O315" s="1234"/>
      <c r="P315" s="1234"/>
      <c r="Q315" s="1234"/>
      <c r="R315" s="1234"/>
      <c r="S315" s="1234"/>
      <c r="T315" s="1234"/>
      <c r="U315" s="1234"/>
      <c r="V315" s="1234"/>
      <c r="W315" s="1234"/>
      <c r="X315" s="1234"/>
      <c r="Y315" s="1234"/>
      <c r="Z315" s="1234"/>
    </row>
    <row r="316" spans="1:26" ht="14.5">
      <c r="A316" s="1234"/>
      <c r="B316" s="1234"/>
      <c r="C316" s="1234"/>
      <c r="D316" s="1234"/>
      <c r="E316" s="1234"/>
      <c r="F316" s="1234"/>
      <c r="G316" s="1234"/>
      <c r="H316" s="1234"/>
      <c r="I316" s="1234"/>
      <c r="J316" s="1234"/>
      <c r="K316" s="1234"/>
      <c r="L316" s="1234"/>
      <c r="M316" s="1234"/>
      <c r="N316" s="1234"/>
      <c r="O316" s="1234"/>
      <c r="P316" s="1234"/>
      <c r="Q316" s="1234"/>
      <c r="R316" s="1234"/>
      <c r="S316" s="1234"/>
      <c r="T316" s="1234"/>
      <c r="U316" s="1234"/>
      <c r="V316" s="1234"/>
      <c r="W316" s="1234"/>
      <c r="X316" s="1234"/>
      <c r="Y316" s="1234"/>
      <c r="Z316" s="1234"/>
    </row>
    <row r="317" spans="1:26" ht="14.5">
      <c r="A317" s="1234"/>
      <c r="B317" s="1234"/>
      <c r="C317" s="1234"/>
      <c r="D317" s="1234"/>
      <c r="E317" s="1234"/>
      <c r="F317" s="1234"/>
      <c r="G317" s="1234"/>
      <c r="H317" s="1234"/>
      <c r="I317" s="1234"/>
      <c r="J317" s="1234"/>
      <c r="K317" s="1234"/>
      <c r="L317" s="1234"/>
      <c r="M317" s="1234"/>
      <c r="N317" s="1234"/>
      <c r="O317" s="1234"/>
      <c r="P317" s="1234"/>
      <c r="Q317" s="1234"/>
      <c r="R317" s="1234"/>
      <c r="S317" s="1234"/>
      <c r="T317" s="1234"/>
      <c r="U317" s="1234"/>
      <c r="V317" s="1234"/>
      <c r="W317" s="1234"/>
      <c r="X317" s="1234"/>
      <c r="Y317" s="1234"/>
      <c r="Z317" s="1234"/>
    </row>
    <row r="318" spans="1:26" ht="14.5">
      <c r="A318" s="1234"/>
      <c r="B318" s="1234"/>
      <c r="C318" s="1234"/>
      <c r="D318" s="1234"/>
      <c r="E318" s="1234"/>
      <c r="F318" s="1234"/>
      <c r="G318" s="1234"/>
      <c r="H318" s="1234"/>
      <c r="I318" s="1234"/>
      <c r="J318" s="1234"/>
      <c r="K318" s="1234"/>
      <c r="L318" s="1234"/>
      <c r="M318" s="1234"/>
      <c r="N318" s="1234"/>
      <c r="O318" s="1234"/>
      <c r="P318" s="1234"/>
      <c r="Q318" s="1234"/>
      <c r="R318" s="1234"/>
      <c r="S318" s="1234"/>
      <c r="T318" s="1234"/>
      <c r="U318" s="1234"/>
      <c r="V318" s="1234"/>
      <c r="W318" s="1234"/>
      <c r="X318" s="1234"/>
      <c r="Y318" s="1234"/>
      <c r="Z318" s="1234"/>
    </row>
    <row r="319" spans="1:26" ht="14.5">
      <c r="A319" s="1234"/>
      <c r="B319" s="1234"/>
      <c r="C319" s="1234"/>
      <c r="D319" s="1234"/>
      <c r="E319" s="1234"/>
      <c r="F319" s="1234"/>
      <c r="G319" s="1234"/>
      <c r="H319" s="1234"/>
      <c r="I319" s="1234"/>
      <c r="J319" s="1234"/>
      <c r="K319" s="1234"/>
      <c r="L319" s="1234"/>
      <c r="M319" s="1234"/>
      <c r="N319" s="1234"/>
      <c r="O319" s="1234"/>
      <c r="P319" s="1234"/>
      <c r="Q319" s="1234"/>
      <c r="R319" s="1234"/>
      <c r="S319" s="1234"/>
      <c r="T319" s="1234"/>
      <c r="U319" s="1234"/>
      <c r="V319" s="1234"/>
      <c r="W319" s="1234"/>
      <c r="X319" s="1234"/>
      <c r="Y319" s="1234"/>
      <c r="Z319" s="1234"/>
    </row>
    <row r="320" spans="1:26" ht="14.5">
      <c r="A320" s="1234"/>
      <c r="B320" s="1234"/>
      <c r="C320" s="1234"/>
      <c r="D320" s="1234"/>
      <c r="E320" s="1234"/>
      <c r="F320" s="1234"/>
      <c r="G320" s="1234"/>
      <c r="H320" s="1234"/>
      <c r="I320" s="1234"/>
      <c r="J320" s="1234"/>
      <c r="K320" s="1234"/>
      <c r="L320" s="1234"/>
      <c r="M320" s="1234"/>
      <c r="N320" s="1234"/>
      <c r="O320" s="1234"/>
      <c r="P320" s="1234"/>
      <c r="Q320" s="1234"/>
      <c r="R320" s="1234"/>
      <c r="S320" s="1234"/>
      <c r="T320" s="1234"/>
      <c r="U320" s="1234"/>
      <c r="V320" s="1234"/>
      <c r="W320" s="1234"/>
      <c r="X320" s="1234"/>
      <c r="Y320" s="1234"/>
      <c r="Z320" s="1234"/>
    </row>
    <row r="321" spans="1:26" ht="14.5">
      <c r="A321" s="1234"/>
      <c r="B321" s="1234"/>
      <c r="C321" s="1234"/>
      <c r="D321" s="1234"/>
      <c r="E321" s="1234"/>
      <c r="F321" s="1234"/>
      <c r="G321" s="1234"/>
      <c r="H321" s="1234"/>
      <c r="I321" s="1234"/>
      <c r="J321" s="1234"/>
      <c r="K321" s="1234"/>
      <c r="L321" s="1234"/>
      <c r="M321" s="1234"/>
      <c r="N321" s="1234"/>
      <c r="O321" s="1234"/>
      <c r="P321" s="1234"/>
      <c r="Q321" s="1234"/>
      <c r="R321" s="1234"/>
      <c r="S321" s="1234"/>
      <c r="T321" s="1234"/>
      <c r="U321" s="1234"/>
      <c r="V321" s="1234"/>
      <c r="W321" s="1234"/>
      <c r="X321" s="1234"/>
      <c r="Y321" s="1234"/>
      <c r="Z321" s="1234"/>
    </row>
    <row r="322" spans="1:26" ht="14.5">
      <c r="A322" s="1234"/>
      <c r="B322" s="1234"/>
      <c r="C322" s="1234"/>
      <c r="D322" s="1234"/>
      <c r="E322" s="1234"/>
      <c r="F322" s="1234"/>
      <c r="G322" s="1234"/>
      <c r="H322" s="1234"/>
      <c r="I322" s="1234"/>
      <c r="J322" s="1234"/>
      <c r="K322" s="1234"/>
      <c r="L322" s="1234"/>
      <c r="M322" s="1234"/>
      <c r="N322" s="1234"/>
      <c r="O322" s="1234"/>
      <c r="P322" s="1234"/>
      <c r="Q322" s="1234"/>
      <c r="R322" s="1234"/>
      <c r="S322" s="1234"/>
      <c r="T322" s="1234"/>
      <c r="U322" s="1234"/>
      <c r="V322" s="1234"/>
      <c r="W322" s="1234"/>
      <c r="X322" s="1234"/>
      <c r="Y322" s="1234"/>
      <c r="Z322" s="1234"/>
    </row>
    <row r="323" spans="1:26" ht="14.5">
      <c r="A323" s="1234"/>
      <c r="B323" s="1234"/>
      <c r="C323" s="1234"/>
      <c r="D323" s="1234"/>
      <c r="E323" s="1234"/>
      <c r="F323" s="1234"/>
      <c r="G323" s="1234"/>
      <c r="H323" s="1234"/>
      <c r="I323" s="1234"/>
      <c r="J323" s="1234"/>
      <c r="K323" s="1234"/>
      <c r="L323" s="1234"/>
      <c r="M323" s="1234"/>
      <c r="N323" s="1234"/>
      <c r="O323" s="1234"/>
      <c r="P323" s="1234"/>
      <c r="Q323" s="1234"/>
      <c r="R323" s="1234"/>
      <c r="S323" s="1234"/>
      <c r="T323" s="1234"/>
      <c r="U323" s="1234"/>
      <c r="V323" s="1234"/>
      <c r="W323" s="1234"/>
      <c r="X323" s="1234"/>
      <c r="Y323" s="1234"/>
      <c r="Z323" s="1234"/>
    </row>
    <row r="324" spans="1:26" ht="14.5">
      <c r="A324" s="1234"/>
      <c r="B324" s="1234"/>
      <c r="C324" s="1234"/>
      <c r="D324" s="1234"/>
      <c r="E324" s="1234"/>
      <c r="F324" s="1234"/>
      <c r="G324" s="1234"/>
      <c r="H324" s="1234"/>
      <c r="I324" s="1234"/>
      <c r="J324" s="1234"/>
      <c r="K324" s="1234"/>
      <c r="L324" s="1234"/>
      <c r="M324" s="1234"/>
      <c r="N324" s="1234"/>
      <c r="O324" s="1234"/>
      <c r="P324" s="1234"/>
      <c r="Q324" s="1234"/>
      <c r="R324" s="1234"/>
      <c r="S324" s="1234"/>
      <c r="T324" s="1234"/>
      <c r="U324" s="1234"/>
      <c r="V324" s="1234"/>
      <c r="W324" s="1234"/>
      <c r="X324" s="1234"/>
      <c r="Y324" s="1234"/>
      <c r="Z324" s="1234"/>
    </row>
    <row r="325" spans="1:26" ht="14.5">
      <c r="A325" s="1234"/>
      <c r="B325" s="1234"/>
      <c r="C325" s="1234"/>
      <c r="D325" s="1234"/>
      <c r="E325" s="1234"/>
      <c r="F325" s="1234"/>
      <c r="G325" s="1234"/>
      <c r="H325" s="1234"/>
      <c r="I325" s="1234"/>
      <c r="J325" s="1234"/>
      <c r="K325" s="1234"/>
      <c r="L325" s="1234"/>
      <c r="M325" s="1234"/>
      <c r="N325" s="1234"/>
      <c r="O325" s="1234"/>
      <c r="P325" s="1234"/>
      <c r="Q325" s="1234"/>
      <c r="R325" s="1234"/>
      <c r="S325" s="1234"/>
      <c r="T325" s="1234"/>
      <c r="U325" s="1234"/>
      <c r="V325" s="1234"/>
      <c r="W325" s="1234"/>
      <c r="X325" s="1234"/>
      <c r="Y325" s="1234"/>
      <c r="Z325" s="1234"/>
    </row>
    <row r="326" spans="1:26" ht="14.5">
      <c r="A326" s="1234"/>
      <c r="B326" s="1234"/>
      <c r="C326" s="1234"/>
      <c r="D326" s="1234"/>
      <c r="E326" s="1234"/>
      <c r="F326" s="1234"/>
      <c r="G326" s="1234"/>
      <c r="H326" s="1234"/>
      <c r="I326" s="1234"/>
      <c r="J326" s="1234"/>
      <c r="K326" s="1234"/>
      <c r="L326" s="1234"/>
      <c r="M326" s="1234"/>
      <c r="N326" s="1234"/>
      <c r="O326" s="1234"/>
      <c r="P326" s="1234"/>
      <c r="Q326" s="1234"/>
      <c r="R326" s="1234"/>
      <c r="S326" s="1234"/>
      <c r="T326" s="1234"/>
      <c r="U326" s="1234"/>
      <c r="V326" s="1234"/>
      <c r="W326" s="1234"/>
      <c r="X326" s="1234"/>
      <c r="Y326" s="1234"/>
      <c r="Z326" s="1234"/>
    </row>
    <row r="327" spans="1:26" ht="14.5">
      <c r="A327" s="1234"/>
      <c r="B327" s="1234"/>
      <c r="C327" s="1234"/>
      <c r="D327" s="1234"/>
      <c r="E327" s="1234"/>
      <c r="F327" s="1234"/>
      <c r="G327" s="1234"/>
      <c r="H327" s="1234"/>
      <c r="I327" s="1234"/>
      <c r="J327" s="1234"/>
      <c r="K327" s="1234"/>
      <c r="L327" s="1234"/>
      <c r="M327" s="1234"/>
      <c r="N327" s="1234"/>
      <c r="O327" s="1234"/>
      <c r="P327" s="1234"/>
      <c r="Q327" s="1234"/>
      <c r="R327" s="1234"/>
      <c r="S327" s="1234"/>
      <c r="T327" s="1234"/>
      <c r="U327" s="1234"/>
      <c r="V327" s="1234"/>
      <c r="W327" s="1234"/>
      <c r="X327" s="1234"/>
      <c r="Y327" s="1234"/>
      <c r="Z327" s="1234"/>
    </row>
    <row r="328" spans="1:26" ht="14.5">
      <c r="A328" s="1234"/>
      <c r="B328" s="1234"/>
      <c r="C328" s="1234"/>
      <c r="D328" s="1234"/>
      <c r="E328" s="1234"/>
      <c r="F328" s="1234"/>
      <c r="G328" s="1234"/>
      <c r="H328" s="1234"/>
      <c r="I328" s="1234"/>
      <c r="J328" s="1234"/>
      <c r="K328" s="1234"/>
      <c r="L328" s="1234"/>
      <c r="M328" s="1234"/>
      <c r="N328" s="1234"/>
      <c r="O328" s="1234"/>
      <c r="P328" s="1234"/>
      <c r="Q328" s="1234"/>
      <c r="R328" s="1234"/>
      <c r="S328" s="1234"/>
      <c r="T328" s="1234"/>
      <c r="U328" s="1234"/>
      <c r="V328" s="1234"/>
      <c r="W328" s="1234"/>
      <c r="X328" s="1234"/>
      <c r="Y328" s="1234"/>
      <c r="Z328" s="1234"/>
    </row>
    <row r="329" spans="1:26" ht="14.5">
      <c r="A329" s="1234"/>
      <c r="B329" s="1234"/>
      <c r="C329" s="1234"/>
      <c r="D329" s="1234"/>
      <c r="E329" s="1234"/>
      <c r="F329" s="1234"/>
      <c r="G329" s="1234"/>
      <c r="H329" s="1234"/>
      <c r="I329" s="1234"/>
      <c r="J329" s="1234"/>
      <c r="K329" s="1234"/>
      <c r="L329" s="1234"/>
      <c r="M329" s="1234"/>
      <c r="N329" s="1234"/>
      <c r="O329" s="1234"/>
      <c r="P329" s="1234"/>
      <c r="Q329" s="1234"/>
      <c r="R329" s="1234"/>
      <c r="S329" s="1234"/>
      <c r="T329" s="1234"/>
      <c r="U329" s="1234"/>
      <c r="V329" s="1234"/>
      <c r="W329" s="1234"/>
      <c r="X329" s="1234"/>
      <c r="Y329" s="1234"/>
      <c r="Z329" s="1234"/>
    </row>
    <row r="330" spans="1:26" ht="14.5">
      <c r="A330" s="1234"/>
      <c r="B330" s="1234"/>
      <c r="C330" s="1234"/>
      <c r="D330" s="1234"/>
      <c r="E330" s="1234"/>
      <c r="F330" s="1234"/>
      <c r="G330" s="1234"/>
      <c r="H330" s="1234"/>
      <c r="I330" s="1234"/>
      <c r="J330" s="1234"/>
      <c r="K330" s="1234"/>
      <c r="L330" s="1234"/>
      <c r="M330" s="1234"/>
      <c r="N330" s="1234"/>
      <c r="O330" s="1234"/>
      <c r="P330" s="1234"/>
      <c r="Q330" s="1234"/>
      <c r="R330" s="1234"/>
      <c r="S330" s="1234"/>
      <c r="T330" s="1234"/>
      <c r="U330" s="1234"/>
      <c r="V330" s="1234"/>
      <c r="W330" s="1234"/>
      <c r="X330" s="1234"/>
      <c r="Y330" s="1234"/>
      <c r="Z330" s="1234"/>
    </row>
    <row r="331" spans="1:26" ht="14.5">
      <c r="A331" s="1234"/>
      <c r="B331" s="1234"/>
      <c r="C331" s="1234"/>
      <c r="D331" s="1234"/>
      <c r="E331" s="1234"/>
      <c r="F331" s="1234"/>
      <c r="G331" s="1234"/>
      <c r="H331" s="1234"/>
      <c r="I331" s="1234"/>
      <c r="J331" s="1234"/>
      <c r="K331" s="1234"/>
      <c r="L331" s="1234"/>
      <c r="M331" s="1234"/>
      <c r="N331" s="1234"/>
      <c r="O331" s="1234"/>
      <c r="P331" s="1234"/>
      <c r="Q331" s="1234"/>
      <c r="R331" s="1234"/>
      <c r="S331" s="1234"/>
      <c r="T331" s="1234"/>
      <c r="U331" s="1234"/>
      <c r="V331" s="1234"/>
      <c r="W331" s="1234"/>
      <c r="X331" s="1234"/>
      <c r="Y331" s="1234"/>
      <c r="Z331" s="1234"/>
    </row>
    <row r="332" spans="1:26" ht="14.5">
      <c r="A332" s="1234"/>
      <c r="B332" s="1234"/>
      <c r="C332" s="1234"/>
      <c r="D332" s="1234"/>
      <c r="E332" s="1234"/>
      <c r="F332" s="1234"/>
      <c r="G332" s="1234"/>
      <c r="H332" s="1234"/>
      <c r="I332" s="1234"/>
      <c r="J332" s="1234"/>
      <c r="K332" s="1234"/>
      <c r="L332" s="1234"/>
      <c r="M332" s="1234"/>
      <c r="N332" s="1234"/>
      <c r="O332" s="1234"/>
      <c r="P332" s="1234"/>
      <c r="Q332" s="1234"/>
      <c r="R332" s="1234"/>
      <c r="S332" s="1234"/>
      <c r="T332" s="1234"/>
      <c r="U332" s="1234"/>
      <c r="V332" s="1234"/>
      <c r="W332" s="1234"/>
      <c r="X332" s="1234"/>
      <c r="Y332" s="1234"/>
      <c r="Z332" s="1234"/>
    </row>
    <row r="333" spans="1:26" ht="14.5">
      <c r="A333" s="1234"/>
      <c r="B333" s="1234"/>
      <c r="C333" s="1234"/>
      <c r="D333" s="1234"/>
      <c r="E333" s="1234"/>
      <c r="F333" s="1234"/>
      <c r="G333" s="1234"/>
      <c r="H333" s="1234"/>
      <c r="I333" s="1234"/>
      <c r="J333" s="1234"/>
      <c r="K333" s="1234"/>
      <c r="L333" s="1234"/>
      <c r="M333" s="1234"/>
      <c r="N333" s="1234"/>
      <c r="O333" s="1234"/>
      <c r="P333" s="1234"/>
      <c r="Q333" s="1234"/>
      <c r="R333" s="1234"/>
      <c r="S333" s="1234"/>
      <c r="T333" s="1234"/>
      <c r="U333" s="1234"/>
      <c r="V333" s="1234"/>
      <c r="W333" s="1234"/>
      <c r="X333" s="1234"/>
      <c r="Y333" s="1234"/>
      <c r="Z333" s="1234"/>
    </row>
    <row r="334" spans="1:26" ht="14.5">
      <c r="A334" s="1234"/>
      <c r="B334" s="1234"/>
      <c r="C334" s="1234"/>
      <c r="D334" s="1234"/>
      <c r="E334" s="1234"/>
      <c r="F334" s="1234"/>
      <c r="G334" s="1234"/>
      <c r="H334" s="1234"/>
      <c r="I334" s="1234"/>
      <c r="J334" s="1234"/>
      <c r="K334" s="1234"/>
      <c r="L334" s="1234"/>
      <c r="M334" s="1234"/>
      <c r="N334" s="1234"/>
      <c r="O334" s="1234"/>
      <c r="P334" s="1234"/>
      <c r="Q334" s="1234"/>
      <c r="R334" s="1234"/>
      <c r="S334" s="1234"/>
      <c r="T334" s="1234"/>
      <c r="U334" s="1234"/>
      <c r="V334" s="1234"/>
      <c r="W334" s="1234"/>
      <c r="X334" s="1234"/>
      <c r="Y334" s="1234"/>
      <c r="Z334" s="1234"/>
    </row>
    <row r="335" spans="1:26" ht="14.5">
      <c r="A335" s="1234"/>
      <c r="B335" s="1234"/>
      <c r="C335" s="1234"/>
      <c r="D335" s="1234"/>
      <c r="E335" s="1234"/>
      <c r="F335" s="1234"/>
      <c r="G335" s="1234"/>
      <c r="H335" s="1234"/>
      <c r="I335" s="1234"/>
      <c r="J335" s="1234"/>
      <c r="K335" s="1234"/>
      <c r="L335" s="1234"/>
      <c r="M335" s="1234"/>
      <c r="N335" s="1234"/>
      <c r="O335" s="1234"/>
      <c r="P335" s="1234"/>
      <c r="Q335" s="1234"/>
      <c r="R335" s="1234"/>
      <c r="S335" s="1234"/>
      <c r="T335" s="1234"/>
      <c r="U335" s="1234"/>
      <c r="V335" s="1234"/>
      <c r="W335" s="1234"/>
      <c r="X335" s="1234"/>
      <c r="Y335" s="1234"/>
      <c r="Z335" s="1234"/>
    </row>
    <row r="336" spans="1:26" ht="14.5">
      <c r="A336" s="1234"/>
      <c r="B336" s="1234"/>
      <c r="C336" s="1234"/>
      <c r="D336" s="1234"/>
      <c r="E336" s="1234"/>
      <c r="F336" s="1234"/>
      <c r="G336" s="1234"/>
      <c r="H336" s="1234"/>
      <c r="I336" s="1234"/>
      <c r="J336" s="1234"/>
      <c r="K336" s="1234"/>
      <c r="L336" s="1234"/>
      <c r="M336" s="1234"/>
      <c r="N336" s="1234"/>
      <c r="O336" s="1234"/>
      <c r="P336" s="1234"/>
      <c r="Q336" s="1234"/>
      <c r="R336" s="1234"/>
      <c r="S336" s="1234"/>
      <c r="T336" s="1234"/>
      <c r="U336" s="1234"/>
      <c r="V336" s="1234"/>
      <c r="W336" s="1234"/>
      <c r="X336" s="1234"/>
      <c r="Y336" s="1234"/>
      <c r="Z336" s="1234"/>
    </row>
    <row r="337" spans="1:26" ht="14.5">
      <c r="A337" s="1234"/>
      <c r="B337" s="1234"/>
      <c r="C337" s="1234"/>
      <c r="D337" s="1234"/>
      <c r="E337" s="1234"/>
      <c r="F337" s="1234"/>
      <c r="G337" s="1234"/>
      <c r="H337" s="1234"/>
      <c r="I337" s="1234"/>
      <c r="J337" s="1234"/>
      <c r="K337" s="1234"/>
      <c r="L337" s="1234"/>
      <c r="M337" s="1234"/>
      <c r="N337" s="1234"/>
      <c r="O337" s="1234"/>
      <c r="P337" s="1234"/>
      <c r="Q337" s="1234"/>
      <c r="R337" s="1234"/>
      <c r="S337" s="1234"/>
      <c r="T337" s="1234"/>
      <c r="U337" s="1234"/>
      <c r="V337" s="1234"/>
      <c r="W337" s="1234"/>
      <c r="X337" s="1234"/>
      <c r="Y337" s="1234"/>
      <c r="Z337" s="1234"/>
    </row>
    <row r="338" spans="1:26" ht="14.5">
      <c r="A338" s="1234"/>
      <c r="B338" s="1234"/>
      <c r="C338" s="1234"/>
      <c r="D338" s="1234"/>
      <c r="E338" s="1234"/>
      <c r="F338" s="1234"/>
      <c r="G338" s="1234"/>
      <c r="H338" s="1234"/>
      <c r="I338" s="1234"/>
      <c r="J338" s="1234"/>
      <c r="K338" s="1234"/>
      <c r="L338" s="1234"/>
      <c r="M338" s="1234"/>
      <c r="N338" s="1234"/>
      <c r="O338" s="1234"/>
      <c r="P338" s="1234"/>
      <c r="Q338" s="1234"/>
      <c r="R338" s="1234"/>
      <c r="S338" s="1234"/>
      <c r="T338" s="1234"/>
      <c r="U338" s="1234"/>
      <c r="V338" s="1234"/>
      <c r="W338" s="1234"/>
      <c r="X338" s="1234"/>
      <c r="Y338" s="1234"/>
      <c r="Z338" s="1234"/>
    </row>
    <row r="339" spans="1:26" ht="14.5">
      <c r="A339" s="1234"/>
      <c r="B339" s="1234"/>
      <c r="C339" s="1234"/>
      <c r="D339" s="1234"/>
      <c r="E339" s="1234"/>
      <c r="F339" s="1234"/>
      <c r="G339" s="1234"/>
      <c r="H339" s="1234"/>
      <c r="I339" s="1234"/>
      <c r="J339" s="1234"/>
      <c r="K339" s="1234"/>
      <c r="L339" s="1234"/>
      <c r="M339" s="1234"/>
      <c r="N339" s="1234"/>
      <c r="O339" s="1234"/>
      <c r="P339" s="1234"/>
      <c r="Q339" s="1234"/>
      <c r="R339" s="1234"/>
      <c r="S339" s="1234"/>
      <c r="T339" s="1234"/>
      <c r="U339" s="1234"/>
      <c r="V339" s="1234"/>
      <c r="W339" s="1234"/>
      <c r="X339" s="1234"/>
      <c r="Y339" s="1234"/>
      <c r="Z339" s="1234"/>
    </row>
    <row r="340" spans="1:26" ht="14.5">
      <c r="A340" s="1234"/>
      <c r="B340" s="1234"/>
      <c r="C340" s="1234"/>
      <c r="D340" s="1234"/>
      <c r="E340" s="1234"/>
      <c r="F340" s="1234"/>
      <c r="G340" s="1234"/>
      <c r="H340" s="1234"/>
      <c r="I340" s="1234"/>
      <c r="J340" s="1234"/>
      <c r="K340" s="1234"/>
      <c r="L340" s="1234"/>
      <c r="M340" s="1234"/>
      <c r="N340" s="1234"/>
      <c r="O340" s="1234"/>
      <c r="P340" s="1234"/>
      <c r="Q340" s="1234"/>
      <c r="R340" s="1234"/>
      <c r="S340" s="1234"/>
      <c r="T340" s="1234"/>
      <c r="U340" s="1234"/>
      <c r="V340" s="1234"/>
      <c r="W340" s="1234"/>
      <c r="X340" s="1234"/>
      <c r="Y340" s="1234"/>
      <c r="Z340" s="1234"/>
    </row>
    <row r="341" spans="1:26" ht="14.5">
      <c r="A341" s="1234"/>
      <c r="B341" s="1234"/>
      <c r="C341" s="1234"/>
      <c r="D341" s="1234"/>
      <c r="E341" s="1234"/>
      <c r="F341" s="1234"/>
      <c r="G341" s="1234"/>
      <c r="H341" s="1234"/>
      <c r="I341" s="1234"/>
      <c r="J341" s="1234"/>
      <c r="K341" s="1234"/>
      <c r="L341" s="1234"/>
      <c r="M341" s="1234"/>
      <c r="N341" s="1234"/>
      <c r="O341" s="1234"/>
      <c r="P341" s="1234"/>
      <c r="Q341" s="1234"/>
      <c r="R341" s="1234"/>
      <c r="S341" s="1234"/>
      <c r="T341" s="1234"/>
      <c r="U341" s="1234"/>
      <c r="V341" s="1234"/>
      <c r="W341" s="1234"/>
      <c r="X341" s="1234"/>
      <c r="Y341" s="1234"/>
      <c r="Z341" s="1234"/>
    </row>
    <row r="342" spans="1:26" ht="14.5">
      <c r="A342" s="1234"/>
      <c r="B342" s="1234"/>
      <c r="C342" s="1234"/>
      <c r="D342" s="1234"/>
      <c r="E342" s="1234"/>
      <c r="F342" s="1234"/>
      <c r="G342" s="1234"/>
      <c r="H342" s="1234"/>
      <c r="I342" s="1234"/>
      <c r="J342" s="1234"/>
      <c r="K342" s="1234"/>
      <c r="L342" s="1234"/>
      <c r="M342" s="1234"/>
      <c r="N342" s="1234"/>
      <c r="O342" s="1234"/>
      <c r="P342" s="1234"/>
      <c r="Q342" s="1234"/>
      <c r="R342" s="1234"/>
      <c r="S342" s="1234"/>
      <c r="T342" s="1234"/>
      <c r="U342" s="1234"/>
      <c r="V342" s="1234"/>
      <c r="W342" s="1234"/>
      <c r="X342" s="1234"/>
      <c r="Y342" s="1234"/>
      <c r="Z342" s="1234"/>
    </row>
    <row r="343" spans="1:26" ht="14.5">
      <c r="A343" s="1234"/>
      <c r="B343" s="1234"/>
      <c r="C343" s="1234"/>
      <c r="D343" s="1234"/>
      <c r="E343" s="1234"/>
      <c r="F343" s="1234"/>
      <c r="G343" s="1234"/>
      <c r="H343" s="1234"/>
      <c r="I343" s="1234"/>
      <c r="J343" s="1234"/>
      <c r="K343" s="1234"/>
      <c r="L343" s="1234"/>
      <c r="M343" s="1234"/>
      <c r="N343" s="1234"/>
      <c r="O343" s="1234"/>
      <c r="P343" s="1234"/>
      <c r="Q343" s="1234"/>
      <c r="R343" s="1234"/>
      <c r="S343" s="1234"/>
      <c r="T343" s="1234"/>
      <c r="U343" s="1234"/>
      <c r="V343" s="1234"/>
      <c r="W343" s="1234"/>
      <c r="X343" s="1234"/>
      <c r="Y343" s="1234"/>
      <c r="Z343" s="1234"/>
    </row>
    <row r="344" spans="1:26" ht="14.5">
      <c r="A344" s="1234"/>
      <c r="B344" s="1234"/>
      <c r="C344" s="1234"/>
      <c r="D344" s="1234"/>
      <c r="E344" s="1234"/>
      <c r="F344" s="1234"/>
      <c r="G344" s="1234"/>
      <c r="H344" s="1234"/>
      <c r="I344" s="1234"/>
      <c r="J344" s="1234"/>
      <c r="K344" s="1234"/>
      <c r="L344" s="1234"/>
      <c r="M344" s="1234"/>
      <c r="N344" s="1234"/>
      <c r="O344" s="1234"/>
      <c r="P344" s="1234"/>
      <c r="Q344" s="1234"/>
      <c r="R344" s="1234"/>
      <c r="S344" s="1234"/>
      <c r="T344" s="1234"/>
      <c r="U344" s="1234"/>
      <c r="V344" s="1234"/>
      <c r="W344" s="1234"/>
      <c r="X344" s="1234"/>
      <c r="Y344" s="1234"/>
      <c r="Z344" s="1234"/>
    </row>
    <row r="345" spans="1:26" ht="14.5">
      <c r="A345" s="1234"/>
      <c r="B345" s="1234"/>
      <c r="C345" s="1234"/>
      <c r="D345" s="1234"/>
      <c r="E345" s="1234"/>
      <c r="F345" s="1234"/>
      <c r="G345" s="1234"/>
      <c r="H345" s="1234"/>
      <c r="I345" s="1234"/>
      <c r="J345" s="1234"/>
      <c r="K345" s="1234"/>
      <c r="L345" s="1234"/>
      <c r="M345" s="1234"/>
      <c r="N345" s="1234"/>
      <c r="O345" s="1234"/>
      <c r="P345" s="1234"/>
      <c r="Q345" s="1234"/>
      <c r="R345" s="1234"/>
      <c r="S345" s="1234"/>
      <c r="T345" s="1234"/>
      <c r="U345" s="1234"/>
      <c r="V345" s="1234"/>
      <c r="W345" s="1234"/>
      <c r="X345" s="1234"/>
      <c r="Y345" s="1234"/>
      <c r="Z345" s="1234"/>
    </row>
    <row r="346" spans="1:26" ht="14.5">
      <c r="A346" s="1234"/>
      <c r="B346" s="1234"/>
      <c r="C346" s="1234"/>
      <c r="D346" s="1234"/>
      <c r="E346" s="1234"/>
      <c r="F346" s="1234"/>
      <c r="G346" s="1234"/>
      <c r="H346" s="1234"/>
      <c r="I346" s="1234"/>
      <c r="J346" s="1234"/>
      <c r="K346" s="1234"/>
      <c r="L346" s="1234"/>
      <c r="M346" s="1234"/>
      <c r="N346" s="1234"/>
      <c r="O346" s="1234"/>
      <c r="P346" s="1234"/>
      <c r="Q346" s="1234"/>
      <c r="R346" s="1234"/>
      <c r="S346" s="1234"/>
      <c r="T346" s="1234"/>
      <c r="U346" s="1234"/>
      <c r="V346" s="1234"/>
      <c r="W346" s="1234"/>
      <c r="X346" s="1234"/>
      <c r="Y346" s="1234"/>
      <c r="Z346" s="1234"/>
    </row>
    <row r="347" spans="1:26" ht="14.5">
      <c r="A347" s="1234"/>
      <c r="B347" s="1234"/>
      <c r="C347" s="1234"/>
      <c r="D347" s="1234"/>
      <c r="E347" s="1234"/>
      <c r="F347" s="1234"/>
      <c r="G347" s="1234"/>
      <c r="H347" s="1234"/>
      <c r="I347" s="1234"/>
      <c r="J347" s="1234"/>
      <c r="K347" s="1234"/>
      <c r="L347" s="1234"/>
      <c r="M347" s="1234"/>
      <c r="N347" s="1234"/>
      <c r="O347" s="1234"/>
      <c r="P347" s="1234"/>
      <c r="Q347" s="1234"/>
      <c r="R347" s="1234"/>
      <c r="S347" s="1234"/>
      <c r="T347" s="1234"/>
      <c r="U347" s="1234"/>
      <c r="V347" s="1234"/>
      <c r="W347" s="1234"/>
      <c r="X347" s="1234"/>
      <c r="Y347" s="1234"/>
      <c r="Z347" s="1234"/>
    </row>
    <row r="348" spans="1:26" ht="14.5">
      <c r="A348" s="1234"/>
      <c r="B348" s="1234"/>
      <c r="C348" s="1234"/>
      <c r="D348" s="1234"/>
      <c r="E348" s="1234"/>
      <c r="F348" s="1234"/>
      <c r="G348" s="1234"/>
      <c r="H348" s="1234"/>
      <c r="I348" s="1234"/>
      <c r="J348" s="1234"/>
      <c r="K348" s="1234"/>
      <c r="L348" s="1234"/>
      <c r="M348" s="1234"/>
      <c r="N348" s="1234"/>
      <c r="O348" s="1234"/>
      <c r="P348" s="1234"/>
      <c r="Q348" s="1234"/>
      <c r="R348" s="1234"/>
      <c r="S348" s="1234"/>
      <c r="T348" s="1234"/>
      <c r="U348" s="1234"/>
      <c r="V348" s="1234"/>
      <c r="W348" s="1234"/>
      <c r="X348" s="1234"/>
      <c r="Y348" s="1234"/>
      <c r="Z348" s="1234"/>
    </row>
    <row r="349" spans="1:26" ht="14.5">
      <c r="A349" s="1234"/>
      <c r="B349" s="1234"/>
      <c r="C349" s="1234"/>
      <c r="D349" s="1234"/>
      <c r="E349" s="1234"/>
      <c r="F349" s="1234"/>
      <c r="G349" s="1234"/>
      <c r="H349" s="1234"/>
      <c r="I349" s="1234"/>
      <c r="J349" s="1234"/>
      <c r="K349" s="1234"/>
      <c r="L349" s="1234"/>
      <c r="M349" s="1234"/>
      <c r="N349" s="1234"/>
      <c r="O349" s="1234"/>
      <c r="P349" s="1234"/>
      <c r="Q349" s="1234"/>
      <c r="R349" s="1234"/>
      <c r="S349" s="1234"/>
      <c r="T349" s="1234"/>
      <c r="U349" s="1234"/>
      <c r="V349" s="1234"/>
      <c r="W349" s="1234"/>
      <c r="X349" s="1234"/>
      <c r="Y349" s="1234"/>
      <c r="Z349" s="1234"/>
    </row>
    <row r="350" spans="1:26" ht="14.5">
      <c r="A350" s="1234"/>
      <c r="B350" s="1234"/>
      <c r="C350" s="1234"/>
      <c r="D350" s="1234"/>
      <c r="E350" s="1234"/>
      <c r="F350" s="1234"/>
      <c r="G350" s="1234"/>
      <c r="H350" s="1234"/>
      <c r="I350" s="1234"/>
      <c r="J350" s="1234"/>
      <c r="K350" s="1234"/>
      <c r="L350" s="1234"/>
      <c r="M350" s="1234"/>
      <c r="N350" s="1234"/>
      <c r="O350" s="1234"/>
      <c r="P350" s="1234"/>
      <c r="Q350" s="1234"/>
      <c r="R350" s="1234"/>
      <c r="S350" s="1234"/>
      <c r="T350" s="1234"/>
      <c r="U350" s="1234"/>
      <c r="V350" s="1234"/>
      <c r="W350" s="1234"/>
      <c r="X350" s="1234"/>
      <c r="Y350" s="1234"/>
      <c r="Z350" s="1234"/>
    </row>
    <row r="351" spans="1:26" ht="14.5">
      <c r="A351" s="1234"/>
      <c r="B351" s="1234"/>
      <c r="C351" s="1234"/>
      <c r="D351" s="1234"/>
      <c r="E351" s="1234"/>
      <c r="F351" s="1234"/>
      <c r="G351" s="1234"/>
      <c r="H351" s="1234"/>
      <c r="I351" s="1234"/>
      <c r="J351" s="1234"/>
      <c r="K351" s="1234"/>
      <c r="L351" s="1234"/>
      <c r="M351" s="1234"/>
      <c r="N351" s="1234"/>
      <c r="O351" s="1234"/>
      <c r="P351" s="1234"/>
      <c r="Q351" s="1234"/>
      <c r="R351" s="1234"/>
      <c r="S351" s="1234"/>
      <c r="T351" s="1234"/>
      <c r="U351" s="1234"/>
      <c r="V351" s="1234"/>
      <c r="W351" s="1234"/>
      <c r="X351" s="1234"/>
      <c r="Y351" s="1234"/>
      <c r="Z351" s="1234"/>
    </row>
    <row r="352" spans="1:26" ht="14.5">
      <c r="A352" s="1234"/>
      <c r="B352" s="1234"/>
      <c r="C352" s="1234"/>
      <c r="D352" s="1234"/>
      <c r="E352" s="1234"/>
      <c r="F352" s="1234"/>
      <c r="G352" s="1234"/>
      <c r="H352" s="1234"/>
      <c r="I352" s="1234"/>
      <c r="J352" s="1234"/>
      <c r="K352" s="1234"/>
      <c r="L352" s="1234"/>
      <c r="M352" s="1234"/>
      <c r="N352" s="1234"/>
      <c r="O352" s="1234"/>
      <c r="P352" s="1234"/>
      <c r="Q352" s="1234"/>
      <c r="R352" s="1234"/>
      <c r="S352" s="1234"/>
      <c r="T352" s="1234"/>
      <c r="U352" s="1234"/>
      <c r="V352" s="1234"/>
      <c r="W352" s="1234"/>
      <c r="X352" s="1234"/>
      <c r="Y352" s="1234"/>
      <c r="Z352" s="1234"/>
    </row>
    <row r="353" spans="1:26" ht="14.5">
      <c r="A353" s="1234"/>
      <c r="B353" s="1234"/>
      <c r="C353" s="1234"/>
      <c r="D353" s="1234"/>
      <c r="E353" s="1234"/>
      <c r="F353" s="1234"/>
      <c r="G353" s="1234"/>
      <c r="H353" s="1234"/>
      <c r="I353" s="1234"/>
      <c r="J353" s="1234"/>
      <c r="K353" s="1234"/>
      <c r="L353" s="1234"/>
      <c r="M353" s="1234"/>
      <c r="N353" s="1234"/>
      <c r="O353" s="1234"/>
      <c r="P353" s="1234"/>
      <c r="Q353" s="1234"/>
      <c r="R353" s="1234"/>
      <c r="S353" s="1234"/>
      <c r="T353" s="1234"/>
      <c r="U353" s="1234"/>
      <c r="V353" s="1234"/>
      <c r="W353" s="1234"/>
      <c r="X353" s="1234"/>
      <c r="Y353" s="1234"/>
      <c r="Z353" s="1234"/>
    </row>
    <row r="354" spans="1:26" ht="14.5">
      <c r="A354" s="1234"/>
      <c r="B354" s="1234"/>
      <c r="C354" s="1234"/>
      <c r="D354" s="1234"/>
      <c r="E354" s="1234"/>
      <c r="F354" s="1234"/>
      <c r="G354" s="1234"/>
      <c r="H354" s="1234"/>
      <c r="I354" s="1234"/>
      <c r="J354" s="1234"/>
      <c r="K354" s="1234"/>
      <c r="L354" s="1234"/>
      <c r="M354" s="1234"/>
      <c r="N354" s="1234"/>
      <c r="O354" s="1234"/>
      <c r="P354" s="1234"/>
      <c r="Q354" s="1234"/>
      <c r="R354" s="1234"/>
      <c r="S354" s="1234"/>
      <c r="T354" s="1234"/>
      <c r="U354" s="1234"/>
      <c r="V354" s="1234"/>
      <c r="W354" s="1234"/>
      <c r="X354" s="1234"/>
      <c r="Y354" s="1234"/>
      <c r="Z354" s="1234"/>
    </row>
    <row r="355" spans="1:26" ht="14.5">
      <c r="A355" s="1234"/>
      <c r="B355" s="1234"/>
      <c r="C355" s="1234"/>
      <c r="D355" s="1234"/>
      <c r="E355" s="1234"/>
      <c r="F355" s="1234"/>
      <c r="G355" s="1234"/>
      <c r="H355" s="1234"/>
      <c r="I355" s="1234"/>
      <c r="J355" s="1234"/>
      <c r="K355" s="1234"/>
      <c r="L355" s="1234"/>
      <c r="M355" s="1234"/>
      <c r="N355" s="1234"/>
      <c r="O355" s="1234"/>
      <c r="P355" s="1234"/>
      <c r="Q355" s="1234"/>
      <c r="R355" s="1234"/>
      <c r="S355" s="1234"/>
      <c r="T355" s="1234"/>
      <c r="U355" s="1234"/>
      <c r="V355" s="1234"/>
      <c r="W355" s="1234"/>
      <c r="X355" s="1234"/>
      <c r="Y355" s="1234"/>
      <c r="Z355" s="1234"/>
    </row>
    <row r="356" spans="1:26" ht="14.5">
      <c r="A356" s="1234"/>
      <c r="B356" s="1234"/>
      <c r="C356" s="1234"/>
      <c r="D356" s="1234"/>
      <c r="E356" s="1234"/>
      <c r="F356" s="1234"/>
      <c r="G356" s="1234"/>
      <c r="H356" s="1234"/>
      <c r="I356" s="1234"/>
      <c r="J356" s="1234"/>
      <c r="K356" s="1234"/>
      <c r="L356" s="1234"/>
      <c r="M356" s="1234"/>
      <c r="N356" s="1234"/>
      <c r="O356" s="1234"/>
      <c r="P356" s="1234"/>
      <c r="Q356" s="1234"/>
      <c r="R356" s="1234"/>
      <c r="S356" s="1234"/>
      <c r="T356" s="1234"/>
      <c r="U356" s="1234"/>
      <c r="V356" s="1234"/>
      <c r="W356" s="1234"/>
      <c r="X356" s="1234"/>
      <c r="Y356" s="1234"/>
      <c r="Z356" s="1234"/>
    </row>
    <row r="357" spans="1:26" ht="14.5">
      <c r="A357" s="1234"/>
      <c r="B357" s="1234"/>
      <c r="C357" s="1234"/>
      <c r="D357" s="1234"/>
      <c r="E357" s="1234"/>
      <c r="F357" s="1234"/>
      <c r="G357" s="1234"/>
      <c r="H357" s="1234"/>
      <c r="I357" s="1234"/>
      <c r="J357" s="1234"/>
      <c r="K357" s="1234"/>
      <c r="L357" s="1234"/>
      <c r="M357" s="1234"/>
      <c r="N357" s="1234"/>
      <c r="O357" s="1234"/>
      <c r="P357" s="1234"/>
      <c r="Q357" s="1234"/>
      <c r="R357" s="1234"/>
      <c r="S357" s="1234"/>
      <c r="T357" s="1234"/>
      <c r="U357" s="1234"/>
      <c r="V357" s="1234"/>
      <c r="W357" s="1234"/>
      <c r="X357" s="1234"/>
      <c r="Y357" s="1234"/>
      <c r="Z357" s="1234"/>
    </row>
    <row r="358" spans="1:26" ht="14.5">
      <c r="A358" s="1234"/>
      <c r="B358" s="1234"/>
      <c r="C358" s="1234"/>
      <c r="D358" s="1234"/>
      <c r="E358" s="1234"/>
      <c r="F358" s="1234"/>
      <c r="G358" s="1234"/>
      <c r="H358" s="1234"/>
      <c r="I358" s="1234"/>
      <c r="J358" s="1234"/>
      <c r="K358" s="1234"/>
      <c r="L358" s="1234"/>
      <c r="M358" s="1234"/>
      <c r="N358" s="1234"/>
      <c r="O358" s="1234"/>
      <c r="P358" s="1234"/>
      <c r="Q358" s="1234"/>
      <c r="R358" s="1234"/>
      <c r="S358" s="1234"/>
      <c r="T358" s="1234"/>
      <c r="U358" s="1234"/>
      <c r="V358" s="1234"/>
      <c r="W358" s="1234"/>
      <c r="X358" s="1234"/>
      <c r="Y358" s="1234"/>
      <c r="Z358" s="1234"/>
    </row>
    <row r="359" spans="1:26" ht="14.5">
      <c r="A359" s="1234"/>
      <c r="B359" s="1234"/>
      <c r="C359" s="1234"/>
      <c r="D359" s="1234"/>
      <c r="E359" s="1234"/>
      <c r="F359" s="1234"/>
      <c r="G359" s="1234"/>
      <c r="H359" s="1234"/>
      <c r="I359" s="1234"/>
      <c r="J359" s="1234"/>
      <c r="K359" s="1234"/>
      <c r="L359" s="1234"/>
      <c r="M359" s="1234"/>
      <c r="N359" s="1234"/>
      <c r="O359" s="1234"/>
      <c r="P359" s="1234"/>
      <c r="Q359" s="1234"/>
      <c r="R359" s="1234"/>
      <c r="S359" s="1234"/>
      <c r="T359" s="1234"/>
      <c r="U359" s="1234"/>
      <c r="V359" s="1234"/>
      <c r="W359" s="1234"/>
      <c r="X359" s="1234"/>
      <c r="Y359" s="1234"/>
      <c r="Z359" s="1234"/>
    </row>
    <row r="360" spans="1:26" ht="14.5">
      <c r="A360" s="1234"/>
      <c r="B360" s="1234"/>
      <c r="C360" s="1234"/>
      <c r="D360" s="1234"/>
      <c r="E360" s="1234"/>
      <c r="F360" s="1234"/>
      <c r="G360" s="1234"/>
      <c r="H360" s="1234"/>
      <c r="I360" s="1234"/>
      <c r="J360" s="1234"/>
      <c r="K360" s="1234"/>
      <c r="L360" s="1234"/>
      <c r="M360" s="1234"/>
      <c r="N360" s="1234"/>
      <c r="O360" s="1234"/>
      <c r="P360" s="1234"/>
      <c r="Q360" s="1234"/>
      <c r="R360" s="1234"/>
      <c r="S360" s="1234"/>
      <c r="T360" s="1234"/>
      <c r="U360" s="1234"/>
      <c r="V360" s="1234"/>
      <c r="W360" s="1234"/>
      <c r="X360" s="1234"/>
      <c r="Y360" s="1234"/>
      <c r="Z360" s="1234"/>
    </row>
    <row r="361" spans="1:26" ht="14.5">
      <c r="A361" s="1234"/>
      <c r="B361" s="1234"/>
      <c r="C361" s="1234"/>
      <c r="D361" s="1234"/>
      <c r="E361" s="1234"/>
      <c r="F361" s="1234"/>
      <c r="G361" s="1234"/>
      <c r="H361" s="1234"/>
      <c r="I361" s="1234"/>
      <c r="J361" s="1234"/>
      <c r="K361" s="1234"/>
      <c r="L361" s="1234"/>
      <c r="M361" s="1234"/>
      <c r="N361" s="1234"/>
      <c r="O361" s="1234"/>
      <c r="P361" s="1234"/>
      <c r="Q361" s="1234"/>
      <c r="R361" s="1234"/>
      <c r="S361" s="1234"/>
      <c r="T361" s="1234"/>
      <c r="U361" s="1234"/>
      <c r="V361" s="1234"/>
      <c r="W361" s="1234"/>
      <c r="X361" s="1234"/>
      <c r="Y361" s="1234"/>
      <c r="Z361" s="1234"/>
    </row>
    <row r="362" spans="1:26" ht="14.5">
      <c r="A362" s="1234"/>
      <c r="B362" s="1234"/>
      <c r="C362" s="1234"/>
      <c r="D362" s="1234"/>
      <c r="E362" s="1234"/>
      <c r="F362" s="1234"/>
      <c r="G362" s="1234"/>
      <c r="H362" s="1234"/>
      <c r="I362" s="1234"/>
      <c r="J362" s="1234"/>
      <c r="K362" s="1234"/>
      <c r="L362" s="1234"/>
      <c r="M362" s="1234"/>
      <c r="N362" s="1234"/>
      <c r="O362" s="1234"/>
      <c r="P362" s="1234"/>
      <c r="Q362" s="1234"/>
      <c r="R362" s="1234"/>
      <c r="S362" s="1234"/>
      <c r="T362" s="1234"/>
      <c r="U362" s="1234"/>
      <c r="V362" s="1234"/>
      <c r="W362" s="1234"/>
      <c r="X362" s="1234"/>
      <c r="Y362" s="1234"/>
      <c r="Z362" s="1234"/>
    </row>
    <row r="363" spans="1:26" ht="14.5">
      <c r="A363" s="1234"/>
      <c r="B363" s="1234"/>
      <c r="C363" s="1234"/>
      <c r="D363" s="1234"/>
      <c r="E363" s="1234"/>
      <c r="F363" s="1234"/>
      <c r="G363" s="1234"/>
      <c r="H363" s="1234"/>
      <c r="I363" s="1234"/>
      <c r="J363" s="1234"/>
      <c r="K363" s="1234"/>
      <c r="L363" s="1234"/>
      <c r="M363" s="1234"/>
      <c r="N363" s="1234"/>
      <c r="O363" s="1234"/>
      <c r="P363" s="1234"/>
      <c r="Q363" s="1234"/>
      <c r="R363" s="1234"/>
      <c r="S363" s="1234"/>
      <c r="T363" s="1234"/>
      <c r="U363" s="1234"/>
      <c r="V363" s="1234"/>
      <c r="W363" s="1234"/>
      <c r="X363" s="1234"/>
      <c r="Y363" s="1234"/>
      <c r="Z363" s="1234"/>
    </row>
    <row r="364" spans="1:26" ht="14.5">
      <c r="A364" s="1234"/>
      <c r="B364" s="1234"/>
      <c r="C364" s="1234"/>
      <c r="D364" s="1234"/>
      <c r="E364" s="1234"/>
      <c r="F364" s="1234"/>
      <c r="G364" s="1234"/>
      <c r="H364" s="1234"/>
      <c r="I364" s="1234"/>
      <c r="J364" s="1234"/>
      <c r="K364" s="1234"/>
      <c r="L364" s="1234"/>
      <c r="M364" s="1234"/>
      <c r="N364" s="1234"/>
      <c r="O364" s="1234"/>
      <c r="P364" s="1234"/>
      <c r="Q364" s="1234"/>
      <c r="R364" s="1234"/>
      <c r="S364" s="1234"/>
      <c r="T364" s="1234"/>
      <c r="U364" s="1234"/>
      <c r="V364" s="1234"/>
      <c r="W364" s="1234"/>
      <c r="X364" s="1234"/>
      <c r="Y364" s="1234"/>
      <c r="Z364" s="1234"/>
    </row>
    <row r="365" spans="1:26" ht="14.5">
      <c r="A365" s="1234"/>
      <c r="B365" s="1234"/>
      <c r="C365" s="1234"/>
      <c r="D365" s="1234"/>
      <c r="E365" s="1234"/>
      <c r="F365" s="1234"/>
      <c r="G365" s="1234"/>
      <c r="H365" s="1234"/>
      <c r="I365" s="1234"/>
      <c r="J365" s="1234"/>
      <c r="K365" s="1234"/>
      <c r="L365" s="1234"/>
      <c r="M365" s="1234"/>
      <c r="N365" s="1234"/>
      <c r="O365" s="1234"/>
      <c r="P365" s="1234"/>
      <c r="Q365" s="1234"/>
      <c r="R365" s="1234"/>
      <c r="S365" s="1234"/>
      <c r="T365" s="1234"/>
      <c r="U365" s="1234"/>
      <c r="V365" s="1234"/>
      <c r="W365" s="1234"/>
      <c r="X365" s="1234"/>
      <c r="Y365" s="1234"/>
      <c r="Z365" s="1234"/>
    </row>
    <row r="366" spans="1:26" ht="14.5">
      <c r="A366" s="1234"/>
      <c r="B366" s="1234"/>
      <c r="C366" s="1234"/>
      <c r="D366" s="1234"/>
      <c r="E366" s="1234"/>
      <c r="F366" s="1234"/>
      <c r="G366" s="1234"/>
      <c r="H366" s="1234"/>
      <c r="I366" s="1234"/>
      <c r="J366" s="1234"/>
      <c r="K366" s="1234"/>
      <c r="L366" s="1234"/>
      <c r="M366" s="1234"/>
      <c r="N366" s="1234"/>
      <c r="O366" s="1234"/>
      <c r="P366" s="1234"/>
      <c r="Q366" s="1234"/>
      <c r="R366" s="1234"/>
      <c r="S366" s="1234"/>
      <c r="T366" s="1234"/>
      <c r="U366" s="1234"/>
      <c r="V366" s="1234"/>
      <c r="W366" s="1234"/>
      <c r="X366" s="1234"/>
      <c r="Y366" s="1234"/>
      <c r="Z366" s="1234"/>
    </row>
    <row r="367" spans="1:26" ht="14.5">
      <c r="A367" s="1234"/>
      <c r="B367" s="1234"/>
      <c r="C367" s="1234"/>
      <c r="D367" s="1234"/>
      <c r="E367" s="1234"/>
      <c r="F367" s="1234"/>
      <c r="G367" s="1234"/>
      <c r="H367" s="1234"/>
      <c r="I367" s="1234"/>
      <c r="J367" s="1234"/>
      <c r="K367" s="1234"/>
      <c r="L367" s="1234"/>
      <c r="M367" s="1234"/>
      <c r="N367" s="1234"/>
      <c r="O367" s="1234"/>
      <c r="P367" s="1234"/>
      <c r="Q367" s="1234"/>
      <c r="R367" s="1234"/>
      <c r="S367" s="1234"/>
      <c r="T367" s="1234"/>
      <c r="U367" s="1234"/>
      <c r="V367" s="1234"/>
      <c r="W367" s="1234"/>
      <c r="X367" s="1234"/>
      <c r="Y367" s="1234"/>
      <c r="Z367" s="1234"/>
    </row>
    <row r="368" spans="1:26" ht="14.5">
      <c r="A368" s="1234"/>
      <c r="B368" s="1234"/>
      <c r="C368" s="1234"/>
      <c r="D368" s="1234"/>
      <c r="E368" s="1234"/>
      <c r="F368" s="1234"/>
      <c r="G368" s="1234"/>
      <c r="H368" s="1234"/>
      <c r="I368" s="1234"/>
      <c r="J368" s="1234"/>
      <c r="K368" s="1234"/>
      <c r="L368" s="1234"/>
      <c r="M368" s="1234"/>
      <c r="N368" s="1234"/>
      <c r="O368" s="1234"/>
      <c r="P368" s="1234"/>
      <c r="Q368" s="1234"/>
      <c r="R368" s="1234"/>
      <c r="S368" s="1234"/>
      <c r="T368" s="1234"/>
      <c r="U368" s="1234"/>
      <c r="V368" s="1234"/>
      <c r="W368" s="1234"/>
      <c r="X368" s="1234"/>
      <c r="Y368" s="1234"/>
      <c r="Z368" s="1234"/>
    </row>
    <row r="369" spans="1:26" ht="14.5">
      <c r="A369" s="1234"/>
      <c r="B369" s="1234"/>
      <c r="C369" s="1234"/>
      <c r="D369" s="1234"/>
      <c r="E369" s="1234"/>
      <c r="F369" s="1234"/>
      <c r="G369" s="1234"/>
      <c r="H369" s="1234"/>
      <c r="I369" s="1234"/>
      <c r="J369" s="1234"/>
      <c r="K369" s="1234"/>
      <c r="L369" s="1234"/>
      <c r="M369" s="1234"/>
      <c r="N369" s="1234"/>
      <c r="O369" s="1234"/>
      <c r="P369" s="1234"/>
      <c r="Q369" s="1234"/>
      <c r="R369" s="1234"/>
      <c r="S369" s="1234"/>
      <c r="T369" s="1234"/>
      <c r="U369" s="1234"/>
      <c r="V369" s="1234"/>
      <c r="W369" s="1234"/>
      <c r="X369" s="1234"/>
      <c r="Y369" s="1234"/>
      <c r="Z369" s="1234"/>
    </row>
    <row r="370" spans="1:26" ht="14.5">
      <c r="A370" s="1234"/>
      <c r="B370" s="1234"/>
      <c r="C370" s="1234"/>
      <c r="D370" s="1234"/>
      <c r="E370" s="1234"/>
      <c r="F370" s="1234"/>
      <c r="G370" s="1234"/>
      <c r="H370" s="1234"/>
      <c r="I370" s="1234"/>
      <c r="J370" s="1234"/>
      <c r="K370" s="1234"/>
      <c r="L370" s="1234"/>
      <c r="M370" s="1234"/>
      <c r="N370" s="1234"/>
      <c r="O370" s="1234"/>
      <c r="P370" s="1234"/>
      <c r="Q370" s="1234"/>
      <c r="R370" s="1234"/>
      <c r="S370" s="1234"/>
      <c r="T370" s="1234"/>
      <c r="U370" s="1234"/>
      <c r="V370" s="1234"/>
      <c r="W370" s="1234"/>
      <c r="X370" s="1234"/>
      <c r="Y370" s="1234"/>
      <c r="Z370" s="1234"/>
    </row>
    <row r="371" spans="1:26" ht="14.5">
      <c r="A371" s="1234"/>
      <c r="B371" s="1234"/>
      <c r="C371" s="1234"/>
      <c r="D371" s="1234"/>
      <c r="E371" s="1234"/>
      <c r="F371" s="1234"/>
      <c r="G371" s="1234"/>
      <c r="H371" s="1234"/>
      <c r="I371" s="1234"/>
      <c r="J371" s="1234"/>
      <c r="K371" s="1234"/>
      <c r="L371" s="1234"/>
      <c r="M371" s="1234"/>
      <c r="N371" s="1234"/>
      <c r="O371" s="1234"/>
      <c r="P371" s="1234"/>
      <c r="Q371" s="1234"/>
      <c r="R371" s="1234"/>
      <c r="S371" s="1234"/>
      <c r="T371" s="1234"/>
      <c r="U371" s="1234"/>
      <c r="V371" s="1234"/>
      <c r="W371" s="1234"/>
      <c r="X371" s="1234"/>
      <c r="Y371" s="1234"/>
      <c r="Z371" s="1234"/>
    </row>
    <row r="372" spans="1:26" ht="14.5">
      <c r="A372" s="1234"/>
      <c r="B372" s="1234"/>
      <c r="C372" s="1234"/>
      <c r="D372" s="1234"/>
      <c r="E372" s="1234"/>
      <c r="F372" s="1234"/>
      <c r="G372" s="1234"/>
      <c r="H372" s="1234"/>
      <c r="I372" s="1234"/>
      <c r="J372" s="1234"/>
      <c r="K372" s="1234"/>
      <c r="L372" s="1234"/>
      <c r="M372" s="1234"/>
      <c r="N372" s="1234"/>
      <c r="O372" s="1234"/>
      <c r="P372" s="1234"/>
      <c r="Q372" s="1234"/>
      <c r="R372" s="1234"/>
      <c r="S372" s="1234"/>
      <c r="T372" s="1234"/>
      <c r="U372" s="1234"/>
      <c r="V372" s="1234"/>
      <c r="W372" s="1234"/>
      <c r="X372" s="1234"/>
      <c r="Y372" s="1234"/>
      <c r="Z372" s="1234"/>
    </row>
    <row r="373" spans="1:26" ht="14.5">
      <c r="A373" s="1234"/>
      <c r="B373" s="1234"/>
      <c r="C373" s="1234"/>
      <c r="D373" s="1234"/>
      <c r="E373" s="1234"/>
      <c r="F373" s="1234"/>
      <c r="G373" s="1234"/>
      <c r="H373" s="1234"/>
      <c r="I373" s="1234"/>
      <c r="J373" s="1234"/>
      <c r="K373" s="1234"/>
      <c r="L373" s="1234"/>
      <c r="M373" s="1234"/>
      <c r="N373" s="1234"/>
      <c r="O373" s="1234"/>
      <c r="P373" s="1234"/>
      <c r="Q373" s="1234"/>
      <c r="R373" s="1234"/>
      <c r="S373" s="1234"/>
      <c r="T373" s="1234"/>
      <c r="U373" s="1234"/>
      <c r="V373" s="1234"/>
      <c r="W373" s="1234"/>
      <c r="X373" s="1234"/>
      <c r="Y373" s="1234"/>
      <c r="Z373" s="1234"/>
    </row>
    <row r="374" spans="1:26" ht="14.5">
      <c r="A374" s="1234"/>
      <c r="B374" s="1234"/>
      <c r="C374" s="1234"/>
      <c r="D374" s="1234"/>
      <c r="E374" s="1234"/>
      <c r="F374" s="1234"/>
      <c r="G374" s="1234"/>
      <c r="H374" s="1234"/>
      <c r="I374" s="1234"/>
      <c r="J374" s="1234"/>
      <c r="K374" s="1234"/>
      <c r="L374" s="1234"/>
      <c r="M374" s="1234"/>
      <c r="N374" s="1234"/>
      <c r="O374" s="1234"/>
      <c r="P374" s="1234"/>
      <c r="Q374" s="1234"/>
      <c r="R374" s="1234"/>
      <c r="S374" s="1234"/>
      <c r="T374" s="1234"/>
      <c r="U374" s="1234"/>
      <c r="V374" s="1234"/>
      <c r="W374" s="1234"/>
      <c r="X374" s="1234"/>
      <c r="Y374" s="1234"/>
      <c r="Z374" s="1234"/>
    </row>
    <row r="375" spans="1:26" ht="14.5">
      <c r="A375" s="1234"/>
      <c r="B375" s="1234"/>
      <c r="C375" s="1234"/>
      <c r="D375" s="1234"/>
      <c r="E375" s="1234"/>
      <c r="F375" s="1234"/>
      <c r="G375" s="1234"/>
      <c r="H375" s="1234"/>
      <c r="I375" s="1234"/>
      <c r="J375" s="1234"/>
      <c r="K375" s="1234"/>
      <c r="L375" s="1234"/>
      <c r="M375" s="1234"/>
      <c r="N375" s="1234"/>
      <c r="O375" s="1234"/>
      <c r="P375" s="1234"/>
      <c r="Q375" s="1234"/>
      <c r="R375" s="1234"/>
      <c r="S375" s="1234"/>
      <c r="T375" s="1234"/>
      <c r="U375" s="1234"/>
      <c r="V375" s="1234"/>
      <c r="W375" s="1234"/>
      <c r="X375" s="1234"/>
      <c r="Y375" s="1234"/>
      <c r="Z375" s="1234"/>
    </row>
    <row r="376" spans="1:26" ht="14.5">
      <c r="A376" s="1234"/>
      <c r="B376" s="1234"/>
      <c r="C376" s="1234"/>
      <c r="D376" s="1234"/>
      <c r="E376" s="1234"/>
      <c r="F376" s="1234"/>
      <c r="G376" s="1234"/>
      <c r="H376" s="1234"/>
      <c r="I376" s="1234"/>
      <c r="J376" s="1234"/>
      <c r="K376" s="1234"/>
      <c r="L376" s="1234"/>
      <c r="M376" s="1234"/>
      <c r="N376" s="1234"/>
      <c r="O376" s="1234"/>
      <c r="P376" s="1234"/>
      <c r="Q376" s="1234"/>
      <c r="R376" s="1234"/>
      <c r="S376" s="1234"/>
      <c r="T376" s="1234"/>
      <c r="U376" s="1234"/>
      <c r="V376" s="1234"/>
      <c r="W376" s="1234"/>
      <c r="X376" s="1234"/>
      <c r="Y376" s="1234"/>
      <c r="Z376" s="1234"/>
    </row>
    <row r="377" spans="1:26" ht="14.5">
      <c r="A377" s="1234"/>
      <c r="B377" s="1234"/>
      <c r="C377" s="1234"/>
      <c r="D377" s="1234"/>
      <c r="E377" s="1234"/>
      <c r="F377" s="1234"/>
      <c r="G377" s="1234"/>
      <c r="H377" s="1234"/>
      <c r="I377" s="1234"/>
      <c r="J377" s="1234"/>
      <c r="K377" s="1234"/>
      <c r="L377" s="1234"/>
      <c r="M377" s="1234"/>
      <c r="N377" s="1234"/>
      <c r="O377" s="1234"/>
      <c r="P377" s="1234"/>
      <c r="Q377" s="1234"/>
      <c r="R377" s="1234"/>
      <c r="S377" s="1234"/>
      <c r="T377" s="1234"/>
      <c r="U377" s="1234"/>
      <c r="V377" s="1234"/>
      <c r="W377" s="1234"/>
      <c r="X377" s="1234"/>
      <c r="Y377" s="1234"/>
      <c r="Z377" s="1234"/>
    </row>
    <row r="378" spans="1:26" ht="14.5">
      <c r="A378" s="1234"/>
      <c r="B378" s="1234"/>
      <c r="C378" s="1234"/>
      <c r="D378" s="1234"/>
      <c r="E378" s="1234"/>
      <c r="F378" s="1234"/>
      <c r="G378" s="1234"/>
      <c r="H378" s="1234"/>
      <c r="I378" s="1234"/>
      <c r="J378" s="1234"/>
      <c r="K378" s="1234"/>
      <c r="L378" s="1234"/>
      <c r="M378" s="1234"/>
      <c r="N378" s="1234"/>
      <c r="O378" s="1234"/>
      <c r="P378" s="1234"/>
      <c r="Q378" s="1234"/>
      <c r="R378" s="1234"/>
      <c r="S378" s="1234"/>
      <c r="T378" s="1234"/>
      <c r="U378" s="1234"/>
      <c r="V378" s="1234"/>
      <c r="W378" s="1234"/>
      <c r="X378" s="1234"/>
      <c r="Y378" s="1234"/>
      <c r="Z378" s="1234"/>
    </row>
    <row r="379" spans="1:26" ht="14.5">
      <c r="A379" s="1234"/>
      <c r="B379" s="1234"/>
      <c r="C379" s="1234"/>
      <c r="D379" s="1234"/>
      <c r="E379" s="1234"/>
      <c r="F379" s="1234"/>
      <c r="G379" s="1234"/>
      <c r="H379" s="1234"/>
      <c r="I379" s="1234"/>
      <c r="J379" s="1234"/>
      <c r="K379" s="1234"/>
      <c r="L379" s="1234"/>
      <c r="M379" s="1234"/>
      <c r="N379" s="1234"/>
      <c r="O379" s="1234"/>
      <c r="P379" s="1234"/>
      <c r="Q379" s="1234"/>
      <c r="R379" s="1234"/>
      <c r="S379" s="1234"/>
      <c r="T379" s="1234"/>
      <c r="U379" s="1234"/>
      <c r="V379" s="1234"/>
      <c r="W379" s="1234"/>
      <c r="X379" s="1234"/>
      <c r="Y379" s="1234"/>
      <c r="Z379" s="1234"/>
    </row>
    <row r="380" spans="1:26" ht="14.5">
      <c r="A380" s="1234"/>
      <c r="B380" s="1234"/>
      <c r="C380" s="1234"/>
      <c r="D380" s="1234"/>
      <c r="E380" s="1234"/>
      <c r="F380" s="1234"/>
      <c r="G380" s="1234"/>
      <c r="H380" s="1234"/>
      <c r="I380" s="1234"/>
      <c r="J380" s="1234"/>
      <c r="K380" s="1234"/>
      <c r="L380" s="1234"/>
      <c r="M380" s="1234"/>
      <c r="N380" s="1234"/>
      <c r="O380" s="1234"/>
      <c r="P380" s="1234"/>
      <c r="Q380" s="1234"/>
      <c r="R380" s="1234"/>
      <c r="S380" s="1234"/>
      <c r="T380" s="1234"/>
      <c r="U380" s="1234"/>
      <c r="V380" s="1234"/>
      <c r="W380" s="1234"/>
      <c r="X380" s="1234"/>
      <c r="Y380" s="1234"/>
      <c r="Z380" s="1234"/>
    </row>
    <row r="381" spans="1:26" ht="14.5">
      <c r="A381" s="1234"/>
      <c r="B381" s="1234"/>
      <c r="C381" s="1234"/>
      <c r="D381" s="1234"/>
      <c r="E381" s="1234"/>
      <c r="F381" s="1234"/>
      <c r="G381" s="1234"/>
      <c r="H381" s="1234"/>
      <c r="I381" s="1234"/>
      <c r="J381" s="1234"/>
      <c r="K381" s="1234"/>
      <c r="L381" s="1234"/>
      <c r="M381" s="1234"/>
      <c r="N381" s="1234"/>
      <c r="O381" s="1234"/>
      <c r="P381" s="1234"/>
      <c r="Q381" s="1234"/>
      <c r="R381" s="1234"/>
      <c r="S381" s="1234"/>
      <c r="T381" s="1234"/>
      <c r="U381" s="1234"/>
      <c r="V381" s="1234"/>
      <c r="W381" s="1234"/>
      <c r="X381" s="1234"/>
      <c r="Y381" s="1234"/>
      <c r="Z381" s="1234"/>
    </row>
    <row r="382" spans="1:26" ht="14.5">
      <c r="A382" s="1234"/>
      <c r="B382" s="1234"/>
      <c r="C382" s="1234"/>
      <c r="D382" s="1234"/>
      <c r="E382" s="1234"/>
      <c r="F382" s="1234"/>
      <c r="G382" s="1234"/>
      <c r="H382" s="1234"/>
      <c r="I382" s="1234"/>
      <c r="J382" s="1234"/>
      <c r="K382" s="1234"/>
      <c r="L382" s="1234"/>
      <c r="M382" s="1234"/>
      <c r="N382" s="1234"/>
      <c r="O382" s="1234"/>
      <c r="P382" s="1234"/>
      <c r="Q382" s="1234"/>
      <c r="R382" s="1234"/>
      <c r="S382" s="1234"/>
      <c r="T382" s="1234"/>
      <c r="U382" s="1234"/>
      <c r="V382" s="1234"/>
      <c r="W382" s="1234"/>
      <c r="X382" s="1234"/>
      <c r="Y382" s="1234"/>
      <c r="Z382" s="1234"/>
    </row>
    <row r="383" spans="1:26" ht="14.5">
      <c r="A383" s="1234"/>
      <c r="B383" s="1234"/>
      <c r="C383" s="1234"/>
      <c r="D383" s="1234"/>
      <c r="E383" s="1234"/>
      <c r="F383" s="1234"/>
      <c r="G383" s="1234"/>
      <c r="H383" s="1234"/>
      <c r="I383" s="1234"/>
      <c r="J383" s="1234"/>
      <c r="K383" s="1234"/>
      <c r="L383" s="1234"/>
      <c r="M383" s="1234"/>
      <c r="N383" s="1234"/>
      <c r="O383" s="1234"/>
      <c r="P383" s="1234"/>
      <c r="Q383" s="1234"/>
      <c r="R383" s="1234"/>
      <c r="S383" s="1234"/>
      <c r="T383" s="1234"/>
      <c r="U383" s="1234"/>
      <c r="V383" s="1234"/>
      <c r="W383" s="1234"/>
      <c r="X383" s="1234"/>
      <c r="Y383" s="1234"/>
      <c r="Z383" s="1234"/>
    </row>
    <row r="384" spans="1:26" ht="14.5">
      <c r="A384" s="1234"/>
      <c r="B384" s="1234"/>
      <c r="C384" s="1234"/>
      <c r="D384" s="1234"/>
      <c r="E384" s="1234"/>
      <c r="F384" s="1234"/>
      <c r="G384" s="1234"/>
      <c r="H384" s="1234"/>
      <c r="I384" s="1234"/>
      <c r="J384" s="1234"/>
      <c r="K384" s="1234"/>
      <c r="L384" s="1234"/>
      <c r="M384" s="1234"/>
      <c r="N384" s="1234"/>
      <c r="O384" s="1234"/>
      <c r="P384" s="1234"/>
      <c r="Q384" s="1234"/>
      <c r="R384" s="1234"/>
      <c r="S384" s="1234"/>
      <c r="T384" s="1234"/>
      <c r="U384" s="1234"/>
      <c r="V384" s="1234"/>
      <c r="W384" s="1234"/>
      <c r="X384" s="1234"/>
      <c r="Y384" s="1234"/>
      <c r="Z384" s="1234"/>
    </row>
    <row r="385" spans="1:26" ht="14.5">
      <c r="A385" s="1234"/>
      <c r="B385" s="1234"/>
      <c r="C385" s="1234"/>
      <c r="D385" s="1234"/>
      <c r="E385" s="1234"/>
      <c r="F385" s="1234"/>
      <c r="G385" s="1234"/>
      <c r="H385" s="1234"/>
      <c r="I385" s="1234"/>
      <c r="J385" s="1234"/>
      <c r="K385" s="1234"/>
      <c r="L385" s="1234"/>
      <c r="M385" s="1234"/>
      <c r="N385" s="1234"/>
      <c r="O385" s="1234"/>
      <c r="P385" s="1234"/>
      <c r="Q385" s="1234"/>
      <c r="R385" s="1234"/>
      <c r="S385" s="1234"/>
      <c r="T385" s="1234"/>
      <c r="U385" s="1234"/>
      <c r="V385" s="1234"/>
      <c r="W385" s="1234"/>
      <c r="X385" s="1234"/>
      <c r="Y385" s="1234"/>
      <c r="Z385" s="1234"/>
    </row>
    <row r="386" spans="1:26" ht="14.5">
      <c r="A386" s="1234"/>
      <c r="B386" s="1234"/>
      <c r="C386" s="1234"/>
      <c r="D386" s="1234"/>
      <c r="E386" s="1234"/>
      <c r="F386" s="1234"/>
      <c r="G386" s="1234"/>
      <c r="H386" s="1234"/>
      <c r="I386" s="1234"/>
      <c r="J386" s="1234"/>
      <c r="K386" s="1234"/>
      <c r="L386" s="1234"/>
      <c r="M386" s="1234"/>
      <c r="N386" s="1234"/>
      <c r="O386" s="1234"/>
      <c r="P386" s="1234"/>
      <c r="Q386" s="1234"/>
      <c r="R386" s="1234"/>
      <c r="S386" s="1234"/>
      <c r="T386" s="1234"/>
      <c r="U386" s="1234"/>
      <c r="V386" s="1234"/>
      <c r="W386" s="1234"/>
      <c r="X386" s="1234"/>
      <c r="Y386" s="1234"/>
      <c r="Z386" s="1234"/>
    </row>
    <row r="387" spans="1:26" ht="14.5">
      <c r="A387" s="1234"/>
      <c r="B387" s="1234"/>
      <c r="C387" s="1234"/>
      <c r="D387" s="1234"/>
      <c r="E387" s="1234"/>
      <c r="F387" s="1234"/>
      <c r="G387" s="1234"/>
      <c r="H387" s="1234"/>
      <c r="I387" s="1234"/>
      <c r="J387" s="1234"/>
      <c r="K387" s="1234"/>
      <c r="L387" s="1234"/>
      <c r="M387" s="1234"/>
      <c r="N387" s="1234"/>
      <c r="O387" s="1234"/>
      <c r="P387" s="1234"/>
      <c r="Q387" s="1234"/>
      <c r="R387" s="1234"/>
      <c r="S387" s="1234"/>
      <c r="T387" s="1234"/>
      <c r="U387" s="1234"/>
      <c r="V387" s="1234"/>
      <c r="W387" s="1234"/>
      <c r="X387" s="1234"/>
      <c r="Y387" s="1234"/>
      <c r="Z387" s="1234"/>
    </row>
    <row r="388" spans="1:26" ht="14.5">
      <c r="A388" s="1234"/>
      <c r="B388" s="1234"/>
      <c r="C388" s="1234"/>
      <c r="D388" s="1234"/>
      <c r="E388" s="1234"/>
      <c r="F388" s="1234"/>
      <c r="G388" s="1234"/>
      <c r="H388" s="1234"/>
      <c r="I388" s="1234"/>
      <c r="J388" s="1234"/>
      <c r="K388" s="1234"/>
      <c r="L388" s="1234"/>
      <c r="M388" s="1234"/>
      <c r="N388" s="1234"/>
      <c r="O388" s="1234"/>
      <c r="P388" s="1234"/>
      <c r="Q388" s="1234"/>
      <c r="R388" s="1234"/>
      <c r="S388" s="1234"/>
      <c r="T388" s="1234"/>
      <c r="U388" s="1234"/>
      <c r="V388" s="1234"/>
      <c r="W388" s="1234"/>
      <c r="X388" s="1234"/>
      <c r="Y388" s="1234"/>
      <c r="Z388" s="1234"/>
    </row>
    <row r="389" spans="1:26" ht="14.5">
      <c r="A389" s="1234"/>
      <c r="B389" s="1234"/>
      <c r="C389" s="1234"/>
      <c r="D389" s="1234"/>
      <c r="E389" s="1234"/>
      <c r="F389" s="1234"/>
      <c r="G389" s="1234"/>
      <c r="H389" s="1234"/>
      <c r="I389" s="1234"/>
      <c r="J389" s="1234"/>
      <c r="K389" s="1234"/>
      <c r="L389" s="1234"/>
      <c r="M389" s="1234"/>
      <c r="N389" s="1234"/>
      <c r="O389" s="1234"/>
      <c r="P389" s="1234"/>
      <c r="Q389" s="1234"/>
      <c r="R389" s="1234"/>
      <c r="S389" s="1234"/>
      <c r="T389" s="1234"/>
      <c r="U389" s="1234"/>
      <c r="V389" s="1234"/>
      <c r="W389" s="1234"/>
      <c r="X389" s="1234"/>
      <c r="Y389" s="1234"/>
      <c r="Z389" s="1234"/>
    </row>
    <row r="390" spans="1:26" ht="14.5">
      <c r="A390" s="1234"/>
      <c r="B390" s="1234"/>
      <c r="C390" s="1234"/>
      <c r="D390" s="1234"/>
      <c r="E390" s="1234"/>
      <c r="F390" s="1234"/>
      <c r="G390" s="1234"/>
      <c r="H390" s="1234"/>
      <c r="I390" s="1234"/>
      <c r="J390" s="1234"/>
      <c r="K390" s="1234"/>
      <c r="L390" s="1234"/>
      <c r="M390" s="1234"/>
      <c r="N390" s="1234"/>
      <c r="O390" s="1234"/>
      <c r="P390" s="1234"/>
      <c r="Q390" s="1234"/>
      <c r="R390" s="1234"/>
      <c r="S390" s="1234"/>
      <c r="T390" s="1234"/>
      <c r="U390" s="1234"/>
      <c r="V390" s="1234"/>
      <c r="W390" s="1234"/>
      <c r="X390" s="1234"/>
      <c r="Y390" s="1234"/>
      <c r="Z390" s="1234"/>
    </row>
    <row r="391" spans="1:26" ht="14.5">
      <c r="A391" s="1234"/>
      <c r="B391" s="1234"/>
      <c r="C391" s="1234"/>
      <c r="D391" s="1234"/>
      <c r="E391" s="1234"/>
      <c r="F391" s="1234"/>
      <c r="G391" s="1234"/>
      <c r="H391" s="1234"/>
      <c r="I391" s="1234"/>
      <c r="J391" s="1234"/>
      <c r="K391" s="1234"/>
      <c r="L391" s="1234"/>
      <c r="M391" s="1234"/>
      <c r="N391" s="1234"/>
      <c r="O391" s="1234"/>
      <c r="P391" s="1234"/>
      <c r="Q391" s="1234"/>
      <c r="R391" s="1234"/>
      <c r="S391" s="1234"/>
      <c r="T391" s="1234"/>
      <c r="U391" s="1234"/>
      <c r="V391" s="1234"/>
      <c r="W391" s="1234"/>
      <c r="X391" s="1234"/>
      <c r="Y391" s="1234"/>
      <c r="Z391" s="1234"/>
    </row>
    <row r="392" spans="1:26" ht="14.5">
      <c r="A392" s="1234"/>
      <c r="B392" s="1234"/>
      <c r="C392" s="1234"/>
      <c r="D392" s="1234"/>
      <c r="E392" s="1234"/>
      <c r="F392" s="1234"/>
      <c r="G392" s="1234"/>
      <c r="H392" s="1234"/>
      <c r="I392" s="1234"/>
      <c r="J392" s="1234"/>
      <c r="K392" s="1234"/>
      <c r="L392" s="1234"/>
      <c r="M392" s="1234"/>
      <c r="N392" s="1234"/>
      <c r="O392" s="1234"/>
      <c r="P392" s="1234"/>
      <c r="Q392" s="1234"/>
      <c r="R392" s="1234"/>
      <c r="S392" s="1234"/>
      <c r="T392" s="1234"/>
      <c r="U392" s="1234"/>
      <c r="V392" s="1234"/>
      <c r="W392" s="1234"/>
      <c r="X392" s="1234"/>
      <c r="Y392" s="1234"/>
      <c r="Z392" s="1234"/>
    </row>
    <row r="393" spans="1:26" ht="14.5">
      <c r="A393" s="1234"/>
      <c r="B393" s="1234"/>
      <c r="C393" s="1234"/>
      <c r="D393" s="1234"/>
      <c r="E393" s="1234"/>
      <c r="F393" s="1234"/>
      <c r="G393" s="1234"/>
      <c r="H393" s="1234"/>
      <c r="I393" s="1234"/>
      <c r="J393" s="1234"/>
      <c r="K393" s="1234"/>
      <c r="L393" s="1234"/>
      <c r="M393" s="1234"/>
      <c r="N393" s="1234"/>
      <c r="O393" s="1234"/>
      <c r="P393" s="1234"/>
      <c r="Q393" s="1234"/>
      <c r="R393" s="1234"/>
      <c r="S393" s="1234"/>
      <c r="T393" s="1234"/>
      <c r="U393" s="1234"/>
      <c r="V393" s="1234"/>
      <c r="W393" s="1234"/>
      <c r="X393" s="1234"/>
      <c r="Y393" s="1234"/>
      <c r="Z393" s="1234"/>
    </row>
    <row r="394" spans="1:26" ht="14.5">
      <c r="A394" s="1234"/>
      <c r="B394" s="1234"/>
      <c r="C394" s="1234"/>
      <c r="D394" s="1234"/>
      <c r="E394" s="1234"/>
      <c r="F394" s="1234"/>
      <c r="G394" s="1234"/>
      <c r="H394" s="1234"/>
      <c r="I394" s="1234"/>
      <c r="J394" s="1234"/>
      <c r="K394" s="1234"/>
      <c r="L394" s="1234"/>
      <c r="M394" s="1234"/>
      <c r="N394" s="1234"/>
      <c r="O394" s="1234"/>
      <c r="P394" s="1234"/>
      <c r="Q394" s="1234"/>
      <c r="R394" s="1234"/>
      <c r="S394" s="1234"/>
      <c r="T394" s="1234"/>
      <c r="U394" s="1234"/>
      <c r="V394" s="1234"/>
      <c r="W394" s="1234"/>
      <c r="X394" s="1234"/>
      <c r="Y394" s="1234"/>
      <c r="Z394" s="1234"/>
    </row>
    <row r="395" spans="1:26" ht="14.5">
      <c r="A395" s="1234"/>
      <c r="B395" s="1234"/>
      <c r="C395" s="1234"/>
      <c r="D395" s="1234"/>
      <c r="E395" s="1234"/>
      <c r="F395" s="1234"/>
      <c r="G395" s="1234"/>
      <c r="H395" s="1234"/>
      <c r="I395" s="1234"/>
      <c r="J395" s="1234"/>
      <c r="K395" s="1234"/>
      <c r="L395" s="1234"/>
      <c r="M395" s="1234"/>
      <c r="N395" s="1234"/>
      <c r="O395" s="1234"/>
      <c r="P395" s="1234"/>
      <c r="Q395" s="1234"/>
      <c r="R395" s="1234"/>
      <c r="S395" s="1234"/>
      <c r="T395" s="1234"/>
      <c r="U395" s="1234"/>
      <c r="V395" s="1234"/>
      <c r="W395" s="1234"/>
      <c r="X395" s="1234"/>
      <c r="Y395" s="1234"/>
      <c r="Z395" s="1234"/>
    </row>
    <row r="396" spans="1:26" ht="14.5">
      <c r="A396" s="1234"/>
      <c r="B396" s="1234"/>
      <c r="C396" s="1234"/>
      <c r="D396" s="1234"/>
      <c r="E396" s="1234"/>
      <c r="F396" s="1234"/>
      <c r="G396" s="1234"/>
      <c r="H396" s="1234"/>
      <c r="I396" s="1234"/>
      <c r="J396" s="1234"/>
      <c r="K396" s="1234"/>
      <c r="L396" s="1234"/>
      <c r="M396" s="1234"/>
      <c r="N396" s="1234"/>
      <c r="O396" s="1234"/>
      <c r="P396" s="1234"/>
      <c r="Q396" s="1234"/>
      <c r="R396" s="1234"/>
      <c r="S396" s="1234"/>
      <c r="T396" s="1234"/>
      <c r="U396" s="1234"/>
      <c r="V396" s="1234"/>
      <c r="W396" s="1234"/>
      <c r="X396" s="1234"/>
      <c r="Y396" s="1234"/>
      <c r="Z396" s="1234"/>
    </row>
    <row r="397" spans="1:26" ht="14.5">
      <c r="A397" s="1234"/>
      <c r="B397" s="1234"/>
      <c r="C397" s="1234"/>
      <c r="D397" s="1234"/>
      <c r="E397" s="1234"/>
      <c r="F397" s="1234"/>
      <c r="G397" s="1234"/>
      <c r="H397" s="1234"/>
      <c r="I397" s="1234"/>
      <c r="J397" s="1234"/>
      <c r="K397" s="1234"/>
      <c r="L397" s="1234"/>
      <c r="M397" s="1234"/>
      <c r="N397" s="1234"/>
      <c r="O397" s="1234"/>
      <c r="P397" s="1234"/>
      <c r="Q397" s="1234"/>
      <c r="R397" s="1234"/>
      <c r="S397" s="1234"/>
      <c r="T397" s="1234"/>
      <c r="U397" s="1234"/>
      <c r="V397" s="1234"/>
      <c r="W397" s="1234"/>
      <c r="X397" s="1234"/>
      <c r="Y397" s="1234"/>
      <c r="Z397" s="1234"/>
    </row>
    <row r="398" spans="1:26" ht="14.5">
      <c r="A398" s="1234"/>
      <c r="B398" s="1234"/>
      <c r="C398" s="1234"/>
      <c r="D398" s="1234"/>
      <c r="E398" s="1234"/>
      <c r="F398" s="1234"/>
      <c r="G398" s="1234"/>
      <c r="H398" s="1234"/>
      <c r="I398" s="1234"/>
      <c r="J398" s="1234"/>
      <c r="K398" s="1234"/>
      <c r="L398" s="1234"/>
      <c r="M398" s="1234"/>
      <c r="N398" s="1234"/>
      <c r="O398" s="1234"/>
      <c r="P398" s="1234"/>
      <c r="Q398" s="1234"/>
      <c r="R398" s="1234"/>
      <c r="S398" s="1234"/>
      <c r="T398" s="1234"/>
      <c r="U398" s="1234"/>
      <c r="V398" s="1234"/>
      <c r="W398" s="1234"/>
      <c r="X398" s="1234"/>
      <c r="Y398" s="1234"/>
      <c r="Z398" s="1234"/>
    </row>
    <row r="399" spans="1:26" ht="14.5">
      <c r="A399" s="1234"/>
      <c r="B399" s="1234"/>
      <c r="C399" s="1234"/>
      <c r="D399" s="1234"/>
      <c r="E399" s="1234"/>
      <c r="F399" s="1234"/>
      <c r="G399" s="1234"/>
      <c r="H399" s="1234"/>
      <c r="I399" s="1234"/>
      <c r="J399" s="1234"/>
      <c r="K399" s="1234"/>
      <c r="L399" s="1234"/>
      <c r="M399" s="1234"/>
      <c r="N399" s="1234"/>
      <c r="O399" s="1234"/>
      <c r="P399" s="1234"/>
      <c r="Q399" s="1234"/>
      <c r="R399" s="1234"/>
      <c r="S399" s="1234"/>
      <c r="T399" s="1234"/>
      <c r="U399" s="1234"/>
      <c r="V399" s="1234"/>
      <c r="W399" s="1234"/>
      <c r="X399" s="1234"/>
      <c r="Y399" s="1234"/>
      <c r="Z399" s="1234"/>
    </row>
    <row r="400" spans="1:26" ht="14.5">
      <c r="A400" s="1234"/>
      <c r="B400" s="1234"/>
      <c r="C400" s="1234"/>
      <c r="D400" s="1234"/>
      <c r="E400" s="1234"/>
      <c r="F400" s="1234"/>
      <c r="G400" s="1234"/>
      <c r="H400" s="1234"/>
      <c r="I400" s="1234"/>
      <c r="J400" s="1234"/>
      <c r="K400" s="1234"/>
      <c r="L400" s="1234"/>
      <c r="M400" s="1234"/>
      <c r="N400" s="1234"/>
      <c r="O400" s="1234"/>
      <c r="P400" s="1234"/>
      <c r="Q400" s="1234"/>
      <c r="R400" s="1234"/>
      <c r="S400" s="1234"/>
      <c r="T400" s="1234"/>
      <c r="U400" s="1234"/>
      <c r="V400" s="1234"/>
      <c r="W400" s="1234"/>
      <c r="X400" s="1234"/>
      <c r="Y400" s="1234"/>
      <c r="Z400" s="1234"/>
    </row>
    <row r="401" spans="1:26" ht="14.5">
      <c r="A401" s="1234"/>
      <c r="B401" s="1234"/>
      <c r="C401" s="1234"/>
      <c r="D401" s="1234"/>
      <c r="E401" s="1234"/>
      <c r="F401" s="1234"/>
      <c r="G401" s="1234"/>
      <c r="H401" s="1234"/>
      <c r="I401" s="1234"/>
      <c r="J401" s="1234"/>
      <c r="K401" s="1234"/>
      <c r="L401" s="1234"/>
      <c r="M401" s="1234"/>
      <c r="N401" s="1234"/>
      <c r="O401" s="1234"/>
      <c r="P401" s="1234"/>
      <c r="Q401" s="1234"/>
      <c r="R401" s="1234"/>
      <c r="S401" s="1234"/>
      <c r="T401" s="1234"/>
      <c r="U401" s="1234"/>
      <c r="V401" s="1234"/>
      <c r="W401" s="1234"/>
      <c r="X401" s="1234"/>
      <c r="Y401" s="1234"/>
      <c r="Z401" s="1234"/>
    </row>
    <row r="402" spans="1:26" ht="14.5">
      <c r="A402" s="1234"/>
      <c r="B402" s="1234"/>
      <c r="C402" s="1234"/>
      <c r="D402" s="1234"/>
      <c r="E402" s="1234"/>
      <c r="F402" s="1234"/>
      <c r="G402" s="1234"/>
      <c r="H402" s="1234"/>
      <c r="I402" s="1234"/>
      <c r="J402" s="1234"/>
      <c r="K402" s="1234"/>
      <c r="L402" s="1234"/>
      <c r="M402" s="1234"/>
      <c r="N402" s="1234"/>
      <c r="O402" s="1234"/>
      <c r="P402" s="1234"/>
      <c r="Q402" s="1234"/>
      <c r="R402" s="1234"/>
      <c r="S402" s="1234"/>
      <c r="T402" s="1234"/>
      <c r="U402" s="1234"/>
      <c r="V402" s="1234"/>
      <c r="W402" s="1234"/>
      <c r="X402" s="1234"/>
      <c r="Y402" s="1234"/>
      <c r="Z402" s="1234"/>
    </row>
    <row r="403" spans="1:26" ht="14.5">
      <c r="A403" s="1234"/>
      <c r="B403" s="1234"/>
      <c r="C403" s="1234"/>
      <c r="D403" s="1234"/>
      <c r="E403" s="1234"/>
      <c r="F403" s="1234"/>
      <c r="G403" s="1234"/>
      <c r="H403" s="1234"/>
      <c r="I403" s="1234"/>
      <c r="J403" s="1234"/>
      <c r="K403" s="1234"/>
      <c r="L403" s="1234"/>
      <c r="M403" s="1234"/>
      <c r="N403" s="1234"/>
      <c r="O403" s="1234"/>
      <c r="P403" s="1234"/>
      <c r="Q403" s="1234"/>
      <c r="R403" s="1234"/>
      <c r="S403" s="1234"/>
      <c r="T403" s="1234"/>
      <c r="U403" s="1234"/>
      <c r="V403" s="1234"/>
      <c r="W403" s="1234"/>
      <c r="X403" s="1234"/>
      <c r="Y403" s="1234"/>
      <c r="Z403" s="1234"/>
    </row>
    <row r="404" spans="1:26" ht="14.5">
      <c r="A404" s="1234"/>
      <c r="B404" s="1234"/>
      <c r="C404" s="1234"/>
      <c r="D404" s="1234"/>
      <c r="E404" s="1234"/>
      <c r="F404" s="1234"/>
      <c r="G404" s="1234"/>
      <c r="H404" s="1234"/>
      <c r="I404" s="1234"/>
      <c r="J404" s="1234"/>
      <c r="K404" s="1234"/>
      <c r="L404" s="1234"/>
      <c r="M404" s="1234"/>
      <c r="N404" s="1234"/>
      <c r="O404" s="1234"/>
      <c r="P404" s="1234"/>
      <c r="Q404" s="1234"/>
      <c r="R404" s="1234"/>
      <c r="S404" s="1234"/>
      <c r="T404" s="1234"/>
      <c r="U404" s="1234"/>
      <c r="V404" s="1234"/>
      <c r="W404" s="1234"/>
      <c r="X404" s="1234"/>
      <c r="Y404" s="1234"/>
      <c r="Z404" s="1234"/>
    </row>
    <row r="405" spans="1:26" ht="14.5">
      <c r="A405" s="1234"/>
      <c r="B405" s="1234"/>
      <c r="C405" s="1234"/>
      <c r="D405" s="1234"/>
      <c r="E405" s="1234"/>
      <c r="F405" s="1234"/>
      <c r="G405" s="1234"/>
      <c r="H405" s="1234"/>
      <c r="I405" s="1234"/>
      <c r="J405" s="1234"/>
      <c r="K405" s="1234"/>
      <c r="L405" s="1234"/>
      <c r="M405" s="1234"/>
      <c r="N405" s="1234"/>
      <c r="O405" s="1234"/>
      <c r="P405" s="1234"/>
      <c r="Q405" s="1234"/>
      <c r="R405" s="1234"/>
      <c r="S405" s="1234"/>
      <c r="T405" s="1234"/>
      <c r="U405" s="1234"/>
      <c r="V405" s="1234"/>
      <c r="W405" s="1234"/>
      <c r="X405" s="1234"/>
      <c r="Y405" s="1234"/>
      <c r="Z405" s="1234"/>
    </row>
    <row r="406" spans="1:26" ht="14.5">
      <c r="A406" s="1234"/>
      <c r="B406" s="1234"/>
      <c r="C406" s="1234"/>
      <c r="D406" s="1234"/>
      <c r="E406" s="1234"/>
      <c r="F406" s="1234"/>
      <c r="G406" s="1234"/>
      <c r="H406" s="1234"/>
      <c r="I406" s="1234"/>
      <c r="J406" s="1234"/>
      <c r="K406" s="1234"/>
      <c r="L406" s="1234"/>
      <c r="M406" s="1234"/>
      <c r="N406" s="1234"/>
      <c r="O406" s="1234"/>
      <c r="P406" s="1234"/>
      <c r="Q406" s="1234"/>
      <c r="R406" s="1234"/>
      <c r="S406" s="1234"/>
      <c r="T406" s="1234"/>
      <c r="U406" s="1234"/>
      <c r="V406" s="1234"/>
      <c r="W406" s="1234"/>
      <c r="X406" s="1234"/>
      <c r="Y406" s="1234"/>
      <c r="Z406" s="1234"/>
    </row>
    <row r="407" spans="1:26" ht="14.5">
      <c r="A407" s="1234"/>
      <c r="B407" s="1234"/>
      <c r="C407" s="1234"/>
      <c r="D407" s="1234"/>
      <c r="E407" s="1234"/>
      <c r="F407" s="1234"/>
      <c r="G407" s="1234"/>
      <c r="H407" s="1234"/>
      <c r="I407" s="1234"/>
      <c r="J407" s="1234"/>
      <c r="K407" s="1234"/>
      <c r="L407" s="1234"/>
      <c r="M407" s="1234"/>
      <c r="N407" s="1234"/>
      <c r="O407" s="1234"/>
      <c r="P407" s="1234"/>
      <c r="Q407" s="1234"/>
      <c r="R407" s="1234"/>
      <c r="S407" s="1234"/>
      <c r="T407" s="1234"/>
      <c r="U407" s="1234"/>
      <c r="V407" s="1234"/>
      <c r="W407" s="1234"/>
      <c r="X407" s="1234"/>
      <c r="Y407" s="1234"/>
      <c r="Z407" s="1234"/>
    </row>
    <row r="408" spans="1:26" ht="14.5">
      <c r="A408" s="1234"/>
      <c r="B408" s="1234"/>
      <c r="C408" s="1234"/>
      <c r="D408" s="1234"/>
      <c r="E408" s="1234"/>
      <c r="F408" s="1234"/>
      <c r="G408" s="1234"/>
      <c r="H408" s="1234"/>
      <c r="I408" s="1234"/>
      <c r="J408" s="1234"/>
      <c r="K408" s="1234"/>
      <c r="L408" s="1234"/>
      <c r="M408" s="1234"/>
      <c r="N408" s="1234"/>
      <c r="O408" s="1234"/>
      <c r="P408" s="1234"/>
      <c r="Q408" s="1234"/>
      <c r="R408" s="1234"/>
      <c r="S408" s="1234"/>
      <c r="T408" s="1234"/>
      <c r="U408" s="1234"/>
      <c r="V408" s="1234"/>
      <c r="W408" s="1234"/>
      <c r="X408" s="1234"/>
      <c r="Y408" s="1234"/>
      <c r="Z408" s="1234"/>
    </row>
    <row r="409" spans="1:26" ht="14.5">
      <c r="A409" s="1234"/>
      <c r="B409" s="1234"/>
      <c r="C409" s="1234"/>
      <c r="D409" s="1234"/>
      <c r="E409" s="1234"/>
      <c r="F409" s="1234"/>
      <c r="G409" s="1234"/>
      <c r="H409" s="1234"/>
      <c r="I409" s="1234"/>
      <c r="J409" s="1234"/>
      <c r="K409" s="1234"/>
      <c r="L409" s="1234"/>
      <c r="M409" s="1234"/>
      <c r="N409" s="1234"/>
      <c r="O409" s="1234"/>
      <c r="P409" s="1234"/>
      <c r="Q409" s="1234"/>
      <c r="R409" s="1234"/>
      <c r="S409" s="1234"/>
      <c r="T409" s="1234"/>
      <c r="U409" s="1234"/>
      <c r="V409" s="1234"/>
      <c r="W409" s="1234"/>
      <c r="X409" s="1234"/>
      <c r="Y409" s="1234"/>
      <c r="Z409" s="1234"/>
    </row>
    <row r="410" spans="1:26" ht="14.5">
      <c r="A410" s="1234"/>
      <c r="B410" s="1234"/>
      <c r="C410" s="1234"/>
      <c r="D410" s="1234"/>
      <c r="E410" s="1234"/>
      <c r="F410" s="1234"/>
      <c r="G410" s="1234"/>
      <c r="H410" s="1234"/>
      <c r="I410" s="1234"/>
      <c r="J410" s="1234"/>
      <c r="K410" s="1234"/>
      <c r="L410" s="1234"/>
      <c r="M410" s="1234"/>
      <c r="N410" s="1234"/>
      <c r="O410" s="1234"/>
      <c r="P410" s="1234"/>
      <c r="Q410" s="1234"/>
      <c r="R410" s="1234"/>
      <c r="S410" s="1234"/>
      <c r="T410" s="1234"/>
      <c r="U410" s="1234"/>
      <c r="V410" s="1234"/>
      <c r="W410" s="1234"/>
      <c r="X410" s="1234"/>
      <c r="Y410" s="1234"/>
      <c r="Z410" s="1234"/>
    </row>
    <row r="411" spans="1:26" ht="14.5">
      <c r="A411" s="1234"/>
      <c r="B411" s="1234"/>
      <c r="C411" s="1234"/>
      <c r="D411" s="1234"/>
      <c r="E411" s="1234"/>
      <c r="F411" s="1234"/>
      <c r="G411" s="1234"/>
      <c r="H411" s="1234"/>
      <c r="I411" s="1234"/>
      <c r="J411" s="1234"/>
      <c r="K411" s="1234"/>
      <c r="L411" s="1234"/>
      <c r="M411" s="1234"/>
      <c r="N411" s="1234"/>
      <c r="O411" s="1234"/>
      <c r="P411" s="1234"/>
      <c r="Q411" s="1234"/>
      <c r="R411" s="1234"/>
      <c r="S411" s="1234"/>
      <c r="T411" s="1234"/>
      <c r="U411" s="1234"/>
      <c r="V411" s="1234"/>
      <c r="W411" s="1234"/>
      <c r="X411" s="1234"/>
      <c r="Y411" s="1234"/>
      <c r="Z411" s="1234"/>
    </row>
    <row r="412" spans="1:26" ht="14.5">
      <c r="A412" s="1234"/>
      <c r="B412" s="1234"/>
      <c r="C412" s="1234"/>
      <c r="D412" s="1234"/>
      <c r="E412" s="1234"/>
      <c r="F412" s="1234"/>
      <c r="G412" s="1234"/>
      <c r="H412" s="1234"/>
      <c r="I412" s="1234"/>
      <c r="J412" s="1234"/>
      <c r="K412" s="1234"/>
      <c r="L412" s="1234"/>
      <c r="M412" s="1234"/>
      <c r="N412" s="1234"/>
      <c r="O412" s="1234"/>
      <c r="P412" s="1234"/>
      <c r="Q412" s="1234"/>
      <c r="R412" s="1234"/>
      <c r="S412" s="1234"/>
      <c r="T412" s="1234"/>
      <c r="U412" s="1234"/>
      <c r="V412" s="1234"/>
      <c r="W412" s="1234"/>
      <c r="X412" s="1234"/>
      <c r="Y412" s="1234"/>
      <c r="Z412" s="1234"/>
    </row>
    <row r="413" spans="1:26" ht="14.5">
      <c r="A413" s="1234"/>
      <c r="B413" s="1234"/>
      <c r="C413" s="1234"/>
      <c r="D413" s="1234"/>
      <c r="E413" s="1234"/>
      <c r="F413" s="1234"/>
      <c r="G413" s="1234"/>
      <c r="H413" s="1234"/>
      <c r="I413" s="1234"/>
      <c r="J413" s="1234"/>
      <c r="K413" s="1234"/>
      <c r="L413" s="1234"/>
      <c r="M413" s="1234"/>
      <c r="N413" s="1234"/>
      <c r="O413" s="1234"/>
      <c r="P413" s="1234"/>
      <c r="Q413" s="1234"/>
      <c r="R413" s="1234"/>
      <c r="S413" s="1234"/>
      <c r="T413" s="1234"/>
      <c r="U413" s="1234"/>
      <c r="V413" s="1234"/>
      <c r="W413" s="1234"/>
      <c r="X413" s="1234"/>
      <c r="Y413" s="1234"/>
      <c r="Z413" s="1234"/>
    </row>
    <row r="414" spans="1:26" ht="14.5">
      <c r="A414" s="1234"/>
      <c r="B414" s="1234"/>
      <c r="C414" s="1234"/>
      <c r="D414" s="1234"/>
      <c r="E414" s="1234"/>
      <c r="F414" s="1234"/>
      <c r="G414" s="1234"/>
      <c r="H414" s="1234"/>
      <c r="I414" s="1234"/>
      <c r="J414" s="1234"/>
      <c r="K414" s="1234"/>
      <c r="L414" s="1234"/>
      <c r="M414" s="1234"/>
      <c r="N414" s="1234"/>
      <c r="O414" s="1234"/>
      <c r="P414" s="1234"/>
      <c r="Q414" s="1234"/>
      <c r="R414" s="1234"/>
      <c r="S414" s="1234"/>
      <c r="T414" s="1234"/>
      <c r="U414" s="1234"/>
      <c r="V414" s="1234"/>
      <c r="W414" s="1234"/>
      <c r="X414" s="1234"/>
      <c r="Y414" s="1234"/>
      <c r="Z414" s="1234"/>
    </row>
    <row r="415" spans="1:26" ht="14.5">
      <c r="A415" s="1234"/>
      <c r="B415" s="1234"/>
      <c r="C415" s="1234"/>
      <c r="D415" s="1234"/>
      <c r="E415" s="1234"/>
      <c r="F415" s="1234"/>
      <c r="G415" s="1234"/>
      <c r="H415" s="1234"/>
      <c r="I415" s="1234"/>
      <c r="J415" s="1234"/>
      <c r="K415" s="1234"/>
      <c r="L415" s="1234"/>
      <c r="M415" s="1234"/>
      <c r="N415" s="1234"/>
      <c r="O415" s="1234"/>
      <c r="P415" s="1234"/>
      <c r="Q415" s="1234"/>
      <c r="R415" s="1234"/>
      <c r="S415" s="1234"/>
      <c r="T415" s="1234"/>
      <c r="U415" s="1234"/>
      <c r="V415" s="1234"/>
      <c r="W415" s="1234"/>
      <c r="X415" s="1234"/>
      <c r="Y415" s="1234"/>
      <c r="Z415" s="1234"/>
    </row>
    <row r="416" spans="1:26" ht="14.5">
      <c r="A416" s="1234"/>
      <c r="B416" s="1234"/>
      <c r="C416" s="1234"/>
      <c r="D416" s="1234"/>
      <c r="E416" s="1234"/>
      <c r="F416" s="1234"/>
      <c r="G416" s="1234"/>
      <c r="H416" s="1234"/>
      <c r="I416" s="1234"/>
      <c r="J416" s="1234"/>
      <c r="K416" s="1234"/>
      <c r="L416" s="1234"/>
      <c r="M416" s="1234"/>
      <c r="N416" s="1234"/>
      <c r="O416" s="1234"/>
      <c r="P416" s="1234"/>
      <c r="Q416" s="1234"/>
      <c r="R416" s="1234"/>
      <c r="S416" s="1234"/>
      <c r="T416" s="1234"/>
      <c r="U416" s="1234"/>
      <c r="V416" s="1234"/>
      <c r="W416" s="1234"/>
      <c r="X416" s="1234"/>
      <c r="Y416" s="1234"/>
      <c r="Z416" s="1234"/>
    </row>
    <row r="417" spans="1:26" ht="14.5">
      <c r="A417" s="1234"/>
      <c r="B417" s="1234"/>
      <c r="C417" s="1234"/>
      <c r="D417" s="1234"/>
      <c r="E417" s="1234"/>
      <c r="F417" s="1234"/>
      <c r="G417" s="1234"/>
      <c r="H417" s="1234"/>
      <c r="I417" s="1234"/>
      <c r="J417" s="1234"/>
      <c r="K417" s="1234"/>
      <c r="L417" s="1234"/>
      <c r="M417" s="1234"/>
      <c r="N417" s="1234"/>
      <c r="O417" s="1234"/>
      <c r="P417" s="1234"/>
      <c r="Q417" s="1234"/>
      <c r="R417" s="1234"/>
      <c r="S417" s="1234"/>
      <c r="T417" s="1234"/>
      <c r="U417" s="1234"/>
      <c r="V417" s="1234"/>
      <c r="W417" s="1234"/>
      <c r="X417" s="1234"/>
      <c r="Y417" s="1234"/>
      <c r="Z417" s="1234"/>
    </row>
    <row r="418" spans="1:26" ht="14.5">
      <c r="A418" s="1234"/>
      <c r="B418" s="1234"/>
      <c r="C418" s="1234"/>
      <c r="D418" s="1234"/>
      <c r="E418" s="1234"/>
      <c r="F418" s="1234"/>
      <c r="G418" s="1234"/>
      <c r="H418" s="1234"/>
      <c r="I418" s="1234"/>
      <c r="J418" s="1234"/>
      <c r="K418" s="1234"/>
      <c r="L418" s="1234"/>
      <c r="M418" s="1234"/>
      <c r="N418" s="1234"/>
      <c r="O418" s="1234"/>
      <c r="P418" s="1234"/>
      <c r="Q418" s="1234"/>
      <c r="R418" s="1234"/>
      <c r="S418" s="1234"/>
      <c r="T418" s="1234"/>
      <c r="U418" s="1234"/>
      <c r="V418" s="1234"/>
      <c r="W418" s="1234"/>
      <c r="X418" s="1234"/>
      <c r="Y418" s="1234"/>
      <c r="Z418" s="1234"/>
    </row>
    <row r="419" spans="1:26" ht="14.5">
      <c r="A419" s="1234"/>
      <c r="B419" s="1234"/>
      <c r="C419" s="1234"/>
      <c r="D419" s="1234"/>
      <c r="E419" s="1234"/>
      <c r="F419" s="1234"/>
      <c r="G419" s="1234"/>
      <c r="H419" s="1234"/>
      <c r="I419" s="1234"/>
      <c r="J419" s="1234"/>
      <c r="K419" s="1234"/>
      <c r="L419" s="1234"/>
      <c r="M419" s="1234"/>
      <c r="N419" s="1234"/>
      <c r="O419" s="1234"/>
      <c r="P419" s="1234"/>
      <c r="Q419" s="1234"/>
      <c r="R419" s="1234"/>
      <c r="S419" s="1234"/>
      <c r="T419" s="1234"/>
      <c r="U419" s="1234"/>
      <c r="V419" s="1234"/>
      <c r="W419" s="1234"/>
      <c r="X419" s="1234"/>
      <c r="Y419" s="1234"/>
      <c r="Z419" s="1234"/>
    </row>
    <row r="420" spans="1:26" ht="14.5">
      <c r="A420" s="1234"/>
      <c r="B420" s="1234"/>
      <c r="C420" s="1234"/>
      <c r="D420" s="1234"/>
      <c r="E420" s="1234"/>
      <c r="F420" s="1234"/>
      <c r="G420" s="1234"/>
      <c r="H420" s="1234"/>
      <c r="I420" s="1234"/>
      <c r="J420" s="1234"/>
      <c r="K420" s="1234"/>
      <c r="L420" s="1234"/>
      <c r="M420" s="1234"/>
      <c r="N420" s="1234"/>
      <c r="O420" s="1234"/>
      <c r="P420" s="1234"/>
      <c r="Q420" s="1234"/>
      <c r="R420" s="1234"/>
      <c r="S420" s="1234"/>
      <c r="T420" s="1234"/>
      <c r="U420" s="1234"/>
      <c r="V420" s="1234"/>
      <c r="W420" s="1234"/>
      <c r="X420" s="1234"/>
      <c r="Y420" s="1234"/>
      <c r="Z420" s="1234"/>
    </row>
    <row r="421" spans="1:26" ht="14.5">
      <c r="A421" s="1234"/>
      <c r="B421" s="1234"/>
      <c r="C421" s="1234"/>
      <c r="D421" s="1234"/>
      <c r="E421" s="1234"/>
      <c r="F421" s="1234"/>
      <c r="G421" s="1234"/>
      <c r="H421" s="1234"/>
      <c r="I421" s="1234"/>
      <c r="J421" s="1234"/>
      <c r="K421" s="1234"/>
      <c r="L421" s="1234"/>
      <c r="M421" s="1234"/>
      <c r="N421" s="1234"/>
      <c r="O421" s="1234"/>
      <c r="P421" s="1234"/>
      <c r="Q421" s="1234"/>
      <c r="R421" s="1234"/>
      <c r="S421" s="1234"/>
      <c r="T421" s="1234"/>
      <c r="U421" s="1234"/>
      <c r="V421" s="1234"/>
      <c r="W421" s="1234"/>
      <c r="X421" s="1234"/>
      <c r="Y421" s="1234"/>
      <c r="Z421" s="1234"/>
    </row>
    <row r="422" spans="1:26" ht="14.5">
      <c r="A422" s="1234"/>
      <c r="B422" s="1234"/>
      <c r="C422" s="1234"/>
      <c r="D422" s="1234"/>
      <c r="E422" s="1234"/>
      <c r="F422" s="1234"/>
      <c r="G422" s="1234"/>
      <c r="H422" s="1234"/>
      <c r="I422" s="1234"/>
      <c r="J422" s="1234"/>
      <c r="K422" s="1234"/>
      <c r="L422" s="1234"/>
      <c r="M422" s="1234"/>
      <c r="N422" s="1234"/>
      <c r="O422" s="1234"/>
      <c r="P422" s="1234"/>
      <c r="Q422" s="1234"/>
      <c r="R422" s="1234"/>
      <c r="S422" s="1234"/>
      <c r="T422" s="1234"/>
      <c r="U422" s="1234"/>
      <c r="V422" s="1234"/>
      <c r="W422" s="1234"/>
      <c r="X422" s="1234"/>
      <c r="Y422" s="1234"/>
      <c r="Z422" s="1234"/>
    </row>
    <row r="423" spans="1:26" ht="14.5">
      <c r="A423" s="1234"/>
      <c r="B423" s="1234"/>
      <c r="C423" s="1234"/>
      <c r="D423" s="1234"/>
      <c r="E423" s="1234"/>
      <c r="F423" s="1234"/>
      <c r="G423" s="1234"/>
      <c r="H423" s="1234"/>
      <c r="I423" s="1234"/>
      <c r="J423" s="1234"/>
      <c r="K423" s="1234"/>
      <c r="L423" s="1234"/>
      <c r="M423" s="1234"/>
      <c r="N423" s="1234"/>
      <c r="O423" s="1234"/>
      <c r="P423" s="1234"/>
      <c r="Q423" s="1234"/>
      <c r="R423" s="1234"/>
      <c r="S423" s="1234"/>
      <c r="T423" s="1234"/>
      <c r="U423" s="1234"/>
      <c r="V423" s="1234"/>
      <c r="W423" s="1234"/>
      <c r="X423" s="1234"/>
      <c r="Y423" s="1234"/>
      <c r="Z423" s="1234"/>
    </row>
    <row r="424" spans="1:26" ht="14.5">
      <c r="A424" s="1234"/>
      <c r="B424" s="1234"/>
      <c r="C424" s="1234"/>
      <c r="D424" s="1234"/>
      <c r="E424" s="1234"/>
      <c r="F424" s="1234"/>
      <c r="G424" s="1234"/>
      <c r="H424" s="1234"/>
      <c r="I424" s="1234"/>
      <c r="J424" s="1234"/>
      <c r="K424" s="1234"/>
      <c r="L424" s="1234"/>
      <c r="M424" s="1234"/>
      <c r="N424" s="1234"/>
      <c r="O424" s="1234"/>
      <c r="P424" s="1234"/>
      <c r="Q424" s="1234"/>
      <c r="R424" s="1234"/>
      <c r="S424" s="1234"/>
      <c r="T424" s="1234"/>
      <c r="U424" s="1234"/>
      <c r="V424" s="1234"/>
      <c r="W424" s="1234"/>
      <c r="X424" s="1234"/>
      <c r="Y424" s="1234"/>
      <c r="Z424" s="1234"/>
    </row>
    <row r="425" spans="1:26" ht="14.5">
      <c r="A425" s="1234"/>
      <c r="B425" s="1234"/>
      <c r="C425" s="1234"/>
      <c r="D425" s="1234"/>
      <c r="E425" s="1234"/>
      <c r="F425" s="1234"/>
      <c r="G425" s="1234"/>
      <c r="H425" s="1234"/>
      <c r="I425" s="1234"/>
      <c r="J425" s="1234"/>
      <c r="K425" s="1234"/>
      <c r="L425" s="1234"/>
      <c r="M425" s="1234"/>
      <c r="N425" s="1234"/>
      <c r="O425" s="1234"/>
      <c r="P425" s="1234"/>
      <c r="Q425" s="1234"/>
      <c r="R425" s="1234"/>
      <c r="S425" s="1234"/>
      <c r="T425" s="1234"/>
      <c r="U425" s="1234"/>
      <c r="V425" s="1234"/>
      <c r="W425" s="1234"/>
      <c r="X425" s="1234"/>
      <c r="Y425" s="1234"/>
      <c r="Z425" s="1234"/>
    </row>
    <row r="426" spans="1:26" ht="14.5">
      <c r="A426" s="1234"/>
      <c r="B426" s="1234"/>
      <c r="C426" s="1234"/>
      <c r="D426" s="1234"/>
      <c r="E426" s="1234"/>
      <c r="F426" s="1234"/>
      <c r="G426" s="1234"/>
      <c r="H426" s="1234"/>
      <c r="I426" s="1234"/>
      <c r="J426" s="1234"/>
      <c r="K426" s="1234"/>
      <c r="L426" s="1234"/>
      <c r="M426" s="1234"/>
      <c r="N426" s="1234"/>
      <c r="O426" s="1234"/>
      <c r="P426" s="1234"/>
      <c r="Q426" s="1234"/>
      <c r="R426" s="1234"/>
      <c r="S426" s="1234"/>
      <c r="T426" s="1234"/>
      <c r="U426" s="1234"/>
      <c r="V426" s="1234"/>
      <c r="W426" s="1234"/>
      <c r="X426" s="1234"/>
      <c r="Y426" s="1234"/>
      <c r="Z426" s="1234"/>
    </row>
    <row r="427" spans="1:26" ht="14.5">
      <c r="A427" s="1234"/>
      <c r="B427" s="1234"/>
      <c r="C427" s="1234"/>
      <c r="D427" s="1234"/>
      <c r="E427" s="1234"/>
      <c r="F427" s="1234"/>
      <c r="G427" s="1234"/>
      <c r="H427" s="1234"/>
      <c r="I427" s="1234"/>
      <c r="J427" s="1234"/>
      <c r="K427" s="1234"/>
      <c r="L427" s="1234"/>
      <c r="M427" s="1234"/>
      <c r="N427" s="1234"/>
      <c r="O427" s="1234"/>
      <c r="P427" s="1234"/>
      <c r="Q427" s="1234"/>
      <c r="R427" s="1234"/>
      <c r="S427" s="1234"/>
      <c r="T427" s="1234"/>
      <c r="U427" s="1234"/>
      <c r="V427" s="1234"/>
      <c r="W427" s="1234"/>
      <c r="X427" s="1234"/>
      <c r="Y427" s="1234"/>
      <c r="Z427" s="1234"/>
    </row>
    <row r="428" spans="1:26" ht="14.5">
      <c r="A428" s="1234"/>
      <c r="B428" s="1234"/>
      <c r="C428" s="1234"/>
      <c r="D428" s="1234"/>
      <c r="E428" s="1234"/>
      <c r="F428" s="1234"/>
      <c r="G428" s="1234"/>
      <c r="H428" s="1234"/>
      <c r="I428" s="1234"/>
      <c r="J428" s="1234"/>
      <c r="K428" s="1234"/>
      <c r="L428" s="1234"/>
      <c r="M428" s="1234"/>
      <c r="N428" s="1234"/>
      <c r="O428" s="1234"/>
      <c r="P428" s="1234"/>
      <c r="Q428" s="1234"/>
      <c r="R428" s="1234"/>
      <c r="S428" s="1234"/>
      <c r="T428" s="1234"/>
      <c r="U428" s="1234"/>
      <c r="V428" s="1234"/>
      <c r="W428" s="1234"/>
      <c r="X428" s="1234"/>
      <c r="Y428" s="1234"/>
      <c r="Z428" s="1234"/>
    </row>
    <row r="429" spans="1:26" ht="14.5">
      <c r="A429" s="1234"/>
      <c r="B429" s="1234"/>
      <c r="C429" s="1234"/>
      <c r="D429" s="1234"/>
      <c r="E429" s="1234"/>
      <c r="F429" s="1234"/>
      <c r="G429" s="1234"/>
      <c r="H429" s="1234"/>
      <c r="I429" s="1234"/>
      <c r="J429" s="1234"/>
      <c r="K429" s="1234"/>
      <c r="L429" s="1234"/>
      <c r="M429" s="1234"/>
      <c r="N429" s="1234"/>
      <c r="O429" s="1234"/>
      <c r="P429" s="1234"/>
      <c r="Q429" s="1234"/>
      <c r="R429" s="1234"/>
      <c r="S429" s="1234"/>
      <c r="T429" s="1234"/>
      <c r="U429" s="1234"/>
      <c r="V429" s="1234"/>
      <c r="W429" s="1234"/>
      <c r="X429" s="1234"/>
      <c r="Y429" s="1234"/>
      <c r="Z429" s="1234"/>
    </row>
    <row r="430" spans="1:26" ht="14.5">
      <c r="A430" s="1234"/>
      <c r="B430" s="1234"/>
      <c r="C430" s="1234"/>
      <c r="D430" s="1234"/>
      <c r="E430" s="1234"/>
      <c r="F430" s="1234"/>
      <c r="G430" s="1234"/>
      <c r="H430" s="1234"/>
      <c r="I430" s="1234"/>
      <c r="J430" s="1234"/>
      <c r="K430" s="1234"/>
      <c r="L430" s="1234"/>
      <c r="M430" s="1234"/>
      <c r="N430" s="1234"/>
      <c r="O430" s="1234"/>
      <c r="P430" s="1234"/>
      <c r="Q430" s="1234"/>
      <c r="R430" s="1234"/>
      <c r="S430" s="1234"/>
      <c r="T430" s="1234"/>
      <c r="U430" s="1234"/>
      <c r="V430" s="1234"/>
      <c r="W430" s="1234"/>
      <c r="X430" s="1234"/>
      <c r="Y430" s="1234"/>
      <c r="Z430" s="1234"/>
    </row>
    <row r="431" spans="1:26" ht="14.5">
      <c r="A431" s="1234"/>
      <c r="B431" s="1234"/>
      <c r="C431" s="1234"/>
      <c r="D431" s="1234"/>
      <c r="E431" s="1234"/>
      <c r="F431" s="1234"/>
      <c r="G431" s="1234"/>
      <c r="H431" s="1234"/>
      <c r="I431" s="1234"/>
      <c r="J431" s="1234"/>
      <c r="K431" s="1234"/>
      <c r="L431" s="1234"/>
      <c r="M431" s="1234"/>
      <c r="N431" s="1234"/>
      <c r="O431" s="1234"/>
      <c r="P431" s="1234"/>
      <c r="Q431" s="1234"/>
      <c r="R431" s="1234"/>
      <c r="S431" s="1234"/>
      <c r="T431" s="1234"/>
      <c r="U431" s="1234"/>
      <c r="V431" s="1234"/>
      <c r="W431" s="1234"/>
      <c r="X431" s="1234"/>
      <c r="Y431" s="1234"/>
      <c r="Z431" s="1234"/>
    </row>
    <row r="432" spans="1:26" ht="14.5">
      <c r="A432" s="1234"/>
      <c r="B432" s="1234"/>
      <c r="C432" s="1234"/>
      <c r="D432" s="1234"/>
      <c r="E432" s="1234"/>
      <c r="F432" s="1234"/>
      <c r="G432" s="1234"/>
      <c r="H432" s="1234"/>
      <c r="I432" s="1234"/>
      <c r="J432" s="1234"/>
      <c r="K432" s="1234"/>
      <c r="L432" s="1234"/>
      <c r="M432" s="1234"/>
      <c r="N432" s="1234"/>
      <c r="O432" s="1234"/>
      <c r="P432" s="1234"/>
      <c r="Q432" s="1234"/>
      <c r="R432" s="1234"/>
      <c r="S432" s="1234"/>
      <c r="T432" s="1234"/>
      <c r="U432" s="1234"/>
      <c r="V432" s="1234"/>
      <c r="W432" s="1234"/>
      <c r="X432" s="1234"/>
      <c r="Y432" s="1234"/>
      <c r="Z432" s="1234"/>
    </row>
    <row r="433" spans="1:26" ht="14.5">
      <c r="A433" s="1234"/>
      <c r="B433" s="1234"/>
      <c r="C433" s="1234"/>
      <c r="D433" s="1234"/>
      <c r="E433" s="1234"/>
      <c r="F433" s="1234"/>
      <c r="G433" s="1234"/>
      <c r="H433" s="1234"/>
      <c r="I433" s="1234"/>
      <c r="J433" s="1234"/>
      <c r="K433" s="1234"/>
      <c r="L433" s="1234"/>
      <c r="M433" s="1234"/>
      <c r="N433" s="1234"/>
      <c r="O433" s="1234"/>
      <c r="P433" s="1234"/>
      <c r="Q433" s="1234"/>
      <c r="R433" s="1234"/>
      <c r="S433" s="1234"/>
      <c r="T433" s="1234"/>
      <c r="U433" s="1234"/>
      <c r="V433" s="1234"/>
      <c r="W433" s="1234"/>
      <c r="X433" s="1234"/>
      <c r="Y433" s="1234"/>
      <c r="Z433" s="1234"/>
    </row>
    <row r="434" spans="1:26" ht="14.5">
      <c r="A434" s="1234"/>
      <c r="B434" s="1234"/>
      <c r="C434" s="1234"/>
      <c r="D434" s="1234"/>
      <c r="E434" s="1234"/>
      <c r="F434" s="1234"/>
      <c r="G434" s="1234"/>
      <c r="H434" s="1234"/>
      <c r="I434" s="1234"/>
      <c r="J434" s="1234"/>
      <c r="K434" s="1234"/>
      <c r="L434" s="1234"/>
      <c r="M434" s="1234"/>
      <c r="N434" s="1234"/>
      <c r="O434" s="1234"/>
      <c r="P434" s="1234"/>
      <c r="Q434" s="1234"/>
      <c r="R434" s="1234"/>
      <c r="S434" s="1234"/>
      <c r="T434" s="1234"/>
      <c r="U434" s="1234"/>
      <c r="V434" s="1234"/>
      <c r="W434" s="1234"/>
      <c r="X434" s="1234"/>
      <c r="Y434" s="1234"/>
      <c r="Z434" s="1234"/>
    </row>
    <row r="435" spans="1:26" ht="14.5">
      <c r="A435" s="1234"/>
      <c r="B435" s="1234"/>
      <c r="C435" s="1234"/>
      <c r="D435" s="1234"/>
      <c r="E435" s="1234"/>
      <c r="F435" s="1234"/>
      <c r="G435" s="1234"/>
      <c r="H435" s="1234"/>
      <c r="I435" s="1234"/>
      <c r="J435" s="1234"/>
      <c r="K435" s="1234"/>
      <c r="L435" s="1234"/>
      <c r="M435" s="1234"/>
      <c r="N435" s="1234"/>
      <c r="O435" s="1234"/>
      <c r="P435" s="1234"/>
      <c r="Q435" s="1234"/>
      <c r="R435" s="1234"/>
      <c r="S435" s="1234"/>
      <c r="T435" s="1234"/>
      <c r="U435" s="1234"/>
      <c r="V435" s="1234"/>
      <c r="W435" s="1234"/>
      <c r="X435" s="1234"/>
      <c r="Y435" s="1234"/>
      <c r="Z435" s="1234"/>
    </row>
    <row r="436" spans="1:26" ht="14.5">
      <c r="A436" s="1234"/>
      <c r="B436" s="1234"/>
      <c r="C436" s="1234"/>
      <c r="D436" s="1234"/>
      <c r="E436" s="1234"/>
      <c r="F436" s="1234"/>
      <c r="G436" s="1234"/>
      <c r="H436" s="1234"/>
      <c r="I436" s="1234"/>
      <c r="J436" s="1234"/>
      <c r="K436" s="1234"/>
      <c r="L436" s="1234"/>
      <c r="M436" s="1234"/>
      <c r="N436" s="1234"/>
      <c r="O436" s="1234"/>
      <c r="P436" s="1234"/>
      <c r="Q436" s="1234"/>
      <c r="R436" s="1234"/>
      <c r="S436" s="1234"/>
      <c r="T436" s="1234"/>
      <c r="U436" s="1234"/>
      <c r="V436" s="1234"/>
      <c r="W436" s="1234"/>
      <c r="X436" s="1234"/>
      <c r="Y436" s="1234"/>
      <c r="Z436" s="1234"/>
    </row>
    <row r="437" spans="1:26" ht="14.5">
      <c r="A437" s="1234"/>
      <c r="B437" s="1234"/>
      <c r="C437" s="1234"/>
      <c r="D437" s="1234"/>
      <c r="E437" s="1234"/>
      <c r="F437" s="1234"/>
      <c r="G437" s="1234"/>
      <c r="H437" s="1234"/>
      <c r="I437" s="1234"/>
      <c r="J437" s="1234"/>
      <c r="K437" s="1234"/>
      <c r="L437" s="1234"/>
      <c r="M437" s="1234"/>
      <c r="N437" s="1234"/>
      <c r="O437" s="1234"/>
      <c r="P437" s="1234"/>
      <c r="Q437" s="1234"/>
      <c r="R437" s="1234"/>
      <c r="S437" s="1234"/>
      <c r="T437" s="1234"/>
      <c r="U437" s="1234"/>
      <c r="V437" s="1234"/>
      <c r="W437" s="1234"/>
      <c r="X437" s="1234"/>
      <c r="Y437" s="1234"/>
      <c r="Z437" s="1234"/>
    </row>
    <row r="438" spans="1:26" ht="14.5">
      <c r="A438" s="1234"/>
      <c r="B438" s="1234"/>
      <c r="C438" s="1234"/>
      <c r="D438" s="1234"/>
      <c r="E438" s="1234"/>
      <c r="F438" s="1234"/>
      <c r="G438" s="1234"/>
      <c r="H438" s="1234"/>
      <c r="I438" s="1234"/>
      <c r="J438" s="1234"/>
      <c r="K438" s="1234"/>
      <c r="L438" s="1234"/>
      <c r="M438" s="1234"/>
      <c r="N438" s="1234"/>
      <c r="O438" s="1234"/>
      <c r="P438" s="1234"/>
      <c r="Q438" s="1234"/>
      <c r="R438" s="1234"/>
      <c r="S438" s="1234"/>
      <c r="T438" s="1234"/>
      <c r="U438" s="1234"/>
      <c r="V438" s="1234"/>
      <c r="W438" s="1234"/>
      <c r="X438" s="1234"/>
      <c r="Y438" s="1234"/>
      <c r="Z438" s="1234"/>
    </row>
    <row r="439" spans="1:26" ht="14.5">
      <c r="A439" s="1234"/>
      <c r="B439" s="1234"/>
      <c r="C439" s="1234"/>
      <c r="D439" s="1234"/>
      <c r="E439" s="1234"/>
      <c r="F439" s="1234"/>
      <c r="G439" s="1234"/>
      <c r="H439" s="1234"/>
      <c r="I439" s="1234"/>
      <c r="J439" s="1234"/>
      <c r="K439" s="1234"/>
      <c r="L439" s="1234"/>
      <c r="M439" s="1234"/>
      <c r="N439" s="1234"/>
      <c r="O439" s="1234"/>
      <c r="P439" s="1234"/>
      <c r="Q439" s="1234"/>
      <c r="R439" s="1234"/>
      <c r="S439" s="1234"/>
      <c r="T439" s="1234"/>
      <c r="U439" s="1234"/>
      <c r="V439" s="1234"/>
      <c r="W439" s="1234"/>
      <c r="X439" s="1234"/>
      <c r="Y439" s="1234"/>
      <c r="Z439" s="1234"/>
    </row>
    <row r="440" spans="1:26" ht="14.5">
      <c r="A440" s="1234"/>
      <c r="B440" s="1234"/>
      <c r="C440" s="1234"/>
      <c r="D440" s="1234"/>
      <c r="E440" s="1234"/>
      <c r="F440" s="1234"/>
      <c r="G440" s="1234"/>
      <c r="H440" s="1234"/>
      <c r="I440" s="1234"/>
      <c r="J440" s="1234"/>
      <c r="K440" s="1234"/>
      <c r="L440" s="1234"/>
      <c r="M440" s="1234"/>
      <c r="N440" s="1234"/>
      <c r="O440" s="1234"/>
      <c r="P440" s="1234"/>
      <c r="Q440" s="1234"/>
      <c r="R440" s="1234"/>
      <c r="S440" s="1234"/>
      <c r="T440" s="1234"/>
      <c r="U440" s="1234"/>
      <c r="V440" s="1234"/>
      <c r="W440" s="1234"/>
      <c r="X440" s="1234"/>
      <c r="Y440" s="1234"/>
      <c r="Z440" s="1234"/>
    </row>
    <row r="441" spans="1:26" ht="14.5">
      <c r="A441" s="1234"/>
      <c r="B441" s="1234"/>
      <c r="C441" s="1234"/>
      <c r="D441" s="1234"/>
      <c r="E441" s="1234"/>
      <c r="F441" s="1234"/>
      <c r="G441" s="1234"/>
      <c r="H441" s="1234"/>
      <c r="I441" s="1234"/>
      <c r="J441" s="1234"/>
      <c r="K441" s="1234"/>
      <c r="L441" s="1234"/>
      <c r="M441" s="1234"/>
      <c r="N441" s="1234"/>
      <c r="O441" s="1234"/>
      <c r="P441" s="1234"/>
      <c r="Q441" s="1234"/>
      <c r="R441" s="1234"/>
      <c r="S441" s="1234"/>
      <c r="T441" s="1234"/>
      <c r="U441" s="1234"/>
      <c r="V441" s="1234"/>
      <c r="W441" s="1234"/>
      <c r="X441" s="1234"/>
      <c r="Y441" s="1234"/>
      <c r="Z441" s="1234"/>
    </row>
    <row r="442" spans="1:26" ht="14.5">
      <c r="A442" s="1234"/>
      <c r="B442" s="1234"/>
      <c r="C442" s="1234"/>
      <c r="D442" s="1234"/>
      <c r="E442" s="1234"/>
      <c r="F442" s="1234"/>
      <c r="G442" s="1234"/>
      <c r="H442" s="1234"/>
      <c r="I442" s="1234"/>
      <c r="J442" s="1234"/>
      <c r="K442" s="1234"/>
      <c r="L442" s="1234"/>
      <c r="M442" s="1234"/>
      <c r="N442" s="1234"/>
      <c r="O442" s="1234"/>
      <c r="P442" s="1234"/>
      <c r="Q442" s="1234"/>
      <c r="R442" s="1234"/>
      <c r="S442" s="1234"/>
      <c r="T442" s="1234"/>
      <c r="U442" s="1234"/>
      <c r="V442" s="1234"/>
      <c r="W442" s="1234"/>
      <c r="X442" s="1234"/>
      <c r="Y442" s="1234"/>
      <c r="Z442" s="1234"/>
    </row>
    <row r="443" spans="1:26" ht="14.5">
      <c r="A443" s="1234"/>
      <c r="B443" s="1234"/>
      <c r="C443" s="1234"/>
      <c r="D443" s="1234"/>
      <c r="E443" s="1234"/>
      <c r="F443" s="1234"/>
      <c r="G443" s="1234"/>
      <c r="H443" s="1234"/>
      <c r="I443" s="1234"/>
      <c r="J443" s="1234"/>
      <c r="K443" s="1234"/>
      <c r="L443" s="1234"/>
      <c r="M443" s="1234"/>
      <c r="N443" s="1234"/>
      <c r="O443" s="1234"/>
      <c r="P443" s="1234"/>
      <c r="Q443" s="1234"/>
      <c r="R443" s="1234"/>
      <c r="S443" s="1234"/>
      <c r="T443" s="1234"/>
      <c r="U443" s="1234"/>
      <c r="V443" s="1234"/>
      <c r="W443" s="1234"/>
      <c r="X443" s="1234"/>
      <c r="Y443" s="1234"/>
      <c r="Z443" s="1234"/>
    </row>
    <row r="444" spans="1:26" ht="14.5">
      <c r="A444" s="1234"/>
      <c r="B444" s="1234"/>
      <c r="C444" s="1234"/>
      <c r="D444" s="1234"/>
      <c r="E444" s="1234"/>
      <c r="F444" s="1234"/>
      <c r="G444" s="1234"/>
      <c r="H444" s="1234"/>
      <c r="I444" s="1234"/>
      <c r="J444" s="1234"/>
      <c r="K444" s="1234"/>
      <c r="L444" s="1234"/>
      <c r="M444" s="1234"/>
      <c r="N444" s="1234"/>
      <c r="O444" s="1234"/>
      <c r="P444" s="1234"/>
      <c r="Q444" s="1234"/>
      <c r="R444" s="1234"/>
      <c r="S444" s="1234"/>
      <c r="T444" s="1234"/>
      <c r="U444" s="1234"/>
      <c r="V444" s="1234"/>
      <c r="W444" s="1234"/>
      <c r="X444" s="1234"/>
      <c r="Y444" s="1234"/>
      <c r="Z444" s="1234"/>
    </row>
    <row r="445" spans="1:26" ht="14.5">
      <c r="A445" s="1234"/>
      <c r="B445" s="1234"/>
      <c r="C445" s="1234"/>
      <c r="D445" s="1234"/>
      <c r="E445" s="1234"/>
      <c r="F445" s="1234"/>
      <c r="G445" s="1234"/>
      <c r="H445" s="1234"/>
      <c r="I445" s="1234"/>
      <c r="J445" s="1234"/>
      <c r="K445" s="1234"/>
      <c r="L445" s="1234"/>
      <c r="M445" s="1234"/>
      <c r="N445" s="1234"/>
      <c r="O445" s="1234"/>
      <c r="P445" s="1234"/>
      <c r="Q445" s="1234"/>
      <c r="R445" s="1234"/>
      <c r="S445" s="1234"/>
      <c r="T445" s="1234"/>
      <c r="U445" s="1234"/>
      <c r="V445" s="1234"/>
      <c r="W445" s="1234"/>
      <c r="X445" s="1234"/>
      <c r="Y445" s="1234"/>
      <c r="Z445" s="1234"/>
    </row>
    <row r="446" spans="1:26" ht="14.5">
      <c r="A446" s="1234"/>
      <c r="B446" s="1234"/>
      <c r="C446" s="1234"/>
      <c r="D446" s="1234"/>
      <c r="E446" s="1234"/>
      <c r="F446" s="1234"/>
      <c r="G446" s="1234"/>
      <c r="H446" s="1234"/>
      <c r="I446" s="1234"/>
      <c r="J446" s="1234"/>
      <c r="K446" s="1234"/>
      <c r="L446" s="1234"/>
      <c r="M446" s="1234"/>
      <c r="N446" s="1234"/>
      <c r="O446" s="1234"/>
      <c r="P446" s="1234"/>
      <c r="Q446" s="1234"/>
      <c r="R446" s="1234"/>
      <c r="S446" s="1234"/>
      <c r="T446" s="1234"/>
      <c r="U446" s="1234"/>
      <c r="V446" s="1234"/>
      <c r="W446" s="1234"/>
      <c r="X446" s="1234"/>
      <c r="Y446" s="1234"/>
      <c r="Z446" s="1234"/>
    </row>
    <row r="447" spans="1:26" ht="14.5">
      <c r="A447" s="1234"/>
      <c r="B447" s="1234"/>
      <c r="C447" s="1234"/>
      <c r="D447" s="1234"/>
      <c r="E447" s="1234"/>
      <c r="F447" s="1234"/>
      <c r="G447" s="1234"/>
      <c r="H447" s="1234"/>
      <c r="I447" s="1234"/>
      <c r="J447" s="1234"/>
      <c r="K447" s="1234"/>
      <c r="L447" s="1234"/>
      <c r="M447" s="1234"/>
      <c r="N447" s="1234"/>
      <c r="O447" s="1234"/>
      <c r="P447" s="1234"/>
      <c r="Q447" s="1234"/>
      <c r="R447" s="1234"/>
      <c r="S447" s="1234"/>
      <c r="T447" s="1234"/>
      <c r="U447" s="1234"/>
      <c r="V447" s="1234"/>
      <c r="W447" s="1234"/>
      <c r="X447" s="1234"/>
      <c r="Y447" s="1234"/>
      <c r="Z447" s="1234"/>
    </row>
    <row r="448" spans="1:26" ht="14.5">
      <c r="A448" s="1234"/>
      <c r="B448" s="1234"/>
      <c r="C448" s="1234"/>
      <c r="D448" s="1234"/>
      <c r="E448" s="1234"/>
      <c r="F448" s="1234"/>
      <c r="G448" s="1234"/>
      <c r="H448" s="1234"/>
      <c r="I448" s="1234"/>
      <c r="J448" s="1234"/>
      <c r="K448" s="1234"/>
      <c r="L448" s="1234"/>
      <c r="M448" s="1234"/>
      <c r="N448" s="1234"/>
      <c r="O448" s="1234"/>
      <c r="P448" s="1234"/>
      <c r="Q448" s="1234"/>
      <c r="R448" s="1234"/>
      <c r="S448" s="1234"/>
      <c r="T448" s="1234"/>
      <c r="U448" s="1234"/>
      <c r="V448" s="1234"/>
      <c r="W448" s="1234"/>
      <c r="X448" s="1234"/>
      <c r="Y448" s="1234"/>
      <c r="Z448" s="1234"/>
    </row>
    <row r="449" spans="1:26" ht="14.5">
      <c r="A449" s="1234"/>
      <c r="B449" s="1234"/>
      <c r="C449" s="1234"/>
      <c r="D449" s="1234"/>
      <c r="E449" s="1234"/>
      <c r="F449" s="1234"/>
      <c r="G449" s="1234"/>
      <c r="H449" s="1234"/>
      <c r="I449" s="1234"/>
      <c r="J449" s="1234"/>
      <c r="K449" s="1234"/>
      <c r="L449" s="1234"/>
      <c r="M449" s="1234"/>
      <c r="N449" s="1234"/>
      <c r="O449" s="1234"/>
      <c r="P449" s="1234"/>
      <c r="Q449" s="1234"/>
      <c r="R449" s="1234"/>
      <c r="S449" s="1234"/>
      <c r="T449" s="1234"/>
      <c r="U449" s="1234"/>
      <c r="V449" s="1234"/>
      <c r="W449" s="1234"/>
      <c r="X449" s="1234"/>
      <c r="Y449" s="1234"/>
      <c r="Z449" s="1234"/>
    </row>
    <row r="450" spans="1:26" ht="14.5">
      <c r="A450" s="1234"/>
      <c r="B450" s="1234"/>
      <c r="C450" s="1234"/>
      <c r="D450" s="1234"/>
      <c r="E450" s="1234"/>
      <c r="F450" s="1234"/>
      <c r="G450" s="1234"/>
      <c r="H450" s="1234"/>
      <c r="I450" s="1234"/>
      <c r="J450" s="1234"/>
      <c r="K450" s="1234"/>
      <c r="L450" s="1234"/>
      <c r="M450" s="1234"/>
      <c r="N450" s="1234"/>
      <c r="O450" s="1234"/>
      <c r="P450" s="1234"/>
      <c r="Q450" s="1234"/>
      <c r="R450" s="1234"/>
      <c r="S450" s="1234"/>
      <c r="T450" s="1234"/>
      <c r="U450" s="1234"/>
      <c r="V450" s="1234"/>
      <c r="W450" s="1234"/>
      <c r="X450" s="1234"/>
      <c r="Y450" s="1234"/>
      <c r="Z450" s="1234"/>
    </row>
    <row r="451" spans="1:26" ht="14.5">
      <c r="A451" s="1234"/>
      <c r="B451" s="1234"/>
      <c r="C451" s="1234"/>
      <c r="D451" s="1234"/>
      <c r="E451" s="1234"/>
      <c r="F451" s="1234"/>
      <c r="G451" s="1234"/>
      <c r="H451" s="1234"/>
      <c r="I451" s="1234"/>
      <c r="J451" s="1234"/>
      <c r="K451" s="1234"/>
      <c r="L451" s="1234"/>
      <c r="M451" s="1234"/>
      <c r="N451" s="1234"/>
      <c r="O451" s="1234"/>
      <c r="P451" s="1234"/>
      <c r="Q451" s="1234"/>
      <c r="R451" s="1234"/>
      <c r="S451" s="1234"/>
      <c r="T451" s="1234"/>
      <c r="U451" s="1234"/>
      <c r="V451" s="1234"/>
      <c r="W451" s="1234"/>
      <c r="X451" s="1234"/>
      <c r="Y451" s="1234"/>
      <c r="Z451" s="1234"/>
    </row>
    <row r="452" spans="1:26" ht="14.5">
      <c r="A452" s="1234"/>
      <c r="B452" s="1234"/>
      <c r="C452" s="1234"/>
      <c r="D452" s="1234"/>
      <c r="E452" s="1234"/>
      <c r="F452" s="1234"/>
      <c r="G452" s="1234"/>
      <c r="H452" s="1234"/>
      <c r="I452" s="1234"/>
      <c r="J452" s="1234"/>
      <c r="K452" s="1234"/>
      <c r="L452" s="1234"/>
      <c r="M452" s="1234"/>
      <c r="N452" s="1234"/>
      <c r="O452" s="1234"/>
      <c r="P452" s="1234"/>
      <c r="Q452" s="1234"/>
      <c r="R452" s="1234"/>
      <c r="S452" s="1234"/>
      <c r="T452" s="1234"/>
      <c r="U452" s="1234"/>
      <c r="V452" s="1234"/>
      <c r="W452" s="1234"/>
      <c r="X452" s="1234"/>
      <c r="Y452" s="1234"/>
      <c r="Z452" s="1234"/>
    </row>
    <row r="453" spans="1:26" ht="14.5">
      <c r="A453" s="1234"/>
      <c r="B453" s="1234"/>
      <c r="C453" s="1234"/>
      <c r="D453" s="1234"/>
      <c r="E453" s="1234"/>
      <c r="F453" s="1234"/>
      <c r="G453" s="1234"/>
      <c r="H453" s="1234"/>
      <c r="I453" s="1234"/>
      <c r="J453" s="1234"/>
      <c r="K453" s="1234"/>
      <c r="L453" s="1234"/>
      <c r="M453" s="1234"/>
      <c r="N453" s="1234"/>
      <c r="O453" s="1234"/>
      <c r="P453" s="1234"/>
      <c r="Q453" s="1234"/>
      <c r="R453" s="1234"/>
      <c r="S453" s="1234"/>
      <c r="T453" s="1234"/>
      <c r="U453" s="1234"/>
      <c r="V453" s="1234"/>
      <c r="W453" s="1234"/>
      <c r="X453" s="1234"/>
      <c r="Y453" s="1234"/>
      <c r="Z453" s="1234"/>
    </row>
    <row r="454" spans="1:26" ht="14.5">
      <c r="A454" s="1234"/>
      <c r="B454" s="1234"/>
      <c r="C454" s="1234"/>
      <c r="D454" s="1234"/>
      <c r="E454" s="1234"/>
      <c r="F454" s="1234"/>
      <c r="G454" s="1234"/>
      <c r="H454" s="1234"/>
      <c r="I454" s="1234"/>
      <c r="J454" s="1234"/>
      <c r="K454" s="1234"/>
      <c r="L454" s="1234"/>
      <c r="M454" s="1234"/>
      <c r="N454" s="1234"/>
      <c r="O454" s="1234"/>
      <c r="P454" s="1234"/>
      <c r="Q454" s="1234"/>
      <c r="R454" s="1234"/>
      <c r="S454" s="1234"/>
      <c r="T454" s="1234"/>
      <c r="U454" s="1234"/>
      <c r="V454" s="1234"/>
      <c r="W454" s="1234"/>
      <c r="X454" s="1234"/>
      <c r="Y454" s="1234"/>
      <c r="Z454" s="1234"/>
    </row>
    <row r="455" spans="1:26" ht="14.5">
      <c r="A455" s="1234"/>
      <c r="B455" s="1234"/>
      <c r="C455" s="1234"/>
      <c r="D455" s="1234"/>
      <c r="E455" s="1234"/>
      <c r="F455" s="1234"/>
      <c r="G455" s="1234"/>
      <c r="H455" s="1234"/>
      <c r="I455" s="1234"/>
      <c r="J455" s="1234"/>
      <c r="K455" s="1234"/>
      <c r="L455" s="1234"/>
      <c r="M455" s="1234"/>
      <c r="N455" s="1234"/>
      <c r="O455" s="1234"/>
      <c r="P455" s="1234"/>
      <c r="Q455" s="1234"/>
      <c r="R455" s="1234"/>
      <c r="S455" s="1234"/>
      <c r="T455" s="1234"/>
      <c r="U455" s="1234"/>
      <c r="V455" s="1234"/>
      <c r="W455" s="1234"/>
      <c r="X455" s="1234"/>
      <c r="Y455" s="1234"/>
      <c r="Z455" s="1234"/>
    </row>
    <row r="456" spans="1:26" ht="14.5">
      <c r="A456" s="1234"/>
      <c r="B456" s="1234"/>
      <c r="C456" s="1234"/>
      <c r="D456" s="1234"/>
      <c r="E456" s="1234"/>
      <c r="F456" s="1234"/>
      <c r="G456" s="1234"/>
      <c r="H456" s="1234"/>
      <c r="I456" s="1234"/>
      <c r="J456" s="1234"/>
      <c r="K456" s="1234"/>
      <c r="L456" s="1234"/>
      <c r="M456" s="1234"/>
      <c r="N456" s="1234"/>
      <c r="O456" s="1234"/>
      <c r="P456" s="1234"/>
      <c r="Q456" s="1234"/>
      <c r="R456" s="1234"/>
      <c r="S456" s="1234"/>
      <c r="T456" s="1234"/>
      <c r="U456" s="1234"/>
      <c r="V456" s="1234"/>
      <c r="W456" s="1234"/>
      <c r="X456" s="1234"/>
      <c r="Y456" s="1234"/>
      <c r="Z456" s="1234"/>
    </row>
    <row r="457" spans="1:26" ht="14.5">
      <c r="A457" s="1234"/>
      <c r="B457" s="1234"/>
      <c r="C457" s="1234"/>
      <c r="D457" s="1234"/>
      <c r="E457" s="1234"/>
      <c r="F457" s="1234"/>
      <c r="G457" s="1234"/>
      <c r="H457" s="1234"/>
      <c r="I457" s="1234"/>
      <c r="J457" s="1234"/>
      <c r="K457" s="1234"/>
      <c r="L457" s="1234"/>
      <c r="M457" s="1234"/>
      <c r="N457" s="1234"/>
      <c r="O457" s="1234"/>
      <c r="P457" s="1234"/>
      <c r="Q457" s="1234"/>
      <c r="R457" s="1234"/>
      <c r="S457" s="1234"/>
      <c r="T457" s="1234"/>
      <c r="U457" s="1234"/>
      <c r="V457" s="1234"/>
      <c r="W457" s="1234"/>
      <c r="X457" s="1234"/>
      <c r="Y457" s="1234"/>
      <c r="Z457" s="1234"/>
    </row>
    <row r="458" spans="1:26" ht="14.5">
      <c r="A458" s="1234"/>
      <c r="B458" s="1234"/>
      <c r="C458" s="1234"/>
      <c r="D458" s="1234"/>
      <c r="E458" s="1234"/>
      <c r="F458" s="1234"/>
      <c r="G458" s="1234"/>
      <c r="H458" s="1234"/>
      <c r="I458" s="1234"/>
      <c r="J458" s="1234"/>
      <c r="K458" s="1234"/>
      <c r="L458" s="1234"/>
      <c r="M458" s="1234"/>
      <c r="N458" s="1234"/>
      <c r="O458" s="1234"/>
      <c r="P458" s="1234"/>
      <c r="Q458" s="1234"/>
      <c r="R458" s="1234"/>
      <c r="S458" s="1234"/>
      <c r="T458" s="1234"/>
      <c r="U458" s="1234"/>
      <c r="V458" s="1234"/>
      <c r="W458" s="1234"/>
      <c r="X458" s="1234"/>
      <c r="Y458" s="1234"/>
      <c r="Z458" s="1234"/>
    </row>
    <row r="459" spans="1:26" ht="14.5">
      <c r="A459" s="1234"/>
      <c r="B459" s="1234"/>
      <c r="C459" s="1234"/>
      <c r="D459" s="1234"/>
      <c r="E459" s="1234"/>
      <c r="F459" s="1234"/>
      <c r="G459" s="1234"/>
      <c r="H459" s="1234"/>
      <c r="I459" s="1234"/>
      <c r="J459" s="1234"/>
      <c r="K459" s="1234"/>
      <c r="L459" s="1234"/>
      <c r="M459" s="1234"/>
      <c r="N459" s="1234"/>
      <c r="O459" s="1234"/>
      <c r="P459" s="1234"/>
      <c r="Q459" s="1234"/>
      <c r="R459" s="1234"/>
      <c r="S459" s="1234"/>
      <c r="T459" s="1234"/>
      <c r="U459" s="1234"/>
      <c r="V459" s="1234"/>
      <c r="W459" s="1234"/>
      <c r="X459" s="1234"/>
      <c r="Y459" s="1234"/>
      <c r="Z459" s="1234"/>
    </row>
    <row r="460" spans="1:26" ht="14.5">
      <c r="A460" s="1234"/>
      <c r="B460" s="1234"/>
      <c r="C460" s="1234"/>
      <c r="D460" s="1234"/>
      <c r="E460" s="1234"/>
      <c r="F460" s="1234"/>
      <c r="G460" s="1234"/>
      <c r="H460" s="1234"/>
      <c r="I460" s="1234"/>
      <c r="J460" s="1234"/>
      <c r="K460" s="1234"/>
      <c r="L460" s="1234"/>
      <c r="M460" s="1234"/>
      <c r="N460" s="1234"/>
      <c r="O460" s="1234"/>
      <c r="P460" s="1234"/>
      <c r="Q460" s="1234"/>
      <c r="R460" s="1234"/>
      <c r="S460" s="1234"/>
      <c r="T460" s="1234"/>
      <c r="U460" s="1234"/>
      <c r="V460" s="1234"/>
      <c r="W460" s="1234"/>
      <c r="X460" s="1234"/>
      <c r="Y460" s="1234"/>
      <c r="Z460" s="1234"/>
    </row>
    <row r="461" spans="1:26" ht="14.5">
      <c r="A461" s="1234"/>
      <c r="B461" s="1234"/>
      <c r="C461" s="1234"/>
      <c r="D461" s="1234"/>
      <c r="E461" s="1234"/>
      <c r="F461" s="1234"/>
      <c r="G461" s="1234"/>
      <c r="H461" s="1234"/>
      <c r="I461" s="1234"/>
      <c r="J461" s="1234"/>
      <c r="K461" s="1234"/>
      <c r="L461" s="1234"/>
      <c r="M461" s="1234"/>
      <c r="N461" s="1234"/>
      <c r="O461" s="1234"/>
      <c r="P461" s="1234"/>
      <c r="Q461" s="1234"/>
      <c r="R461" s="1234"/>
      <c r="S461" s="1234"/>
      <c r="T461" s="1234"/>
      <c r="U461" s="1234"/>
      <c r="V461" s="1234"/>
      <c r="W461" s="1234"/>
      <c r="X461" s="1234"/>
      <c r="Y461" s="1234"/>
      <c r="Z461" s="1234"/>
    </row>
    <row r="462" spans="1:26" ht="14.5">
      <c r="A462" s="1234"/>
      <c r="B462" s="1234"/>
      <c r="C462" s="1234"/>
      <c r="D462" s="1234"/>
      <c r="E462" s="1234"/>
      <c r="F462" s="1234"/>
      <c r="G462" s="1234"/>
      <c r="H462" s="1234"/>
      <c r="I462" s="1234"/>
      <c r="J462" s="1234"/>
      <c r="K462" s="1234"/>
      <c r="L462" s="1234"/>
      <c r="M462" s="1234"/>
      <c r="N462" s="1234"/>
      <c r="O462" s="1234"/>
      <c r="P462" s="1234"/>
      <c r="Q462" s="1234"/>
      <c r="R462" s="1234"/>
      <c r="S462" s="1234"/>
      <c r="T462" s="1234"/>
      <c r="U462" s="1234"/>
      <c r="V462" s="1234"/>
      <c r="W462" s="1234"/>
      <c r="X462" s="1234"/>
      <c r="Y462" s="1234"/>
      <c r="Z462" s="1234"/>
    </row>
    <row r="463" spans="1:26" ht="14.5">
      <c r="A463" s="1234"/>
      <c r="B463" s="1234"/>
      <c r="C463" s="1234"/>
      <c r="D463" s="1234"/>
      <c r="E463" s="1234"/>
      <c r="F463" s="1234"/>
      <c r="G463" s="1234"/>
      <c r="H463" s="1234"/>
      <c r="I463" s="1234"/>
      <c r="J463" s="1234"/>
      <c r="K463" s="1234"/>
      <c r="L463" s="1234"/>
      <c r="M463" s="1234"/>
      <c r="N463" s="1234"/>
      <c r="O463" s="1234"/>
      <c r="P463" s="1234"/>
      <c r="Q463" s="1234"/>
      <c r="R463" s="1234"/>
      <c r="S463" s="1234"/>
      <c r="T463" s="1234"/>
      <c r="U463" s="1234"/>
      <c r="V463" s="1234"/>
      <c r="W463" s="1234"/>
      <c r="X463" s="1234"/>
      <c r="Y463" s="1234"/>
      <c r="Z463" s="1234"/>
    </row>
    <row r="464" spans="1:26" ht="14.5">
      <c r="A464" s="1234"/>
      <c r="B464" s="1234"/>
      <c r="C464" s="1234"/>
      <c r="D464" s="1234"/>
      <c r="E464" s="1234"/>
      <c r="F464" s="1234"/>
      <c r="G464" s="1234"/>
      <c r="H464" s="1234"/>
      <c r="I464" s="1234"/>
      <c r="J464" s="1234"/>
      <c r="K464" s="1234"/>
      <c r="L464" s="1234"/>
      <c r="M464" s="1234"/>
      <c r="N464" s="1234"/>
      <c r="O464" s="1234"/>
      <c r="P464" s="1234"/>
      <c r="Q464" s="1234"/>
      <c r="R464" s="1234"/>
      <c r="S464" s="1234"/>
      <c r="T464" s="1234"/>
      <c r="U464" s="1234"/>
      <c r="V464" s="1234"/>
      <c r="W464" s="1234"/>
      <c r="X464" s="1234"/>
      <c r="Y464" s="1234"/>
      <c r="Z464" s="1234"/>
    </row>
    <row r="465" spans="1:26" ht="14.5">
      <c r="A465" s="1234"/>
      <c r="B465" s="1234"/>
      <c r="C465" s="1234"/>
      <c r="D465" s="1234"/>
      <c r="E465" s="1234"/>
      <c r="F465" s="1234"/>
      <c r="G465" s="1234"/>
      <c r="H465" s="1234"/>
      <c r="I465" s="1234"/>
      <c r="J465" s="1234"/>
      <c r="K465" s="1234"/>
      <c r="L465" s="1234"/>
      <c r="M465" s="1234"/>
      <c r="N465" s="1234"/>
      <c r="O465" s="1234"/>
      <c r="P465" s="1234"/>
      <c r="Q465" s="1234"/>
      <c r="R465" s="1234"/>
      <c r="S465" s="1234"/>
      <c r="T465" s="1234"/>
      <c r="U465" s="1234"/>
      <c r="V465" s="1234"/>
      <c r="W465" s="1234"/>
      <c r="X465" s="1234"/>
      <c r="Y465" s="1234"/>
      <c r="Z465" s="1234"/>
    </row>
    <row r="466" spans="1:26" ht="14.5">
      <c r="A466" s="1234"/>
      <c r="B466" s="1234"/>
      <c r="C466" s="1234"/>
      <c r="D466" s="1234"/>
      <c r="E466" s="1234"/>
      <c r="F466" s="1234"/>
      <c r="G466" s="1234"/>
      <c r="H466" s="1234"/>
      <c r="I466" s="1234"/>
      <c r="J466" s="1234"/>
      <c r="K466" s="1234"/>
      <c r="L466" s="1234"/>
      <c r="M466" s="1234"/>
      <c r="N466" s="1234"/>
      <c r="O466" s="1234"/>
      <c r="P466" s="1234"/>
      <c r="Q466" s="1234"/>
      <c r="R466" s="1234"/>
      <c r="S466" s="1234"/>
      <c r="T466" s="1234"/>
      <c r="U466" s="1234"/>
      <c r="V466" s="1234"/>
      <c r="W466" s="1234"/>
      <c r="X466" s="1234"/>
      <c r="Y466" s="1234"/>
      <c r="Z466" s="1234"/>
    </row>
    <row r="467" spans="1:26" ht="14.5">
      <c r="A467" s="1234"/>
      <c r="B467" s="1234"/>
      <c r="C467" s="1234"/>
      <c r="D467" s="1234"/>
      <c r="E467" s="1234"/>
      <c r="F467" s="1234"/>
      <c r="G467" s="1234"/>
      <c r="H467" s="1234"/>
      <c r="I467" s="1234"/>
      <c r="J467" s="1234"/>
      <c r="K467" s="1234"/>
      <c r="L467" s="1234"/>
      <c r="M467" s="1234"/>
      <c r="N467" s="1234"/>
      <c r="O467" s="1234"/>
      <c r="P467" s="1234"/>
      <c r="Q467" s="1234"/>
      <c r="R467" s="1234"/>
      <c r="S467" s="1234"/>
      <c r="T467" s="1234"/>
      <c r="U467" s="1234"/>
      <c r="V467" s="1234"/>
      <c r="W467" s="1234"/>
      <c r="X467" s="1234"/>
      <c r="Y467" s="1234"/>
      <c r="Z467" s="1234"/>
    </row>
    <row r="468" spans="1:26" ht="14.5">
      <c r="A468" s="1234"/>
      <c r="B468" s="1234"/>
      <c r="C468" s="1234"/>
      <c r="D468" s="1234"/>
      <c r="E468" s="1234"/>
      <c r="F468" s="1234"/>
      <c r="G468" s="1234"/>
      <c r="H468" s="1234"/>
      <c r="I468" s="1234"/>
      <c r="J468" s="1234"/>
      <c r="K468" s="1234"/>
      <c r="L468" s="1234"/>
      <c r="M468" s="1234"/>
      <c r="N468" s="1234"/>
      <c r="O468" s="1234"/>
      <c r="P468" s="1234"/>
      <c r="Q468" s="1234"/>
      <c r="R468" s="1234"/>
      <c r="S468" s="1234"/>
      <c r="T468" s="1234"/>
      <c r="U468" s="1234"/>
      <c r="V468" s="1234"/>
      <c r="W468" s="1234"/>
      <c r="X468" s="1234"/>
      <c r="Y468" s="1234"/>
      <c r="Z468" s="1234"/>
    </row>
    <row r="469" spans="1:26" ht="14.5">
      <c r="A469" s="1234"/>
      <c r="B469" s="1234"/>
      <c r="C469" s="1234"/>
      <c r="D469" s="1234"/>
      <c r="E469" s="1234"/>
      <c r="F469" s="1234"/>
      <c r="G469" s="1234"/>
      <c r="H469" s="1234"/>
      <c r="I469" s="1234"/>
      <c r="J469" s="1234"/>
      <c r="K469" s="1234"/>
      <c r="L469" s="1234"/>
      <c r="M469" s="1234"/>
      <c r="N469" s="1234"/>
      <c r="O469" s="1234"/>
      <c r="P469" s="1234"/>
      <c r="Q469" s="1234"/>
      <c r="R469" s="1234"/>
      <c r="S469" s="1234"/>
      <c r="T469" s="1234"/>
      <c r="U469" s="1234"/>
      <c r="V469" s="1234"/>
      <c r="W469" s="1234"/>
      <c r="X469" s="1234"/>
      <c r="Y469" s="1234"/>
      <c r="Z469" s="1234"/>
    </row>
    <row r="470" spans="1:26" ht="14.5">
      <c r="A470" s="1234"/>
      <c r="B470" s="1234"/>
      <c r="C470" s="1234"/>
      <c r="D470" s="1234"/>
      <c r="E470" s="1234"/>
      <c r="F470" s="1234"/>
      <c r="G470" s="1234"/>
      <c r="H470" s="1234"/>
      <c r="I470" s="1234"/>
      <c r="J470" s="1234"/>
      <c r="K470" s="1234"/>
      <c r="L470" s="1234"/>
      <c r="M470" s="1234"/>
      <c r="N470" s="1234"/>
      <c r="O470" s="1234"/>
      <c r="P470" s="1234"/>
      <c r="Q470" s="1234"/>
      <c r="R470" s="1234"/>
      <c r="S470" s="1234"/>
      <c r="T470" s="1234"/>
      <c r="U470" s="1234"/>
      <c r="V470" s="1234"/>
      <c r="W470" s="1234"/>
      <c r="X470" s="1234"/>
      <c r="Y470" s="1234"/>
      <c r="Z470" s="1234"/>
    </row>
    <row r="471" spans="1:26" ht="14.5">
      <c r="A471" s="1234"/>
      <c r="B471" s="1234"/>
      <c r="C471" s="1234"/>
      <c r="D471" s="1234"/>
      <c r="E471" s="1234"/>
      <c r="F471" s="1234"/>
      <c r="G471" s="1234"/>
      <c r="H471" s="1234"/>
      <c r="I471" s="1234"/>
      <c r="J471" s="1234"/>
      <c r="K471" s="1234"/>
      <c r="L471" s="1234"/>
      <c r="M471" s="1234"/>
      <c r="N471" s="1234"/>
      <c r="O471" s="1234"/>
      <c r="P471" s="1234"/>
      <c r="Q471" s="1234"/>
      <c r="R471" s="1234"/>
      <c r="S471" s="1234"/>
      <c r="T471" s="1234"/>
      <c r="U471" s="1234"/>
      <c r="V471" s="1234"/>
      <c r="W471" s="1234"/>
      <c r="X471" s="1234"/>
      <c r="Y471" s="1234"/>
      <c r="Z471" s="1234"/>
    </row>
    <row r="472" spans="1:26" ht="14.5">
      <c r="A472" s="1234"/>
      <c r="B472" s="1234"/>
      <c r="C472" s="1234"/>
      <c r="D472" s="1234"/>
      <c r="E472" s="1234"/>
      <c r="F472" s="1234"/>
      <c r="G472" s="1234"/>
      <c r="H472" s="1234"/>
      <c r="I472" s="1234"/>
      <c r="J472" s="1234"/>
      <c r="K472" s="1234"/>
      <c r="L472" s="1234"/>
      <c r="M472" s="1234"/>
      <c r="N472" s="1234"/>
      <c r="O472" s="1234"/>
      <c r="P472" s="1234"/>
      <c r="Q472" s="1234"/>
      <c r="R472" s="1234"/>
      <c r="S472" s="1234"/>
      <c r="T472" s="1234"/>
      <c r="U472" s="1234"/>
      <c r="V472" s="1234"/>
      <c r="W472" s="1234"/>
      <c r="X472" s="1234"/>
      <c r="Y472" s="1234"/>
      <c r="Z472" s="1234"/>
    </row>
    <row r="473" spans="1:26" ht="14.5">
      <c r="A473" s="1234"/>
      <c r="B473" s="1234"/>
      <c r="C473" s="1234"/>
      <c r="D473" s="1234"/>
      <c r="E473" s="1234"/>
      <c r="F473" s="1234"/>
      <c r="G473" s="1234"/>
      <c r="H473" s="1234"/>
      <c r="I473" s="1234"/>
      <c r="J473" s="1234"/>
      <c r="K473" s="1234"/>
      <c r="L473" s="1234"/>
      <c r="M473" s="1234"/>
      <c r="N473" s="1234"/>
      <c r="O473" s="1234"/>
      <c r="P473" s="1234"/>
      <c r="Q473" s="1234"/>
      <c r="R473" s="1234"/>
      <c r="S473" s="1234"/>
      <c r="T473" s="1234"/>
      <c r="U473" s="1234"/>
      <c r="V473" s="1234"/>
      <c r="W473" s="1234"/>
      <c r="X473" s="1234"/>
      <c r="Y473" s="1234"/>
      <c r="Z473" s="1234"/>
    </row>
    <row r="474" spans="1:26" ht="14.5">
      <c r="A474" s="1234"/>
      <c r="B474" s="1234"/>
      <c r="C474" s="1234"/>
      <c r="D474" s="1234"/>
      <c r="E474" s="1234"/>
      <c r="F474" s="1234"/>
      <c r="G474" s="1234"/>
      <c r="H474" s="1234"/>
      <c r="I474" s="1234"/>
      <c r="J474" s="1234"/>
      <c r="K474" s="1234"/>
      <c r="L474" s="1234"/>
      <c r="M474" s="1234"/>
      <c r="N474" s="1234"/>
      <c r="O474" s="1234"/>
      <c r="P474" s="1234"/>
      <c r="Q474" s="1234"/>
      <c r="R474" s="1234"/>
      <c r="S474" s="1234"/>
      <c r="T474" s="1234"/>
      <c r="U474" s="1234"/>
      <c r="V474" s="1234"/>
      <c r="W474" s="1234"/>
      <c r="X474" s="1234"/>
      <c r="Y474" s="1234"/>
      <c r="Z474" s="1234"/>
    </row>
    <row r="475" spans="1:26" ht="14.5">
      <c r="A475" s="1234"/>
      <c r="B475" s="1234"/>
      <c r="C475" s="1234"/>
      <c r="D475" s="1234"/>
      <c r="E475" s="1234"/>
      <c r="F475" s="1234"/>
      <c r="G475" s="1234"/>
      <c r="H475" s="1234"/>
      <c r="I475" s="1234"/>
      <c r="J475" s="1234"/>
      <c r="K475" s="1234"/>
      <c r="L475" s="1234"/>
      <c r="M475" s="1234"/>
      <c r="N475" s="1234"/>
      <c r="O475" s="1234"/>
      <c r="P475" s="1234"/>
      <c r="Q475" s="1234"/>
      <c r="R475" s="1234"/>
      <c r="S475" s="1234"/>
      <c r="T475" s="1234"/>
      <c r="U475" s="1234"/>
      <c r="V475" s="1234"/>
      <c r="W475" s="1234"/>
      <c r="X475" s="1234"/>
      <c r="Y475" s="1234"/>
      <c r="Z475" s="1234"/>
    </row>
    <row r="476" spans="1:26" ht="14.5">
      <c r="A476" s="1234"/>
      <c r="B476" s="1234"/>
      <c r="C476" s="1234"/>
      <c r="D476" s="1234"/>
      <c r="E476" s="1234"/>
      <c r="F476" s="1234"/>
      <c r="G476" s="1234"/>
      <c r="H476" s="1234"/>
      <c r="I476" s="1234"/>
      <c r="J476" s="1234"/>
      <c r="K476" s="1234"/>
      <c r="L476" s="1234"/>
      <c r="M476" s="1234"/>
      <c r="N476" s="1234"/>
      <c r="O476" s="1234"/>
      <c r="P476" s="1234"/>
      <c r="Q476" s="1234"/>
      <c r="R476" s="1234"/>
      <c r="S476" s="1234"/>
      <c r="T476" s="1234"/>
      <c r="U476" s="1234"/>
      <c r="V476" s="1234"/>
      <c r="W476" s="1234"/>
      <c r="X476" s="1234"/>
      <c r="Y476" s="1234"/>
      <c r="Z476" s="1234"/>
    </row>
    <row r="477" spans="1:26" ht="14.5">
      <c r="A477" s="1234"/>
      <c r="B477" s="1234"/>
      <c r="C477" s="1234"/>
      <c r="D477" s="1234"/>
      <c r="E477" s="1234"/>
      <c r="F477" s="1234"/>
      <c r="G477" s="1234"/>
      <c r="H477" s="1234"/>
      <c r="I477" s="1234"/>
      <c r="J477" s="1234"/>
      <c r="K477" s="1234"/>
      <c r="L477" s="1234"/>
      <c r="M477" s="1234"/>
      <c r="N477" s="1234"/>
      <c r="O477" s="1234"/>
      <c r="P477" s="1234"/>
      <c r="Q477" s="1234"/>
      <c r="R477" s="1234"/>
      <c r="S477" s="1234"/>
      <c r="T477" s="1234"/>
      <c r="U477" s="1234"/>
      <c r="V477" s="1234"/>
      <c r="W477" s="1234"/>
      <c r="X477" s="1234"/>
      <c r="Y477" s="1234"/>
      <c r="Z477" s="1234"/>
    </row>
    <row r="478" spans="1:26" ht="14.5">
      <c r="A478" s="1234"/>
      <c r="B478" s="1234"/>
      <c r="C478" s="1234"/>
      <c r="D478" s="1234"/>
      <c r="E478" s="1234"/>
      <c r="F478" s="1234"/>
      <c r="G478" s="1234"/>
      <c r="H478" s="1234"/>
      <c r="I478" s="1234"/>
      <c r="J478" s="1234"/>
      <c r="K478" s="1234"/>
      <c r="L478" s="1234"/>
      <c r="M478" s="1234"/>
      <c r="N478" s="1234"/>
      <c r="O478" s="1234"/>
      <c r="P478" s="1234"/>
      <c r="Q478" s="1234"/>
      <c r="R478" s="1234"/>
      <c r="S478" s="1234"/>
      <c r="T478" s="1234"/>
      <c r="U478" s="1234"/>
      <c r="V478" s="1234"/>
      <c r="W478" s="1234"/>
      <c r="X478" s="1234"/>
      <c r="Y478" s="1234"/>
      <c r="Z478" s="1234"/>
    </row>
    <row r="479" spans="1:26" ht="14.5">
      <c r="A479" s="1234"/>
      <c r="B479" s="1234"/>
      <c r="C479" s="1234"/>
      <c r="D479" s="1234"/>
      <c r="E479" s="1234"/>
      <c r="F479" s="1234"/>
      <c r="G479" s="1234"/>
      <c r="H479" s="1234"/>
      <c r="I479" s="1234"/>
      <c r="J479" s="1234"/>
      <c r="K479" s="1234"/>
      <c r="L479" s="1234"/>
      <c r="M479" s="1234"/>
      <c r="N479" s="1234"/>
      <c r="O479" s="1234"/>
      <c r="P479" s="1234"/>
      <c r="Q479" s="1234"/>
      <c r="R479" s="1234"/>
      <c r="S479" s="1234"/>
      <c r="T479" s="1234"/>
      <c r="U479" s="1234"/>
      <c r="V479" s="1234"/>
      <c r="W479" s="1234"/>
      <c r="X479" s="1234"/>
      <c r="Y479" s="1234"/>
      <c r="Z479" s="1234"/>
    </row>
    <row r="480" spans="1:26" ht="14.5">
      <c r="A480" s="1234"/>
      <c r="B480" s="1234"/>
      <c r="C480" s="1234"/>
      <c r="D480" s="1234"/>
      <c r="E480" s="1234"/>
      <c r="F480" s="1234"/>
      <c r="G480" s="1234"/>
      <c r="H480" s="1234"/>
      <c r="I480" s="1234"/>
      <c r="J480" s="1234"/>
      <c r="K480" s="1234"/>
      <c r="L480" s="1234"/>
      <c r="M480" s="1234"/>
      <c r="N480" s="1234"/>
      <c r="O480" s="1234"/>
      <c r="P480" s="1234"/>
      <c r="Q480" s="1234"/>
      <c r="R480" s="1234"/>
      <c r="S480" s="1234"/>
      <c r="T480" s="1234"/>
      <c r="U480" s="1234"/>
      <c r="V480" s="1234"/>
      <c r="W480" s="1234"/>
      <c r="X480" s="1234"/>
      <c r="Y480" s="1234"/>
      <c r="Z480" s="1234"/>
    </row>
    <row r="481" spans="1:26" ht="14.5">
      <c r="A481" s="1234"/>
      <c r="B481" s="1234"/>
      <c r="C481" s="1234"/>
      <c r="D481" s="1234"/>
      <c r="E481" s="1234"/>
      <c r="F481" s="1234"/>
      <c r="G481" s="1234"/>
      <c r="H481" s="1234"/>
      <c r="I481" s="1234"/>
      <c r="J481" s="1234"/>
      <c r="K481" s="1234"/>
      <c r="L481" s="1234"/>
      <c r="M481" s="1234"/>
      <c r="N481" s="1234"/>
      <c r="O481" s="1234"/>
      <c r="P481" s="1234"/>
      <c r="Q481" s="1234"/>
      <c r="R481" s="1234"/>
      <c r="S481" s="1234"/>
      <c r="T481" s="1234"/>
      <c r="U481" s="1234"/>
      <c r="V481" s="1234"/>
      <c r="W481" s="1234"/>
      <c r="X481" s="1234"/>
      <c r="Y481" s="1234"/>
      <c r="Z481" s="1234"/>
    </row>
    <row r="482" spans="1:26" ht="14.5">
      <c r="A482" s="1234"/>
      <c r="B482" s="1234"/>
      <c r="C482" s="1234"/>
      <c r="D482" s="1234"/>
      <c r="E482" s="1234"/>
      <c r="F482" s="1234"/>
      <c r="G482" s="1234"/>
      <c r="H482" s="1234"/>
      <c r="I482" s="1234"/>
      <c r="J482" s="1234"/>
      <c r="K482" s="1234"/>
      <c r="L482" s="1234"/>
      <c r="M482" s="1234"/>
      <c r="N482" s="1234"/>
      <c r="O482" s="1234"/>
      <c r="P482" s="1234"/>
      <c r="Q482" s="1234"/>
      <c r="R482" s="1234"/>
      <c r="S482" s="1234"/>
      <c r="T482" s="1234"/>
      <c r="U482" s="1234"/>
      <c r="V482" s="1234"/>
      <c r="W482" s="1234"/>
      <c r="X482" s="1234"/>
      <c r="Y482" s="1234"/>
      <c r="Z482" s="1234"/>
    </row>
    <row r="483" spans="1:26" ht="14.5">
      <c r="A483" s="1234"/>
      <c r="B483" s="1234"/>
      <c r="C483" s="1234"/>
      <c r="D483" s="1234"/>
      <c r="E483" s="1234"/>
      <c r="F483" s="1234"/>
      <c r="G483" s="1234"/>
      <c r="H483" s="1234"/>
      <c r="I483" s="1234"/>
      <c r="J483" s="1234"/>
      <c r="K483" s="1234"/>
      <c r="L483" s="1234"/>
      <c r="M483" s="1234"/>
      <c r="N483" s="1234"/>
      <c r="O483" s="1234"/>
      <c r="P483" s="1234"/>
      <c r="Q483" s="1234"/>
      <c r="R483" s="1234"/>
      <c r="S483" s="1234"/>
      <c r="T483" s="1234"/>
      <c r="U483" s="1234"/>
      <c r="V483" s="1234"/>
      <c r="W483" s="1234"/>
      <c r="X483" s="1234"/>
      <c r="Y483" s="1234"/>
      <c r="Z483" s="1234"/>
    </row>
    <row r="484" spans="1:26" ht="14.5">
      <c r="A484" s="1234"/>
      <c r="B484" s="1234"/>
      <c r="C484" s="1234"/>
      <c r="D484" s="1234"/>
      <c r="E484" s="1234"/>
      <c r="F484" s="1234"/>
      <c r="G484" s="1234"/>
      <c r="H484" s="1234"/>
      <c r="I484" s="1234"/>
      <c r="J484" s="1234"/>
      <c r="K484" s="1234"/>
      <c r="L484" s="1234"/>
      <c r="M484" s="1234"/>
      <c r="N484" s="1234"/>
      <c r="O484" s="1234"/>
      <c r="P484" s="1234"/>
      <c r="Q484" s="1234"/>
      <c r="R484" s="1234"/>
      <c r="S484" s="1234"/>
      <c r="T484" s="1234"/>
      <c r="U484" s="1234"/>
      <c r="V484" s="1234"/>
      <c r="W484" s="1234"/>
      <c r="X484" s="1234"/>
      <c r="Y484" s="1234"/>
      <c r="Z484" s="1234"/>
    </row>
    <row r="485" spans="1:26" ht="14.5">
      <c r="A485" s="1234"/>
      <c r="B485" s="1234"/>
      <c r="C485" s="1234"/>
      <c r="D485" s="1234"/>
      <c r="E485" s="1234"/>
      <c r="F485" s="1234"/>
      <c r="G485" s="1234"/>
      <c r="H485" s="1234"/>
      <c r="I485" s="1234"/>
      <c r="J485" s="1234"/>
      <c r="K485" s="1234"/>
      <c r="L485" s="1234"/>
      <c r="M485" s="1234"/>
      <c r="N485" s="1234"/>
      <c r="O485" s="1234"/>
      <c r="P485" s="1234"/>
      <c r="Q485" s="1234"/>
      <c r="R485" s="1234"/>
      <c r="S485" s="1234"/>
      <c r="T485" s="1234"/>
      <c r="U485" s="1234"/>
      <c r="V485" s="1234"/>
      <c r="W485" s="1234"/>
      <c r="X485" s="1234"/>
      <c r="Y485" s="1234"/>
      <c r="Z485" s="1234"/>
    </row>
    <row r="486" spans="1:26" ht="14.5">
      <c r="A486" s="1234"/>
      <c r="B486" s="1234"/>
      <c r="C486" s="1234"/>
      <c r="D486" s="1234"/>
      <c r="E486" s="1234"/>
      <c r="F486" s="1234"/>
      <c r="G486" s="1234"/>
      <c r="H486" s="1234"/>
      <c r="I486" s="1234"/>
      <c r="J486" s="1234"/>
      <c r="K486" s="1234"/>
      <c r="L486" s="1234"/>
      <c r="M486" s="1234"/>
      <c r="N486" s="1234"/>
      <c r="O486" s="1234"/>
      <c r="P486" s="1234"/>
      <c r="Q486" s="1234"/>
      <c r="R486" s="1234"/>
      <c r="S486" s="1234"/>
      <c r="T486" s="1234"/>
      <c r="U486" s="1234"/>
      <c r="V486" s="1234"/>
      <c r="W486" s="1234"/>
      <c r="X486" s="1234"/>
      <c r="Y486" s="1234"/>
      <c r="Z486" s="1234"/>
    </row>
    <row r="487" spans="1:26" ht="14.5">
      <c r="A487" s="1234"/>
      <c r="B487" s="1234"/>
      <c r="C487" s="1234"/>
      <c r="D487" s="1234"/>
      <c r="E487" s="1234"/>
      <c r="F487" s="1234"/>
      <c r="G487" s="1234"/>
      <c r="H487" s="1234"/>
      <c r="I487" s="1234"/>
      <c r="J487" s="1234"/>
      <c r="K487" s="1234"/>
      <c r="L487" s="1234"/>
      <c r="M487" s="1234"/>
      <c r="N487" s="1234"/>
      <c r="O487" s="1234"/>
      <c r="P487" s="1234"/>
      <c r="Q487" s="1234"/>
      <c r="R487" s="1234"/>
      <c r="S487" s="1234"/>
      <c r="T487" s="1234"/>
      <c r="U487" s="1234"/>
      <c r="V487" s="1234"/>
      <c r="W487" s="1234"/>
      <c r="X487" s="1234"/>
      <c r="Y487" s="1234"/>
      <c r="Z487" s="1234"/>
    </row>
    <row r="488" spans="1:26" ht="14.5">
      <c r="A488" s="1234"/>
      <c r="B488" s="1234"/>
      <c r="C488" s="1234"/>
      <c r="D488" s="1234"/>
      <c r="E488" s="1234"/>
      <c r="F488" s="1234"/>
      <c r="G488" s="1234"/>
      <c r="H488" s="1234"/>
      <c r="I488" s="1234"/>
      <c r="J488" s="1234"/>
      <c r="K488" s="1234"/>
      <c r="L488" s="1234"/>
      <c r="M488" s="1234"/>
      <c r="N488" s="1234"/>
      <c r="O488" s="1234"/>
      <c r="P488" s="1234"/>
      <c r="Q488" s="1234"/>
      <c r="R488" s="1234"/>
      <c r="S488" s="1234"/>
      <c r="T488" s="1234"/>
      <c r="U488" s="1234"/>
      <c r="V488" s="1234"/>
      <c r="W488" s="1234"/>
      <c r="X488" s="1234"/>
      <c r="Y488" s="1234"/>
      <c r="Z488" s="1234"/>
    </row>
    <row r="489" spans="1:26" ht="14.5">
      <c r="A489" s="1234"/>
      <c r="B489" s="1234"/>
      <c r="C489" s="1234"/>
      <c r="D489" s="1234"/>
      <c r="E489" s="1234"/>
      <c r="F489" s="1234"/>
      <c r="G489" s="1234"/>
      <c r="H489" s="1234"/>
      <c r="I489" s="1234"/>
      <c r="J489" s="1234"/>
      <c r="K489" s="1234"/>
      <c r="L489" s="1234"/>
      <c r="M489" s="1234"/>
      <c r="N489" s="1234"/>
      <c r="O489" s="1234"/>
      <c r="P489" s="1234"/>
      <c r="Q489" s="1234"/>
      <c r="R489" s="1234"/>
      <c r="S489" s="1234"/>
      <c r="T489" s="1234"/>
      <c r="U489" s="1234"/>
      <c r="V489" s="1234"/>
      <c r="W489" s="1234"/>
      <c r="X489" s="1234"/>
      <c r="Y489" s="1234"/>
      <c r="Z489" s="1234"/>
    </row>
    <row r="490" spans="1:26" ht="14.5">
      <c r="A490" s="1234"/>
      <c r="B490" s="1234"/>
      <c r="C490" s="1234"/>
      <c r="D490" s="1234"/>
      <c r="E490" s="1234"/>
      <c r="F490" s="1234"/>
      <c r="G490" s="1234"/>
      <c r="H490" s="1234"/>
      <c r="I490" s="1234"/>
      <c r="J490" s="1234"/>
      <c r="K490" s="1234"/>
      <c r="L490" s="1234"/>
      <c r="M490" s="1234"/>
      <c r="N490" s="1234"/>
      <c r="O490" s="1234"/>
      <c r="P490" s="1234"/>
      <c r="Q490" s="1234"/>
      <c r="R490" s="1234"/>
      <c r="S490" s="1234"/>
      <c r="T490" s="1234"/>
      <c r="U490" s="1234"/>
      <c r="V490" s="1234"/>
      <c r="W490" s="1234"/>
      <c r="X490" s="1234"/>
      <c r="Y490" s="1234"/>
      <c r="Z490" s="1234"/>
    </row>
    <row r="491" spans="1:26" ht="14.5">
      <c r="A491" s="1234"/>
      <c r="B491" s="1234"/>
      <c r="C491" s="1234"/>
      <c r="D491" s="1234"/>
      <c r="E491" s="1234"/>
      <c r="F491" s="1234"/>
      <c r="G491" s="1234"/>
      <c r="H491" s="1234"/>
      <c r="I491" s="1234"/>
      <c r="J491" s="1234"/>
      <c r="K491" s="1234"/>
      <c r="L491" s="1234"/>
      <c r="M491" s="1234"/>
      <c r="N491" s="1234"/>
      <c r="O491" s="1234"/>
      <c r="P491" s="1234"/>
      <c r="Q491" s="1234"/>
      <c r="R491" s="1234"/>
      <c r="S491" s="1234"/>
      <c r="T491" s="1234"/>
      <c r="U491" s="1234"/>
      <c r="V491" s="1234"/>
      <c r="W491" s="1234"/>
      <c r="X491" s="1234"/>
      <c r="Y491" s="1234"/>
      <c r="Z491" s="1234"/>
    </row>
    <row r="492" spans="1:26" ht="14.5">
      <c r="A492" s="1234"/>
      <c r="B492" s="1234"/>
      <c r="C492" s="1234"/>
      <c r="D492" s="1234"/>
      <c r="E492" s="1234"/>
      <c r="F492" s="1234"/>
      <c r="G492" s="1234"/>
      <c r="H492" s="1234"/>
      <c r="I492" s="1234"/>
      <c r="J492" s="1234"/>
      <c r="K492" s="1234"/>
      <c r="L492" s="1234"/>
      <c r="M492" s="1234"/>
      <c r="N492" s="1234"/>
      <c r="O492" s="1234"/>
      <c r="P492" s="1234"/>
      <c r="Q492" s="1234"/>
      <c r="R492" s="1234"/>
      <c r="S492" s="1234"/>
      <c r="T492" s="1234"/>
      <c r="U492" s="1234"/>
      <c r="V492" s="1234"/>
      <c r="W492" s="1234"/>
      <c r="X492" s="1234"/>
      <c r="Y492" s="1234"/>
      <c r="Z492" s="1234"/>
    </row>
    <row r="493" spans="1:26" ht="14.5">
      <c r="A493" s="1234"/>
      <c r="B493" s="1234"/>
      <c r="C493" s="1234"/>
      <c r="D493" s="1234"/>
      <c r="E493" s="1234"/>
      <c r="F493" s="1234"/>
      <c r="G493" s="1234"/>
      <c r="H493" s="1234"/>
      <c r="I493" s="1234"/>
      <c r="J493" s="1234"/>
      <c r="K493" s="1234"/>
      <c r="L493" s="1234"/>
      <c r="M493" s="1234"/>
      <c r="N493" s="1234"/>
      <c r="O493" s="1234"/>
      <c r="P493" s="1234"/>
      <c r="Q493" s="1234"/>
      <c r="R493" s="1234"/>
      <c r="S493" s="1234"/>
      <c r="T493" s="1234"/>
      <c r="U493" s="1234"/>
      <c r="V493" s="1234"/>
      <c r="W493" s="1234"/>
      <c r="X493" s="1234"/>
      <c r="Y493" s="1234"/>
      <c r="Z493" s="1234"/>
    </row>
    <row r="494" spans="1:26" ht="14.5">
      <c r="A494" s="1234"/>
      <c r="B494" s="1234"/>
      <c r="C494" s="1234"/>
      <c r="D494" s="1234"/>
      <c r="E494" s="1234"/>
      <c r="F494" s="1234"/>
      <c r="G494" s="1234"/>
      <c r="H494" s="1234"/>
      <c r="I494" s="1234"/>
      <c r="J494" s="1234"/>
      <c r="K494" s="1234"/>
      <c r="L494" s="1234"/>
      <c r="M494" s="1234"/>
      <c r="N494" s="1234"/>
      <c r="O494" s="1234"/>
      <c r="P494" s="1234"/>
      <c r="Q494" s="1234"/>
      <c r="R494" s="1234"/>
      <c r="S494" s="1234"/>
      <c r="T494" s="1234"/>
      <c r="U494" s="1234"/>
      <c r="V494" s="1234"/>
      <c r="W494" s="1234"/>
      <c r="X494" s="1234"/>
      <c r="Y494" s="1234"/>
      <c r="Z494" s="1234"/>
    </row>
    <row r="495" spans="1:26" ht="14.5">
      <c r="A495" s="1234"/>
      <c r="B495" s="1234"/>
      <c r="C495" s="1234"/>
      <c r="D495" s="1234"/>
      <c r="E495" s="1234"/>
      <c r="F495" s="1234"/>
      <c r="G495" s="1234"/>
      <c r="H495" s="1234"/>
      <c r="I495" s="1234"/>
      <c r="J495" s="1234"/>
      <c r="K495" s="1234"/>
      <c r="L495" s="1234"/>
      <c r="M495" s="1234"/>
      <c r="N495" s="1234"/>
      <c r="O495" s="1234"/>
      <c r="P495" s="1234"/>
      <c r="Q495" s="1234"/>
      <c r="R495" s="1234"/>
      <c r="S495" s="1234"/>
      <c r="T495" s="1234"/>
      <c r="U495" s="1234"/>
      <c r="V495" s="1234"/>
      <c r="W495" s="1234"/>
      <c r="X495" s="1234"/>
      <c r="Y495" s="1234"/>
      <c r="Z495" s="1234"/>
    </row>
    <row r="496" spans="1:26" ht="14.5">
      <c r="A496" s="1234"/>
      <c r="B496" s="1234"/>
      <c r="C496" s="1234"/>
      <c r="D496" s="1234"/>
      <c r="E496" s="1234"/>
      <c r="F496" s="1234"/>
      <c r="G496" s="1234"/>
      <c r="H496" s="1234"/>
      <c r="I496" s="1234"/>
      <c r="J496" s="1234"/>
      <c r="K496" s="1234"/>
      <c r="L496" s="1234"/>
      <c r="M496" s="1234"/>
      <c r="N496" s="1234"/>
      <c r="O496" s="1234"/>
      <c r="P496" s="1234"/>
      <c r="Q496" s="1234"/>
      <c r="R496" s="1234"/>
      <c r="S496" s="1234"/>
      <c r="T496" s="1234"/>
      <c r="U496" s="1234"/>
      <c r="V496" s="1234"/>
      <c r="W496" s="1234"/>
      <c r="X496" s="1234"/>
      <c r="Y496" s="1234"/>
      <c r="Z496" s="1234"/>
    </row>
    <row r="497" spans="1:26" ht="14.5">
      <c r="A497" s="1234"/>
      <c r="B497" s="1234"/>
      <c r="C497" s="1234"/>
      <c r="D497" s="1234"/>
      <c r="E497" s="1234"/>
      <c r="F497" s="1234"/>
      <c r="G497" s="1234"/>
      <c r="H497" s="1234"/>
      <c r="I497" s="1234"/>
      <c r="J497" s="1234"/>
      <c r="K497" s="1234"/>
      <c r="L497" s="1234"/>
      <c r="M497" s="1234"/>
      <c r="N497" s="1234"/>
      <c r="O497" s="1234"/>
      <c r="P497" s="1234"/>
      <c r="Q497" s="1234"/>
      <c r="R497" s="1234"/>
      <c r="S497" s="1234"/>
      <c r="T497" s="1234"/>
      <c r="U497" s="1234"/>
      <c r="V497" s="1234"/>
      <c r="W497" s="1234"/>
      <c r="X497" s="1234"/>
      <c r="Y497" s="1234"/>
      <c r="Z497" s="1234"/>
    </row>
    <row r="498" spans="1:26" ht="14.5">
      <c r="A498" s="1234"/>
      <c r="B498" s="1234"/>
      <c r="C498" s="1234"/>
      <c r="D498" s="1234"/>
      <c r="E498" s="1234"/>
      <c r="F498" s="1234"/>
      <c r="G498" s="1234"/>
      <c r="H498" s="1234"/>
      <c r="I498" s="1234"/>
      <c r="J498" s="1234"/>
      <c r="K498" s="1234"/>
      <c r="L498" s="1234"/>
      <c r="M498" s="1234"/>
      <c r="N498" s="1234"/>
      <c r="O498" s="1234"/>
      <c r="P498" s="1234"/>
      <c r="Q498" s="1234"/>
      <c r="R498" s="1234"/>
      <c r="S498" s="1234"/>
      <c r="T498" s="1234"/>
      <c r="U498" s="1234"/>
      <c r="V498" s="1234"/>
      <c r="W498" s="1234"/>
      <c r="X498" s="1234"/>
      <c r="Y498" s="1234"/>
      <c r="Z498" s="1234"/>
    </row>
    <row r="499" spans="1:26" ht="14.5">
      <c r="A499" s="1234"/>
      <c r="B499" s="1234"/>
      <c r="C499" s="1234"/>
      <c r="D499" s="1234"/>
      <c r="E499" s="1234"/>
      <c r="F499" s="1234"/>
      <c r="G499" s="1234"/>
      <c r="H499" s="1234"/>
      <c r="I499" s="1234"/>
      <c r="J499" s="1234"/>
      <c r="K499" s="1234"/>
      <c r="L499" s="1234"/>
      <c r="M499" s="1234"/>
      <c r="N499" s="1234"/>
      <c r="O499" s="1234"/>
      <c r="P499" s="1234"/>
      <c r="Q499" s="1234"/>
      <c r="R499" s="1234"/>
      <c r="S499" s="1234"/>
      <c r="T499" s="1234"/>
      <c r="U499" s="1234"/>
      <c r="V499" s="1234"/>
      <c r="W499" s="1234"/>
      <c r="X499" s="1234"/>
      <c r="Y499" s="1234"/>
      <c r="Z499" s="1234"/>
    </row>
    <row r="500" spans="1:26" ht="14.5">
      <c r="A500" s="1234"/>
      <c r="B500" s="1234"/>
      <c r="C500" s="1234"/>
      <c r="D500" s="1234"/>
      <c r="E500" s="1234"/>
      <c r="F500" s="1234"/>
      <c r="G500" s="1234"/>
      <c r="H500" s="1234"/>
      <c r="I500" s="1234"/>
      <c r="J500" s="1234"/>
      <c r="K500" s="1234"/>
      <c r="L500" s="1234"/>
      <c r="M500" s="1234"/>
      <c r="N500" s="1234"/>
      <c r="O500" s="1234"/>
      <c r="P500" s="1234"/>
      <c r="Q500" s="1234"/>
      <c r="R500" s="1234"/>
      <c r="S500" s="1234"/>
      <c r="T500" s="1234"/>
      <c r="U500" s="1234"/>
      <c r="V500" s="1234"/>
      <c r="W500" s="1234"/>
      <c r="X500" s="1234"/>
      <c r="Y500" s="1234"/>
      <c r="Z500" s="1234"/>
    </row>
    <row r="501" spans="1:26" ht="14.5">
      <c r="A501" s="1234"/>
      <c r="B501" s="1234"/>
      <c r="C501" s="1234"/>
      <c r="D501" s="1234"/>
      <c r="E501" s="1234"/>
      <c r="F501" s="1234"/>
      <c r="G501" s="1234"/>
      <c r="H501" s="1234"/>
      <c r="I501" s="1234"/>
      <c r="J501" s="1234"/>
      <c r="K501" s="1234"/>
      <c r="L501" s="1234"/>
      <c r="M501" s="1234"/>
      <c r="N501" s="1234"/>
      <c r="O501" s="1234"/>
      <c r="P501" s="1234"/>
      <c r="Q501" s="1234"/>
      <c r="R501" s="1234"/>
      <c r="S501" s="1234"/>
      <c r="T501" s="1234"/>
      <c r="U501" s="1234"/>
      <c r="V501" s="1234"/>
      <c r="W501" s="1234"/>
      <c r="X501" s="1234"/>
      <c r="Y501" s="1234"/>
      <c r="Z501" s="1234"/>
    </row>
    <row r="502" spans="1:26" ht="14.5">
      <c r="A502" s="1234"/>
      <c r="B502" s="1234"/>
      <c r="C502" s="1234"/>
      <c r="D502" s="1234"/>
      <c r="E502" s="1234"/>
      <c r="F502" s="1234"/>
      <c r="G502" s="1234"/>
      <c r="H502" s="1234"/>
      <c r="I502" s="1234"/>
      <c r="J502" s="1234"/>
      <c r="K502" s="1234"/>
      <c r="L502" s="1234"/>
      <c r="M502" s="1234"/>
      <c r="N502" s="1234"/>
      <c r="O502" s="1234"/>
      <c r="P502" s="1234"/>
      <c r="Q502" s="1234"/>
      <c r="R502" s="1234"/>
      <c r="S502" s="1234"/>
      <c r="T502" s="1234"/>
      <c r="U502" s="1234"/>
      <c r="V502" s="1234"/>
      <c r="W502" s="1234"/>
      <c r="X502" s="1234"/>
      <c r="Y502" s="1234"/>
      <c r="Z502" s="1234"/>
    </row>
    <row r="503" spans="1:26" ht="14.5">
      <c r="A503" s="1234"/>
      <c r="B503" s="1234"/>
      <c r="C503" s="1234"/>
      <c r="D503" s="1234"/>
      <c r="E503" s="1234"/>
      <c r="F503" s="1234"/>
      <c r="G503" s="1234"/>
      <c r="H503" s="1234"/>
      <c r="I503" s="1234"/>
      <c r="J503" s="1234"/>
      <c r="K503" s="1234"/>
      <c r="L503" s="1234"/>
      <c r="M503" s="1234"/>
      <c r="N503" s="1234"/>
      <c r="O503" s="1234"/>
      <c r="P503" s="1234"/>
      <c r="Q503" s="1234"/>
      <c r="R503" s="1234"/>
      <c r="S503" s="1234"/>
      <c r="T503" s="1234"/>
      <c r="U503" s="1234"/>
      <c r="V503" s="1234"/>
      <c r="W503" s="1234"/>
      <c r="X503" s="1234"/>
      <c r="Y503" s="1234"/>
      <c r="Z503" s="1234"/>
    </row>
    <row r="504" spans="1:26" ht="14.5">
      <c r="A504" s="1234"/>
      <c r="B504" s="1234"/>
      <c r="C504" s="1234"/>
      <c r="D504" s="1234"/>
      <c r="E504" s="1234"/>
      <c r="F504" s="1234"/>
      <c r="G504" s="1234"/>
      <c r="H504" s="1234"/>
      <c r="I504" s="1234"/>
      <c r="J504" s="1234"/>
      <c r="K504" s="1234"/>
      <c r="L504" s="1234"/>
      <c r="M504" s="1234"/>
      <c r="N504" s="1234"/>
      <c r="O504" s="1234"/>
      <c r="P504" s="1234"/>
      <c r="Q504" s="1234"/>
      <c r="R504" s="1234"/>
      <c r="S504" s="1234"/>
      <c r="T504" s="1234"/>
      <c r="U504" s="1234"/>
      <c r="V504" s="1234"/>
      <c r="W504" s="1234"/>
      <c r="X504" s="1234"/>
      <c r="Y504" s="1234"/>
      <c r="Z504" s="1234"/>
    </row>
    <row r="505" spans="1:26" ht="14.5">
      <c r="A505" s="1234"/>
      <c r="B505" s="1234"/>
      <c r="C505" s="1234"/>
      <c r="D505" s="1234"/>
      <c r="E505" s="1234"/>
      <c r="F505" s="1234"/>
      <c r="G505" s="1234"/>
      <c r="H505" s="1234"/>
      <c r="I505" s="1234"/>
      <c r="J505" s="1234"/>
      <c r="K505" s="1234"/>
      <c r="L505" s="1234"/>
      <c r="M505" s="1234"/>
      <c r="N505" s="1234"/>
      <c r="O505" s="1234"/>
      <c r="P505" s="1234"/>
      <c r="Q505" s="1234"/>
      <c r="R505" s="1234"/>
      <c r="S505" s="1234"/>
      <c r="T505" s="1234"/>
      <c r="U505" s="1234"/>
      <c r="V505" s="1234"/>
      <c r="W505" s="1234"/>
      <c r="X505" s="1234"/>
      <c r="Y505" s="1234"/>
      <c r="Z505" s="1234"/>
    </row>
    <row r="506" spans="1:26" ht="14.5">
      <c r="A506" s="1234"/>
      <c r="B506" s="1234"/>
      <c r="C506" s="1234"/>
      <c r="D506" s="1234"/>
      <c r="E506" s="1234"/>
      <c r="F506" s="1234"/>
      <c r="G506" s="1234"/>
      <c r="H506" s="1234"/>
      <c r="I506" s="1234"/>
      <c r="J506" s="1234"/>
      <c r="K506" s="1234"/>
      <c r="L506" s="1234"/>
      <c r="M506" s="1234"/>
      <c r="N506" s="1234"/>
      <c r="O506" s="1234"/>
      <c r="P506" s="1234"/>
      <c r="Q506" s="1234"/>
      <c r="R506" s="1234"/>
      <c r="S506" s="1234"/>
      <c r="T506" s="1234"/>
      <c r="U506" s="1234"/>
      <c r="V506" s="1234"/>
      <c r="W506" s="1234"/>
      <c r="X506" s="1234"/>
      <c r="Y506" s="1234"/>
      <c r="Z506" s="1234"/>
    </row>
    <row r="507" spans="1:26" ht="14.5">
      <c r="A507" s="1234"/>
      <c r="B507" s="1234"/>
      <c r="C507" s="1234"/>
      <c r="D507" s="1234"/>
      <c r="E507" s="1234"/>
      <c r="F507" s="1234"/>
      <c r="G507" s="1234"/>
      <c r="H507" s="1234"/>
      <c r="I507" s="1234"/>
      <c r="J507" s="1234"/>
      <c r="K507" s="1234"/>
      <c r="L507" s="1234"/>
      <c r="M507" s="1234"/>
      <c r="N507" s="1234"/>
      <c r="O507" s="1234"/>
      <c r="P507" s="1234"/>
      <c r="Q507" s="1234"/>
      <c r="R507" s="1234"/>
      <c r="S507" s="1234"/>
      <c r="T507" s="1234"/>
      <c r="U507" s="1234"/>
      <c r="V507" s="1234"/>
      <c r="W507" s="1234"/>
      <c r="X507" s="1234"/>
      <c r="Y507" s="1234"/>
      <c r="Z507" s="1234"/>
    </row>
    <row r="508" spans="1:26" ht="14.5">
      <c r="A508" s="1234"/>
      <c r="B508" s="1234"/>
      <c r="C508" s="1234"/>
      <c r="D508" s="1234"/>
      <c r="E508" s="1234"/>
      <c r="F508" s="1234"/>
      <c r="G508" s="1234"/>
      <c r="H508" s="1234"/>
      <c r="I508" s="1234"/>
      <c r="J508" s="1234"/>
      <c r="K508" s="1234"/>
      <c r="L508" s="1234"/>
      <c r="M508" s="1234"/>
      <c r="N508" s="1234"/>
      <c r="O508" s="1234"/>
      <c r="P508" s="1234"/>
      <c r="Q508" s="1234"/>
      <c r="R508" s="1234"/>
      <c r="S508" s="1234"/>
      <c r="T508" s="1234"/>
      <c r="U508" s="1234"/>
      <c r="V508" s="1234"/>
      <c r="W508" s="1234"/>
      <c r="X508" s="1234"/>
      <c r="Y508" s="1234"/>
      <c r="Z508" s="1234"/>
    </row>
    <row r="509" spans="1:26" ht="14.5">
      <c r="A509" s="1234"/>
      <c r="B509" s="1234"/>
      <c r="C509" s="1234"/>
      <c r="D509" s="1234"/>
      <c r="E509" s="1234"/>
      <c r="F509" s="1234"/>
      <c r="G509" s="1234"/>
      <c r="H509" s="1234"/>
      <c r="I509" s="1234"/>
      <c r="J509" s="1234"/>
      <c r="K509" s="1234"/>
      <c r="L509" s="1234"/>
      <c r="M509" s="1234"/>
      <c r="N509" s="1234"/>
      <c r="O509" s="1234"/>
      <c r="P509" s="1234"/>
      <c r="Q509" s="1234"/>
      <c r="R509" s="1234"/>
      <c r="S509" s="1234"/>
      <c r="T509" s="1234"/>
      <c r="U509" s="1234"/>
      <c r="V509" s="1234"/>
      <c r="W509" s="1234"/>
      <c r="X509" s="1234"/>
      <c r="Y509" s="1234"/>
      <c r="Z509" s="1234"/>
    </row>
    <row r="510" spans="1:26" ht="14.5">
      <c r="A510" s="1234"/>
      <c r="B510" s="1234"/>
      <c r="C510" s="1234"/>
      <c r="D510" s="1234"/>
      <c r="E510" s="1234"/>
      <c r="F510" s="1234"/>
      <c r="G510" s="1234"/>
      <c r="H510" s="1234"/>
      <c r="I510" s="1234"/>
      <c r="J510" s="1234"/>
      <c r="K510" s="1234"/>
      <c r="L510" s="1234"/>
      <c r="M510" s="1234"/>
      <c r="N510" s="1234"/>
      <c r="O510" s="1234"/>
      <c r="P510" s="1234"/>
      <c r="Q510" s="1234"/>
      <c r="R510" s="1234"/>
      <c r="S510" s="1234"/>
      <c r="T510" s="1234"/>
      <c r="U510" s="1234"/>
      <c r="V510" s="1234"/>
      <c r="W510" s="1234"/>
      <c r="X510" s="1234"/>
      <c r="Y510" s="1234"/>
      <c r="Z510" s="1234"/>
    </row>
    <row r="511" spans="1:26" ht="14.5">
      <c r="A511" s="1234"/>
      <c r="B511" s="1234"/>
      <c r="C511" s="1234"/>
      <c r="D511" s="1234"/>
      <c r="E511" s="1234"/>
      <c r="F511" s="1234"/>
      <c r="G511" s="1234"/>
      <c r="H511" s="1234"/>
      <c r="I511" s="1234"/>
      <c r="J511" s="1234"/>
      <c r="K511" s="1234"/>
      <c r="L511" s="1234"/>
      <c r="M511" s="1234"/>
      <c r="N511" s="1234"/>
      <c r="O511" s="1234"/>
      <c r="P511" s="1234"/>
      <c r="Q511" s="1234"/>
      <c r="R511" s="1234"/>
      <c r="S511" s="1234"/>
      <c r="T511" s="1234"/>
      <c r="U511" s="1234"/>
      <c r="V511" s="1234"/>
      <c r="W511" s="1234"/>
      <c r="X511" s="1234"/>
      <c r="Y511" s="1234"/>
      <c r="Z511" s="1234"/>
    </row>
    <row r="512" spans="1:26" ht="14.5">
      <c r="A512" s="1234"/>
      <c r="B512" s="1234"/>
      <c r="C512" s="1234"/>
      <c r="D512" s="1234"/>
      <c r="E512" s="1234"/>
      <c r="F512" s="1234"/>
      <c r="G512" s="1234"/>
      <c r="H512" s="1234"/>
      <c r="I512" s="1234"/>
      <c r="J512" s="1234"/>
      <c r="K512" s="1234"/>
      <c r="L512" s="1234"/>
      <c r="M512" s="1234"/>
      <c r="N512" s="1234"/>
      <c r="O512" s="1234"/>
      <c r="P512" s="1234"/>
      <c r="Q512" s="1234"/>
      <c r="R512" s="1234"/>
      <c r="S512" s="1234"/>
      <c r="T512" s="1234"/>
      <c r="U512" s="1234"/>
      <c r="V512" s="1234"/>
      <c r="W512" s="1234"/>
      <c r="X512" s="1234"/>
      <c r="Y512" s="1234"/>
      <c r="Z512" s="1234"/>
    </row>
    <row r="513" spans="1:26" ht="14.5">
      <c r="A513" s="1234"/>
      <c r="B513" s="1234"/>
      <c r="C513" s="1234"/>
      <c r="D513" s="1234"/>
      <c r="E513" s="1234"/>
      <c r="F513" s="1234"/>
      <c r="G513" s="1234"/>
      <c r="H513" s="1234"/>
      <c r="I513" s="1234"/>
      <c r="J513" s="1234"/>
      <c r="K513" s="1234"/>
      <c r="L513" s="1234"/>
      <c r="M513" s="1234"/>
      <c r="N513" s="1234"/>
      <c r="O513" s="1234"/>
      <c r="P513" s="1234"/>
      <c r="Q513" s="1234"/>
      <c r="R513" s="1234"/>
      <c r="S513" s="1234"/>
      <c r="T513" s="1234"/>
      <c r="U513" s="1234"/>
      <c r="V513" s="1234"/>
      <c r="W513" s="1234"/>
      <c r="X513" s="1234"/>
      <c r="Y513" s="1234"/>
      <c r="Z513" s="1234"/>
    </row>
    <row r="514" spans="1:26" ht="14.5">
      <c r="A514" s="1234"/>
      <c r="B514" s="1234"/>
      <c r="C514" s="1234"/>
      <c r="D514" s="1234"/>
      <c r="E514" s="1234"/>
      <c r="F514" s="1234"/>
      <c r="G514" s="1234"/>
      <c r="H514" s="1234"/>
      <c r="I514" s="1234"/>
      <c r="J514" s="1234"/>
      <c r="K514" s="1234"/>
      <c r="L514" s="1234"/>
      <c r="M514" s="1234"/>
      <c r="N514" s="1234"/>
      <c r="O514" s="1234"/>
      <c r="P514" s="1234"/>
      <c r="Q514" s="1234"/>
      <c r="R514" s="1234"/>
      <c r="S514" s="1234"/>
      <c r="T514" s="1234"/>
      <c r="U514" s="1234"/>
      <c r="V514" s="1234"/>
      <c r="W514" s="1234"/>
      <c r="X514" s="1234"/>
      <c r="Y514" s="1234"/>
      <c r="Z514" s="1234"/>
    </row>
    <row r="515" spans="1:26" ht="14.5">
      <c r="A515" s="1234"/>
      <c r="B515" s="1234"/>
      <c r="C515" s="1234"/>
      <c r="D515" s="1234"/>
      <c r="E515" s="1234"/>
      <c r="F515" s="1234"/>
      <c r="G515" s="1234"/>
      <c r="H515" s="1234"/>
      <c r="I515" s="1234"/>
      <c r="J515" s="1234"/>
      <c r="K515" s="1234"/>
      <c r="L515" s="1234"/>
      <c r="M515" s="1234"/>
      <c r="N515" s="1234"/>
      <c r="O515" s="1234"/>
      <c r="P515" s="1234"/>
      <c r="Q515" s="1234"/>
      <c r="R515" s="1234"/>
      <c r="S515" s="1234"/>
      <c r="T515" s="1234"/>
      <c r="U515" s="1234"/>
      <c r="V515" s="1234"/>
      <c r="W515" s="1234"/>
      <c r="X515" s="1234"/>
      <c r="Y515" s="1234"/>
      <c r="Z515" s="1234"/>
    </row>
    <row r="516" spans="1:26" ht="14.5">
      <c r="A516" s="1234"/>
      <c r="B516" s="1234"/>
      <c r="C516" s="1234"/>
      <c r="D516" s="1234"/>
      <c r="E516" s="1234"/>
      <c r="F516" s="1234"/>
      <c r="G516" s="1234"/>
      <c r="H516" s="1234"/>
      <c r="I516" s="1234"/>
      <c r="J516" s="1234"/>
      <c r="K516" s="1234"/>
      <c r="L516" s="1234"/>
      <c r="M516" s="1234"/>
      <c r="N516" s="1234"/>
      <c r="O516" s="1234"/>
      <c r="P516" s="1234"/>
      <c r="Q516" s="1234"/>
      <c r="R516" s="1234"/>
      <c r="S516" s="1234"/>
      <c r="T516" s="1234"/>
      <c r="U516" s="1234"/>
      <c r="V516" s="1234"/>
      <c r="W516" s="1234"/>
      <c r="X516" s="1234"/>
      <c r="Y516" s="1234"/>
      <c r="Z516" s="1234"/>
    </row>
    <row r="517" spans="1:26" ht="14.5">
      <c r="A517" s="1234"/>
      <c r="B517" s="1234"/>
      <c r="C517" s="1234"/>
      <c r="D517" s="1234"/>
      <c r="E517" s="1234"/>
      <c r="F517" s="1234"/>
      <c r="G517" s="1234"/>
      <c r="H517" s="1234"/>
      <c r="I517" s="1234"/>
      <c r="J517" s="1234"/>
      <c r="K517" s="1234"/>
      <c r="L517" s="1234"/>
      <c r="M517" s="1234"/>
      <c r="N517" s="1234"/>
      <c r="O517" s="1234"/>
      <c r="P517" s="1234"/>
      <c r="Q517" s="1234"/>
      <c r="R517" s="1234"/>
      <c r="S517" s="1234"/>
      <c r="T517" s="1234"/>
      <c r="U517" s="1234"/>
      <c r="V517" s="1234"/>
      <c r="W517" s="1234"/>
      <c r="X517" s="1234"/>
      <c r="Y517" s="1234"/>
      <c r="Z517" s="1234"/>
    </row>
    <row r="518" spans="1:26" ht="14.5">
      <c r="A518" s="1234"/>
      <c r="B518" s="1234"/>
      <c r="C518" s="1234"/>
      <c r="D518" s="1234"/>
      <c r="E518" s="1234"/>
      <c r="F518" s="1234"/>
      <c r="G518" s="1234"/>
      <c r="H518" s="1234"/>
      <c r="I518" s="1234"/>
      <c r="J518" s="1234"/>
      <c r="K518" s="1234"/>
      <c r="L518" s="1234"/>
      <c r="M518" s="1234"/>
      <c r="N518" s="1234"/>
      <c r="O518" s="1234"/>
      <c r="P518" s="1234"/>
      <c r="Q518" s="1234"/>
      <c r="R518" s="1234"/>
      <c r="S518" s="1234"/>
      <c r="T518" s="1234"/>
      <c r="U518" s="1234"/>
      <c r="V518" s="1234"/>
      <c r="W518" s="1234"/>
      <c r="X518" s="1234"/>
      <c r="Y518" s="1234"/>
      <c r="Z518" s="1234"/>
    </row>
    <row r="519" spans="1:26" ht="14.5">
      <c r="A519" s="1234"/>
      <c r="B519" s="1234"/>
      <c r="C519" s="1234"/>
      <c r="D519" s="1234"/>
      <c r="E519" s="1234"/>
      <c r="F519" s="1234"/>
      <c r="G519" s="1234"/>
      <c r="H519" s="1234"/>
      <c r="I519" s="1234"/>
      <c r="J519" s="1234"/>
      <c r="K519" s="1234"/>
      <c r="L519" s="1234"/>
      <c r="M519" s="1234"/>
      <c r="N519" s="1234"/>
      <c r="O519" s="1234"/>
      <c r="P519" s="1234"/>
      <c r="Q519" s="1234"/>
      <c r="R519" s="1234"/>
      <c r="S519" s="1234"/>
      <c r="T519" s="1234"/>
      <c r="U519" s="1234"/>
      <c r="V519" s="1234"/>
      <c r="W519" s="1234"/>
      <c r="X519" s="1234"/>
      <c r="Y519" s="1234"/>
      <c r="Z519" s="1234"/>
    </row>
    <row r="520" spans="1:26" ht="14.5">
      <c r="A520" s="1234"/>
      <c r="B520" s="1234"/>
      <c r="C520" s="1234"/>
      <c r="D520" s="1234"/>
      <c r="E520" s="1234"/>
      <c r="F520" s="1234"/>
      <c r="G520" s="1234"/>
      <c r="H520" s="1234"/>
      <c r="I520" s="1234"/>
      <c r="J520" s="1234"/>
      <c r="K520" s="1234"/>
      <c r="L520" s="1234"/>
      <c r="M520" s="1234"/>
      <c r="N520" s="1234"/>
      <c r="O520" s="1234"/>
      <c r="P520" s="1234"/>
      <c r="Q520" s="1234"/>
      <c r="R520" s="1234"/>
      <c r="S520" s="1234"/>
      <c r="T520" s="1234"/>
      <c r="U520" s="1234"/>
      <c r="V520" s="1234"/>
      <c r="W520" s="1234"/>
      <c r="X520" s="1234"/>
      <c r="Y520" s="1234"/>
      <c r="Z520" s="1234"/>
    </row>
    <row r="521" spans="1:26" ht="14.5">
      <c r="A521" s="1234"/>
      <c r="B521" s="1234"/>
      <c r="C521" s="1234"/>
      <c r="D521" s="1234"/>
      <c r="E521" s="1234"/>
      <c r="F521" s="1234"/>
      <c r="G521" s="1234"/>
      <c r="H521" s="1234"/>
      <c r="I521" s="1234"/>
      <c r="J521" s="1234"/>
      <c r="K521" s="1234"/>
      <c r="L521" s="1234"/>
      <c r="M521" s="1234"/>
      <c r="N521" s="1234"/>
      <c r="O521" s="1234"/>
      <c r="P521" s="1234"/>
      <c r="Q521" s="1234"/>
      <c r="R521" s="1234"/>
      <c r="S521" s="1234"/>
      <c r="T521" s="1234"/>
      <c r="U521" s="1234"/>
      <c r="V521" s="1234"/>
      <c r="W521" s="1234"/>
      <c r="X521" s="1234"/>
      <c r="Y521" s="1234"/>
      <c r="Z521" s="1234"/>
    </row>
    <row r="522" spans="1:26" ht="14.5">
      <c r="A522" s="1234"/>
      <c r="B522" s="1234"/>
      <c r="C522" s="1234"/>
      <c r="D522" s="1234"/>
      <c r="E522" s="1234"/>
      <c r="F522" s="1234"/>
      <c r="G522" s="1234"/>
      <c r="H522" s="1234"/>
      <c r="I522" s="1234"/>
      <c r="J522" s="1234"/>
      <c r="K522" s="1234"/>
      <c r="L522" s="1234"/>
      <c r="M522" s="1234"/>
      <c r="N522" s="1234"/>
      <c r="O522" s="1234"/>
      <c r="P522" s="1234"/>
      <c r="Q522" s="1234"/>
      <c r="R522" s="1234"/>
      <c r="S522" s="1234"/>
      <c r="T522" s="1234"/>
      <c r="U522" s="1234"/>
      <c r="V522" s="1234"/>
      <c r="W522" s="1234"/>
      <c r="X522" s="1234"/>
      <c r="Y522" s="1234"/>
      <c r="Z522" s="1234"/>
    </row>
    <row r="523" spans="1:26" ht="14.5">
      <c r="A523" s="1234"/>
      <c r="B523" s="1234"/>
      <c r="C523" s="1234"/>
      <c r="D523" s="1234"/>
      <c r="E523" s="1234"/>
      <c r="F523" s="1234"/>
      <c r="G523" s="1234"/>
      <c r="H523" s="1234"/>
      <c r="I523" s="1234"/>
      <c r="J523" s="1234"/>
      <c r="K523" s="1234"/>
      <c r="L523" s="1234"/>
      <c r="M523" s="1234"/>
      <c r="N523" s="1234"/>
      <c r="O523" s="1234"/>
      <c r="P523" s="1234"/>
      <c r="Q523" s="1234"/>
      <c r="R523" s="1234"/>
      <c r="S523" s="1234"/>
      <c r="T523" s="1234"/>
      <c r="U523" s="1234"/>
      <c r="V523" s="1234"/>
      <c r="W523" s="1234"/>
      <c r="X523" s="1234"/>
      <c r="Y523" s="1234"/>
      <c r="Z523" s="1234"/>
    </row>
    <row r="524" spans="1:26" ht="14.5">
      <c r="A524" s="1234"/>
      <c r="B524" s="1234"/>
      <c r="C524" s="1234"/>
      <c r="D524" s="1234"/>
      <c r="E524" s="1234"/>
      <c r="F524" s="1234"/>
      <c r="G524" s="1234"/>
      <c r="H524" s="1234"/>
      <c r="I524" s="1234"/>
      <c r="J524" s="1234"/>
      <c r="K524" s="1234"/>
      <c r="L524" s="1234"/>
      <c r="M524" s="1234"/>
      <c r="N524" s="1234"/>
      <c r="O524" s="1234"/>
      <c r="P524" s="1234"/>
      <c r="Q524" s="1234"/>
      <c r="R524" s="1234"/>
      <c r="S524" s="1234"/>
      <c r="T524" s="1234"/>
      <c r="U524" s="1234"/>
      <c r="V524" s="1234"/>
      <c r="W524" s="1234"/>
      <c r="X524" s="1234"/>
      <c r="Y524" s="1234"/>
      <c r="Z524" s="1234"/>
    </row>
    <row r="525" spans="1:26" ht="14.5">
      <c r="A525" s="1234"/>
      <c r="B525" s="1234"/>
      <c r="C525" s="1234"/>
      <c r="D525" s="1234"/>
      <c r="E525" s="1234"/>
      <c r="F525" s="1234"/>
      <c r="G525" s="1234"/>
      <c r="H525" s="1234"/>
      <c r="I525" s="1234"/>
      <c r="J525" s="1234"/>
      <c r="K525" s="1234"/>
      <c r="L525" s="1234"/>
      <c r="M525" s="1234"/>
      <c r="N525" s="1234"/>
      <c r="O525" s="1234"/>
      <c r="P525" s="1234"/>
      <c r="Q525" s="1234"/>
      <c r="R525" s="1234"/>
      <c r="S525" s="1234"/>
      <c r="T525" s="1234"/>
      <c r="U525" s="1234"/>
      <c r="V525" s="1234"/>
      <c r="W525" s="1234"/>
      <c r="X525" s="1234"/>
      <c r="Y525" s="1234"/>
      <c r="Z525" s="1234"/>
    </row>
    <row r="526" spans="1:26" ht="14.5">
      <c r="A526" s="1234"/>
      <c r="B526" s="1234"/>
      <c r="C526" s="1234"/>
      <c r="D526" s="1234"/>
      <c r="E526" s="1234"/>
      <c r="F526" s="1234"/>
      <c r="G526" s="1234"/>
      <c r="H526" s="1234"/>
      <c r="I526" s="1234"/>
      <c r="J526" s="1234"/>
      <c r="K526" s="1234"/>
      <c r="L526" s="1234"/>
      <c r="M526" s="1234"/>
      <c r="N526" s="1234"/>
      <c r="O526" s="1234"/>
      <c r="P526" s="1234"/>
      <c r="Q526" s="1234"/>
      <c r="R526" s="1234"/>
      <c r="S526" s="1234"/>
      <c r="T526" s="1234"/>
      <c r="U526" s="1234"/>
      <c r="V526" s="1234"/>
      <c r="W526" s="1234"/>
      <c r="X526" s="1234"/>
      <c r="Y526" s="1234"/>
      <c r="Z526" s="1234"/>
    </row>
    <row r="527" spans="1:26" ht="14.5">
      <c r="A527" s="1234"/>
      <c r="B527" s="1234"/>
      <c r="C527" s="1234"/>
      <c r="D527" s="1234"/>
      <c r="E527" s="1234"/>
      <c r="F527" s="1234"/>
      <c r="G527" s="1234"/>
      <c r="H527" s="1234"/>
      <c r="I527" s="1234"/>
      <c r="J527" s="1234"/>
      <c r="K527" s="1234"/>
      <c r="L527" s="1234"/>
      <c r="M527" s="1234"/>
      <c r="N527" s="1234"/>
      <c r="O527" s="1234"/>
      <c r="P527" s="1234"/>
      <c r="Q527" s="1234"/>
      <c r="R527" s="1234"/>
      <c r="S527" s="1234"/>
      <c r="T527" s="1234"/>
      <c r="U527" s="1234"/>
      <c r="V527" s="1234"/>
      <c r="W527" s="1234"/>
      <c r="X527" s="1234"/>
      <c r="Y527" s="1234"/>
      <c r="Z527" s="1234"/>
    </row>
    <row r="528" spans="1:26" ht="14.5">
      <c r="A528" s="1234"/>
      <c r="B528" s="1234"/>
      <c r="C528" s="1234"/>
      <c r="D528" s="1234"/>
      <c r="E528" s="1234"/>
      <c r="F528" s="1234"/>
      <c r="G528" s="1234"/>
      <c r="H528" s="1234"/>
      <c r="I528" s="1234"/>
      <c r="J528" s="1234"/>
      <c r="K528" s="1234"/>
      <c r="L528" s="1234"/>
      <c r="M528" s="1234"/>
      <c r="N528" s="1234"/>
      <c r="O528" s="1234"/>
      <c r="P528" s="1234"/>
      <c r="Q528" s="1234"/>
      <c r="R528" s="1234"/>
      <c r="S528" s="1234"/>
      <c r="T528" s="1234"/>
      <c r="U528" s="1234"/>
      <c r="V528" s="1234"/>
      <c r="W528" s="1234"/>
      <c r="X528" s="1234"/>
      <c r="Y528" s="1234"/>
      <c r="Z528" s="1234"/>
    </row>
    <row r="529" spans="1:26" ht="14.5">
      <c r="A529" s="1234"/>
      <c r="B529" s="1234"/>
      <c r="C529" s="1234"/>
      <c r="D529" s="1234"/>
      <c r="E529" s="1234"/>
      <c r="F529" s="1234"/>
      <c r="G529" s="1234"/>
      <c r="H529" s="1234"/>
      <c r="I529" s="1234"/>
      <c r="J529" s="1234"/>
      <c r="K529" s="1234"/>
      <c r="L529" s="1234"/>
      <c r="M529" s="1234"/>
      <c r="N529" s="1234"/>
      <c r="O529" s="1234"/>
      <c r="P529" s="1234"/>
      <c r="Q529" s="1234"/>
      <c r="R529" s="1234"/>
      <c r="S529" s="1234"/>
      <c r="T529" s="1234"/>
      <c r="U529" s="1234"/>
      <c r="V529" s="1234"/>
      <c r="W529" s="1234"/>
      <c r="X529" s="1234"/>
      <c r="Y529" s="1234"/>
      <c r="Z529" s="1234"/>
    </row>
    <row r="530" spans="1:26" ht="14.5">
      <c r="A530" s="1234"/>
      <c r="B530" s="1234"/>
      <c r="C530" s="1234"/>
      <c r="D530" s="1234"/>
      <c r="E530" s="1234"/>
      <c r="F530" s="1234"/>
      <c r="G530" s="1234"/>
      <c r="H530" s="1234"/>
      <c r="I530" s="1234"/>
      <c r="J530" s="1234"/>
      <c r="K530" s="1234"/>
      <c r="L530" s="1234"/>
      <c r="M530" s="1234"/>
      <c r="N530" s="1234"/>
      <c r="O530" s="1234"/>
      <c r="P530" s="1234"/>
      <c r="Q530" s="1234"/>
      <c r="R530" s="1234"/>
      <c r="S530" s="1234"/>
      <c r="T530" s="1234"/>
      <c r="U530" s="1234"/>
      <c r="V530" s="1234"/>
      <c r="W530" s="1234"/>
      <c r="X530" s="1234"/>
      <c r="Y530" s="1234"/>
      <c r="Z530" s="1234"/>
    </row>
    <row r="531" spans="1:26" ht="14.5">
      <c r="A531" s="1234"/>
      <c r="B531" s="1234"/>
      <c r="C531" s="1234"/>
      <c r="D531" s="1234"/>
      <c r="E531" s="1234"/>
      <c r="F531" s="1234"/>
      <c r="G531" s="1234"/>
      <c r="H531" s="1234"/>
      <c r="I531" s="1234"/>
      <c r="J531" s="1234"/>
      <c r="K531" s="1234"/>
      <c r="L531" s="1234"/>
      <c r="M531" s="1234"/>
      <c r="N531" s="1234"/>
      <c r="O531" s="1234"/>
      <c r="P531" s="1234"/>
      <c r="Q531" s="1234"/>
      <c r="R531" s="1234"/>
      <c r="S531" s="1234"/>
      <c r="T531" s="1234"/>
      <c r="U531" s="1234"/>
      <c r="V531" s="1234"/>
      <c r="W531" s="1234"/>
      <c r="X531" s="1234"/>
      <c r="Y531" s="1234"/>
      <c r="Z531" s="1234"/>
    </row>
    <row r="532" spans="1:26" ht="14.5">
      <c r="A532" s="1234"/>
      <c r="B532" s="1234"/>
      <c r="C532" s="1234"/>
      <c r="D532" s="1234"/>
      <c r="E532" s="1234"/>
      <c r="F532" s="1234"/>
      <c r="G532" s="1234"/>
      <c r="H532" s="1234"/>
      <c r="I532" s="1234"/>
      <c r="J532" s="1234"/>
      <c r="K532" s="1234"/>
      <c r="L532" s="1234"/>
      <c r="M532" s="1234"/>
      <c r="N532" s="1234"/>
      <c r="O532" s="1234"/>
      <c r="P532" s="1234"/>
      <c r="Q532" s="1234"/>
      <c r="R532" s="1234"/>
      <c r="S532" s="1234"/>
      <c r="T532" s="1234"/>
      <c r="U532" s="1234"/>
      <c r="V532" s="1234"/>
      <c r="W532" s="1234"/>
      <c r="X532" s="1234"/>
      <c r="Y532" s="1234"/>
      <c r="Z532" s="1234"/>
    </row>
    <row r="533" spans="1:26" ht="14.5">
      <c r="A533" s="1234"/>
      <c r="B533" s="1234"/>
      <c r="C533" s="1234"/>
      <c r="D533" s="1234"/>
      <c r="E533" s="1234"/>
      <c r="F533" s="1234"/>
      <c r="G533" s="1234"/>
      <c r="H533" s="1234"/>
      <c r="I533" s="1234"/>
      <c r="J533" s="1234"/>
      <c r="K533" s="1234"/>
      <c r="L533" s="1234"/>
      <c r="M533" s="1234"/>
      <c r="N533" s="1234"/>
      <c r="O533" s="1234"/>
      <c r="P533" s="1234"/>
      <c r="Q533" s="1234"/>
      <c r="R533" s="1234"/>
      <c r="S533" s="1234"/>
      <c r="T533" s="1234"/>
      <c r="U533" s="1234"/>
      <c r="V533" s="1234"/>
      <c r="W533" s="1234"/>
      <c r="X533" s="1234"/>
      <c r="Y533" s="1234"/>
      <c r="Z533" s="1234"/>
    </row>
    <row r="534" spans="1:26" ht="14.5">
      <c r="A534" s="1234"/>
      <c r="B534" s="1234"/>
      <c r="C534" s="1234"/>
      <c r="D534" s="1234"/>
      <c r="E534" s="1234"/>
      <c r="F534" s="1234"/>
      <c r="G534" s="1234"/>
      <c r="H534" s="1234"/>
      <c r="I534" s="1234"/>
      <c r="J534" s="1234"/>
      <c r="K534" s="1234"/>
      <c r="L534" s="1234"/>
      <c r="M534" s="1234"/>
      <c r="N534" s="1234"/>
      <c r="O534" s="1234"/>
      <c r="P534" s="1234"/>
      <c r="Q534" s="1234"/>
      <c r="R534" s="1234"/>
      <c r="S534" s="1234"/>
      <c r="T534" s="1234"/>
      <c r="U534" s="1234"/>
      <c r="V534" s="1234"/>
      <c r="W534" s="1234"/>
      <c r="X534" s="1234"/>
      <c r="Y534" s="1234"/>
      <c r="Z534" s="1234"/>
    </row>
    <row r="535" spans="1:26" ht="14.5">
      <c r="A535" s="1234"/>
      <c r="B535" s="1234"/>
      <c r="C535" s="1234"/>
      <c r="D535" s="1234"/>
      <c r="E535" s="1234"/>
      <c r="F535" s="1234"/>
      <c r="G535" s="1234"/>
      <c r="H535" s="1234"/>
      <c r="I535" s="1234"/>
      <c r="J535" s="1234"/>
      <c r="K535" s="1234"/>
      <c r="L535" s="1234"/>
      <c r="M535" s="1234"/>
      <c r="N535" s="1234"/>
      <c r="O535" s="1234"/>
      <c r="P535" s="1234"/>
      <c r="Q535" s="1234"/>
      <c r="R535" s="1234"/>
      <c r="S535" s="1234"/>
      <c r="T535" s="1234"/>
      <c r="U535" s="1234"/>
      <c r="V535" s="1234"/>
      <c r="W535" s="1234"/>
      <c r="X535" s="1234"/>
      <c r="Y535" s="1234"/>
      <c r="Z535" s="1234"/>
    </row>
    <row r="536" spans="1:26" ht="14.5">
      <c r="A536" s="1234"/>
      <c r="B536" s="1234"/>
      <c r="C536" s="1234"/>
      <c r="D536" s="1234"/>
      <c r="E536" s="1234"/>
      <c r="F536" s="1234"/>
      <c r="G536" s="1234"/>
      <c r="H536" s="1234"/>
      <c r="I536" s="1234"/>
      <c r="J536" s="1234"/>
      <c r="K536" s="1234"/>
      <c r="L536" s="1234"/>
      <c r="M536" s="1234"/>
      <c r="N536" s="1234"/>
      <c r="O536" s="1234"/>
      <c r="P536" s="1234"/>
      <c r="Q536" s="1234"/>
      <c r="R536" s="1234"/>
      <c r="S536" s="1234"/>
      <c r="T536" s="1234"/>
      <c r="U536" s="1234"/>
      <c r="V536" s="1234"/>
      <c r="W536" s="1234"/>
      <c r="X536" s="1234"/>
      <c r="Y536" s="1234"/>
      <c r="Z536" s="1234"/>
    </row>
    <row r="537" spans="1:26" ht="14.5">
      <c r="A537" s="1234"/>
      <c r="B537" s="1234"/>
      <c r="C537" s="1234"/>
      <c r="D537" s="1234"/>
      <c r="E537" s="1234"/>
      <c r="F537" s="1234"/>
      <c r="G537" s="1234"/>
      <c r="H537" s="1234"/>
      <c r="I537" s="1234"/>
      <c r="J537" s="1234"/>
      <c r="K537" s="1234"/>
      <c r="L537" s="1234"/>
      <c r="M537" s="1234"/>
      <c r="N537" s="1234"/>
      <c r="O537" s="1234"/>
      <c r="P537" s="1234"/>
      <c r="Q537" s="1234"/>
      <c r="R537" s="1234"/>
      <c r="S537" s="1234"/>
      <c r="T537" s="1234"/>
      <c r="U537" s="1234"/>
      <c r="V537" s="1234"/>
      <c r="W537" s="1234"/>
      <c r="X537" s="1234"/>
      <c r="Y537" s="1234"/>
      <c r="Z537" s="1234"/>
    </row>
    <row r="538" spans="1:26" ht="14.5">
      <c r="A538" s="1234"/>
      <c r="B538" s="1234"/>
      <c r="C538" s="1234"/>
      <c r="D538" s="1234"/>
      <c r="E538" s="1234"/>
      <c r="F538" s="1234"/>
      <c r="G538" s="1234"/>
      <c r="H538" s="1234"/>
      <c r="I538" s="1234"/>
      <c r="J538" s="1234"/>
      <c r="K538" s="1234"/>
      <c r="L538" s="1234"/>
      <c r="M538" s="1234"/>
      <c r="N538" s="1234"/>
      <c r="O538" s="1234"/>
      <c r="P538" s="1234"/>
      <c r="Q538" s="1234"/>
      <c r="R538" s="1234"/>
      <c r="S538" s="1234"/>
      <c r="T538" s="1234"/>
      <c r="U538" s="1234"/>
      <c r="V538" s="1234"/>
      <c r="W538" s="1234"/>
      <c r="X538" s="1234"/>
      <c r="Y538" s="1234"/>
      <c r="Z538" s="1234"/>
    </row>
    <row r="539" spans="1:26" ht="14.5">
      <c r="A539" s="1234"/>
      <c r="B539" s="1234"/>
      <c r="C539" s="1234"/>
      <c r="D539" s="1234"/>
      <c r="E539" s="1234"/>
      <c r="F539" s="1234"/>
      <c r="G539" s="1234"/>
      <c r="H539" s="1234"/>
      <c r="I539" s="1234"/>
      <c r="J539" s="1234"/>
      <c r="K539" s="1234"/>
      <c r="L539" s="1234"/>
      <c r="M539" s="1234"/>
      <c r="N539" s="1234"/>
      <c r="O539" s="1234"/>
      <c r="P539" s="1234"/>
      <c r="Q539" s="1234"/>
      <c r="R539" s="1234"/>
      <c r="S539" s="1234"/>
      <c r="T539" s="1234"/>
      <c r="U539" s="1234"/>
      <c r="V539" s="1234"/>
      <c r="W539" s="1234"/>
      <c r="X539" s="1234"/>
      <c r="Y539" s="1234"/>
      <c r="Z539" s="1234"/>
    </row>
    <row r="540" spans="1:26" ht="14.5">
      <c r="A540" s="1234"/>
      <c r="B540" s="1234"/>
      <c r="C540" s="1234"/>
      <c r="D540" s="1234"/>
      <c r="E540" s="1234"/>
      <c r="F540" s="1234"/>
      <c r="G540" s="1234"/>
      <c r="H540" s="1234"/>
      <c r="I540" s="1234"/>
      <c r="J540" s="1234"/>
      <c r="K540" s="1234"/>
      <c r="L540" s="1234"/>
      <c r="M540" s="1234"/>
      <c r="N540" s="1234"/>
      <c r="O540" s="1234"/>
      <c r="P540" s="1234"/>
      <c r="Q540" s="1234"/>
      <c r="R540" s="1234"/>
      <c r="S540" s="1234"/>
      <c r="T540" s="1234"/>
      <c r="U540" s="1234"/>
      <c r="V540" s="1234"/>
      <c r="W540" s="1234"/>
      <c r="X540" s="1234"/>
      <c r="Y540" s="1234"/>
      <c r="Z540" s="1234"/>
    </row>
    <row r="541" spans="1:26" ht="14.5">
      <c r="A541" s="1234"/>
      <c r="B541" s="1234"/>
      <c r="C541" s="1234"/>
      <c r="D541" s="1234"/>
      <c r="E541" s="1234"/>
      <c r="F541" s="1234"/>
      <c r="G541" s="1234"/>
      <c r="H541" s="1234"/>
      <c r="I541" s="1234"/>
      <c r="J541" s="1234"/>
      <c r="K541" s="1234"/>
      <c r="L541" s="1234"/>
      <c r="M541" s="1234"/>
      <c r="N541" s="1234"/>
      <c r="O541" s="1234"/>
      <c r="P541" s="1234"/>
      <c r="Q541" s="1234"/>
      <c r="R541" s="1234"/>
      <c r="S541" s="1234"/>
      <c r="T541" s="1234"/>
      <c r="U541" s="1234"/>
      <c r="V541" s="1234"/>
      <c r="W541" s="1234"/>
      <c r="X541" s="1234"/>
      <c r="Y541" s="1234"/>
      <c r="Z541" s="1234"/>
    </row>
    <row r="542" spans="1:26" ht="14.5">
      <c r="A542" s="1234"/>
      <c r="B542" s="1234"/>
      <c r="C542" s="1234"/>
      <c r="D542" s="1234"/>
      <c r="E542" s="1234"/>
      <c r="F542" s="1234"/>
      <c r="G542" s="1234"/>
      <c r="H542" s="1234"/>
      <c r="I542" s="1234"/>
      <c r="J542" s="1234"/>
      <c r="K542" s="1234"/>
      <c r="L542" s="1234"/>
      <c r="M542" s="1234"/>
      <c r="N542" s="1234"/>
      <c r="O542" s="1234"/>
      <c r="P542" s="1234"/>
      <c r="Q542" s="1234"/>
      <c r="R542" s="1234"/>
      <c r="S542" s="1234"/>
      <c r="T542" s="1234"/>
      <c r="U542" s="1234"/>
      <c r="V542" s="1234"/>
      <c r="W542" s="1234"/>
      <c r="X542" s="1234"/>
      <c r="Y542" s="1234"/>
      <c r="Z542" s="1234"/>
    </row>
    <row r="543" spans="1:26" ht="14.5">
      <c r="A543" s="1234"/>
      <c r="B543" s="1234"/>
      <c r="C543" s="1234"/>
      <c r="D543" s="1234"/>
      <c r="E543" s="1234"/>
      <c r="F543" s="1234"/>
      <c r="G543" s="1234"/>
      <c r="H543" s="1234"/>
      <c r="I543" s="1234"/>
      <c r="J543" s="1234"/>
      <c r="K543" s="1234"/>
      <c r="L543" s="1234"/>
      <c r="M543" s="1234"/>
      <c r="N543" s="1234"/>
      <c r="O543" s="1234"/>
      <c r="P543" s="1234"/>
      <c r="Q543" s="1234"/>
      <c r="R543" s="1234"/>
      <c r="S543" s="1234"/>
      <c r="T543" s="1234"/>
      <c r="U543" s="1234"/>
      <c r="V543" s="1234"/>
      <c r="W543" s="1234"/>
      <c r="X543" s="1234"/>
      <c r="Y543" s="1234"/>
      <c r="Z543" s="1234"/>
    </row>
    <row r="544" spans="1:26" ht="14.5">
      <c r="A544" s="1234"/>
      <c r="B544" s="1234"/>
      <c r="C544" s="1234"/>
      <c r="D544" s="1234"/>
      <c r="E544" s="1234"/>
      <c r="F544" s="1234"/>
      <c r="G544" s="1234"/>
      <c r="H544" s="1234"/>
      <c r="I544" s="1234"/>
      <c r="J544" s="1234"/>
      <c r="K544" s="1234"/>
      <c r="L544" s="1234"/>
      <c r="M544" s="1234"/>
      <c r="N544" s="1234"/>
      <c r="O544" s="1234"/>
      <c r="P544" s="1234"/>
      <c r="Q544" s="1234"/>
      <c r="R544" s="1234"/>
      <c r="S544" s="1234"/>
      <c r="T544" s="1234"/>
      <c r="U544" s="1234"/>
      <c r="V544" s="1234"/>
      <c r="W544" s="1234"/>
      <c r="X544" s="1234"/>
      <c r="Y544" s="1234"/>
      <c r="Z544" s="1234"/>
    </row>
    <row r="545" spans="1:26" ht="14.5">
      <c r="A545" s="1234"/>
      <c r="B545" s="1234"/>
      <c r="C545" s="1234"/>
      <c r="D545" s="1234"/>
      <c r="E545" s="1234"/>
      <c r="F545" s="1234"/>
      <c r="G545" s="1234"/>
      <c r="H545" s="1234"/>
      <c r="I545" s="1234"/>
      <c r="J545" s="1234"/>
      <c r="K545" s="1234"/>
      <c r="L545" s="1234"/>
      <c r="M545" s="1234"/>
      <c r="N545" s="1234"/>
      <c r="O545" s="1234"/>
      <c r="P545" s="1234"/>
      <c r="Q545" s="1234"/>
      <c r="R545" s="1234"/>
      <c r="S545" s="1234"/>
      <c r="T545" s="1234"/>
      <c r="U545" s="1234"/>
      <c r="V545" s="1234"/>
      <c r="W545" s="1234"/>
      <c r="X545" s="1234"/>
      <c r="Y545" s="1234"/>
      <c r="Z545" s="1234"/>
    </row>
    <row r="546" spans="1:26" ht="14.5">
      <c r="A546" s="1234"/>
      <c r="B546" s="1234"/>
      <c r="C546" s="1234"/>
      <c r="D546" s="1234"/>
      <c r="E546" s="1234"/>
      <c r="F546" s="1234"/>
      <c r="G546" s="1234"/>
      <c r="H546" s="1234"/>
      <c r="I546" s="1234"/>
      <c r="J546" s="1234"/>
      <c r="K546" s="1234"/>
      <c r="L546" s="1234"/>
      <c r="M546" s="1234"/>
      <c r="N546" s="1234"/>
      <c r="O546" s="1234"/>
      <c r="P546" s="1234"/>
      <c r="Q546" s="1234"/>
      <c r="R546" s="1234"/>
      <c r="S546" s="1234"/>
      <c r="T546" s="1234"/>
      <c r="U546" s="1234"/>
      <c r="V546" s="1234"/>
      <c r="W546" s="1234"/>
      <c r="X546" s="1234"/>
      <c r="Y546" s="1234"/>
      <c r="Z546" s="1234"/>
    </row>
    <row r="547" spans="1:26" ht="14.5">
      <c r="A547" s="1234"/>
      <c r="B547" s="1234"/>
      <c r="C547" s="1234"/>
      <c r="D547" s="1234"/>
      <c r="E547" s="1234"/>
      <c r="F547" s="1234"/>
      <c r="G547" s="1234"/>
      <c r="H547" s="1234"/>
      <c r="I547" s="1234"/>
      <c r="J547" s="1234"/>
      <c r="K547" s="1234"/>
      <c r="L547" s="1234"/>
      <c r="M547" s="1234"/>
      <c r="N547" s="1234"/>
      <c r="O547" s="1234"/>
      <c r="P547" s="1234"/>
      <c r="Q547" s="1234"/>
      <c r="R547" s="1234"/>
      <c r="S547" s="1234"/>
      <c r="T547" s="1234"/>
      <c r="U547" s="1234"/>
      <c r="V547" s="1234"/>
      <c r="W547" s="1234"/>
      <c r="X547" s="1234"/>
      <c r="Y547" s="1234"/>
      <c r="Z547" s="1234"/>
    </row>
    <row r="548" spans="1:26" ht="14.5">
      <c r="A548" s="1234"/>
      <c r="B548" s="1234"/>
      <c r="C548" s="1234"/>
      <c r="D548" s="1234"/>
      <c r="E548" s="1234"/>
      <c r="F548" s="1234"/>
      <c r="G548" s="1234"/>
      <c r="H548" s="1234"/>
      <c r="I548" s="1234"/>
      <c r="J548" s="1234"/>
      <c r="K548" s="1234"/>
      <c r="L548" s="1234"/>
      <c r="M548" s="1234"/>
      <c r="N548" s="1234"/>
      <c r="O548" s="1234"/>
      <c r="P548" s="1234"/>
      <c r="Q548" s="1234"/>
      <c r="R548" s="1234"/>
      <c r="S548" s="1234"/>
      <c r="T548" s="1234"/>
      <c r="U548" s="1234"/>
      <c r="V548" s="1234"/>
      <c r="W548" s="1234"/>
      <c r="X548" s="1234"/>
      <c r="Y548" s="1234"/>
      <c r="Z548" s="1234"/>
    </row>
    <row r="549" spans="1:26" ht="14.5">
      <c r="A549" s="1234"/>
      <c r="B549" s="1234"/>
      <c r="C549" s="1234"/>
      <c r="D549" s="1234"/>
      <c r="E549" s="1234"/>
      <c r="F549" s="1234"/>
      <c r="G549" s="1234"/>
      <c r="H549" s="1234"/>
      <c r="I549" s="1234"/>
      <c r="J549" s="1234"/>
      <c r="K549" s="1234"/>
      <c r="L549" s="1234"/>
      <c r="M549" s="1234"/>
      <c r="N549" s="1234"/>
      <c r="O549" s="1234"/>
      <c r="P549" s="1234"/>
      <c r="Q549" s="1234"/>
      <c r="R549" s="1234"/>
      <c r="S549" s="1234"/>
      <c r="T549" s="1234"/>
      <c r="U549" s="1234"/>
      <c r="V549" s="1234"/>
      <c r="W549" s="1234"/>
      <c r="X549" s="1234"/>
      <c r="Y549" s="1234"/>
      <c r="Z549" s="1234"/>
    </row>
    <row r="550" spans="1:26" ht="14.5">
      <c r="A550" s="1234"/>
      <c r="B550" s="1234"/>
      <c r="C550" s="1234"/>
      <c r="D550" s="1234"/>
      <c r="E550" s="1234"/>
      <c r="F550" s="1234"/>
      <c r="G550" s="1234"/>
      <c r="H550" s="1234"/>
      <c r="I550" s="1234"/>
      <c r="J550" s="1234"/>
      <c r="K550" s="1234"/>
      <c r="L550" s="1234"/>
      <c r="M550" s="1234"/>
      <c r="N550" s="1234"/>
      <c r="O550" s="1234"/>
      <c r="P550" s="1234"/>
      <c r="Q550" s="1234"/>
      <c r="R550" s="1234"/>
      <c r="S550" s="1234"/>
      <c r="T550" s="1234"/>
      <c r="U550" s="1234"/>
      <c r="V550" s="1234"/>
      <c r="W550" s="1234"/>
      <c r="X550" s="1234"/>
      <c r="Y550" s="1234"/>
      <c r="Z550" s="1234"/>
    </row>
    <row r="551" spans="1:26" ht="14.5">
      <c r="A551" s="1234"/>
      <c r="B551" s="1234"/>
      <c r="C551" s="1234"/>
      <c r="D551" s="1234"/>
      <c r="E551" s="1234"/>
      <c r="F551" s="1234"/>
      <c r="G551" s="1234"/>
      <c r="H551" s="1234"/>
      <c r="I551" s="1234"/>
      <c r="J551" s="1234"/>
      <c r="K551" s="1234"/>
      <c r="L551" s="1234"/>
      <c r="M551" s="1234"/>
      <c r="N551" s="1234"/>
      <c r="O551" s="1234"/>
      <c r="P551" s="1234"/>
      <c r="Q551" s="1234"/>
      <c r="R551" s="1234"/>
      <c r="S551" s="1234"/>
      <c r="T551" s="1234"/>
      <c r="U551" s="1234"/>
      <c r="V551" s="1234"/>
      <c r="W551" s="1234"/>
      <c r="X551" s="1234"/>
      <c r="Y551" s="1234"/>
      <c r="Z551" s="1234"/>
    </row>
    <row r="552" spans="1:26" ht="14.5">
      <c r="A552" s="1234"/>
      <c r="B552" s="1234"/>
      <c r="C552" s="1234"/>
      <c r="D552" s="1234"/>
      <c r="E552" s="1234"/>
      <c r="F552" s="1234"/>
      <c r="G552" s="1234"/>
      <c r="H552" s="1234"/>
      <c r="I552" s="1234"/>
      <c r="J552" s="1234"/>
      <c r="K552" s="1234"/>
      <c r="L552" s="1234"/>
      <c r="M552" s="1234"/>
      <c r="N552" s="1234"/>
      <c r="O552" s="1234"/>
      <c r="P552" s="1234"/>
      <c r="Q552" s="1234"/>
      <c r="R552" s="1234"/>
      <c r="S552" s="1234"/>
      <c r="T552" s="1234"/>
      <c r="U552" s="1234"/>
      <c r="V552" s="1234"/>
      <c r="W552" s="1234"/>
      <c r="X552" s="1234"/>
      <c r="Y552" s="1234"/>
      <c r="Z552" s="1234"/>
    </row>
    <row r="553" spans="1:26" ht="14.5">
      <c r="A553" s="1234"/>
      <c r="B553" s="1234"/>
      <c r="C553" s="1234"/>
      <c r="D553" s="1234"/>
      <c r="E553" s="1234"/>
      <c r="F553" s="1234"/>
      <c r="G553" s="1234"/>
      <c r="H553" s="1234"/>
      <c r="I553" s="1234"/>
      <c r="J553" s="1234"/>
      <c r="K553" s="1234"/>
      <c r="L553" s="1234"/>
      <c r="M553" s="1234"/>
      <c r="N553" s="1234"/>
      <c r="O553" s="1234"/>
      <c r="P553" s="1234"/>
      <c r="Q553" s="1234"/>
      <c r="R553" s="1234"/>
      <c r="S553" s="1234"/>
      <c r="T553" s="1234"/>
      <c r="U553" s="1234"/>
      <c r="V553" s="1234"/>
      <c r="W553" s="1234"/>
      <c r="X553" s="1234"/>
      <c r="Y553" s="1234"/>
      <c r="Z553" s="1234"/>
    </row>
    <row r="554" spans="1:26" ht="14.5">
      <c r="A554" s="1234"/>
      <c r="B554" s="1234"/>
      <c r="C554" s="1234"/>
      <c r="D554" s="1234"/>
      <c r="E554" s="1234"/>
      <c r="F554" s="1234"/>
      <c r="G554" s="1234"/>
      <c r="H554" s="1234"/>
      <c r="I554" s="1234"/>
      <c r="J554" s="1234"/>
      <c r="K554" s="1234"/>
      <c r="L554" s="1234"/>
      <c r="M554" s="1234"/>
      <c r="N554" s="1234"/>
      <c r="O554" s="1234"/>
      <c r="P554" s="1234"/>
      <c r="Q554" s="1234"/>
      <c r="R554" s="1234"/>
      <c r="S554" s="1234"/>
      <c r="T554" s="1234"/>
      <c r="U554" s="1234"/>
      <c r="V554" s="1234"/>
      <c r="W554" s="1234"/>
      <c r="X554" s="1234"/>
      <c r="Y554" s="1234"/>
      <c r="Z554" s="1234"/>
    </row>
    <row r="555" spans="1:26" ht="14.5">
      <c r="A555" s="1234"/>
      <c r="B555" s="1234"/>
      <c r="C555" s="1234"/>
      <c r="D555" s="1234"/>
      <c r="E555" s="1234"/>
      <c r="F555" s="1234"/>
      <c r="G555" s="1234"/>
      <c r="H555" s="1234"/>
      <c r="I555" s="1234"/>
      <c r="J555" s="1234"/>
      <c r="K555" s="1234"/>
      <c r="L555" s="1234"/>
      <c r="M555" s="1234"/>
      <c r="N555" s="1234"/>
      <c r="O555" s="1234"/>
      <c r="P555" s="1234"/>
      <c r="Q555" s="1234"/>
      <c r="R555" s="1234"/>
      <c r="S555" s="1234"/>
      <c r="T555" s="1234"/>
      <c r="U555" s="1234"/>
      <c r="V555" s="1234"/>
      <c r="W555" s="1234"/>
      <c r="X555" s="1234"/>
      <c r="Y555" s="1234"/>
      <c r="Z555" s="1234"/>
    </row>
    <row r="556" spans="1:26" ht="14.5">
      <c r="A556" s="1234"/>
      <c r="B556" s="1234"/>
      <c r="C556" s="1234"/>
      <c r="D556" s="1234"/>
      <c r="E556" s="1234"/>
      <c r="F556" s="1234"/>
      <c r="G556" s="1234"/>
      <c r="H556" s="1234"/>
      <c r="I556" s="1234"/>
      <c r="J556" s="1234"/>
      <c r="K556" s="1234"/>
      <c r="L556" s="1234"/>
      <c r="M556" s="1234"/>
      <c r="N556" s="1234"/>
      <c r="O556" s="1234"/>
      <c r="P556" s="1234"/>
      <c r="Q556" s="1234"/>
      <c r="R556" s="1234"/>
      <c r="S556" s="1234"/>
      <c r="T556" s="1234"/>
      <c r="U556" s="1234"/>
      <c r="V556" s="1234"/>
      <c r="W556" s="1234"/>
      <c r="X556" s="1234"/>
      <c r="Y556" s="1234"/>
      <c r="Z556" s="1234"/>
    </row>
    <row r="557" spans="1:26" ht="14.5">
      <c r="A557" s="1234"/>
      <c r="B557" s="1234"/>
      <c r="C557" s="1234"/>
      <c r="D557" s="1234"/>
      <c r="E557" s="1234"/>
      <c r="F557" s="1234"/>
      <c r="G557" s="1234"/>
      <c r="H557" s="1234"/>
      <c r="I557" s="1234"/>
      <c r="J557" s="1234"/>
      <c r="K557" s="1234"/>
      <c r="L557" s="1234"/>
      <c r="M557" s="1234"/>
      <c r="N557" s="1234"/>
      <c r="O557" s="1234"/>
      <c r="P557" s="1234"/>
      <c r="Q557" s="1234"/>
      <c r="R557" s="1234"/>
      <c r="S557" s="1234"/>
      <c r="T557" s="1234"/>
      <c r="U557" s="1234"/>
      <c r="V557" s="1234"/>
      <c r="W557" s="1234"/>
      <c r="X557" s="1234"/>
      <c r="Y557" s="1234"/>
      <c r="Z557" s="1234"/>
    </row>
    <row r="558" spans="1:26" ht="14.5">
      <c r="A558" s="1234"/>
      <c r="B558" s="1234"/>
      <c r="C558" s="1234"/>
      <c r="D558" s="1234"/>
      <c r="E558" s="1234"/>
      <c r="F558" s="1234"/>
      <c r="G558" s="1234"/>
      <c r="H558" s="1234"/>
      <c r="I558" s="1234"/>
      <c r="J558" s="1234"/>
      <c r="K558" s="1234"/>
      <c r="L558" s="1234"/>
      <c r="M558" s="1234"/>
      <c r="N558" s="1234"/>
      <c r="O558" s="1234"/>
      <c r="P558" s="1234"/>
      <c r="Q558" s="1234"/>
      <c r="R558" s="1234"/>
      <c r="S558" s="1234"/>
      <c r="T558" s="1234"/>
      <c r="U558" s="1234"/>
      <c r="V558" s="1234"/>
      <c r="W558" s="1234"/>
      <c r="X558" s="1234"/>
      <c r="Y558" s="1234"/>
      <c r="Z558" s="1234"/>
    </row>
    <row r="559" spans="1:26" ht="14.5">
      <c r="A559" s="1234"/>
      <c r="B559" s="1234"/>
      <c r="C559" s="1234"/>
      <c r="D559" s="1234"/>
      <c r="E559" s="1234"/>
      <c r="F559" s="1234"/>
      <c r="G559" s="1234"/>
      <c r="H559" s="1234"/>
      <c r="I559" s="1234"/>
      <c r="J559" s="1234"/>
      <c r="K559" s="1234"/>
      <c r="L559" s="1234"/>
      <c r="M559" s="1234"/>
      <c r="N559" s="1234"/>
      <c r="O559" s="1234"/>
      <c r="P559" s="1234"/>
      <c r="Q559" s="1234"/>
      <c r="R559" s="1234"/>
      <c r="S559" s="1234"/>
      <c r="T559" s="1234"/>
      <c r="U559" s="1234"/>
      <c r="V559" s="1234"/>
      <c r="W559" s="1234"/>
      <c r="X559" s="1234"/>
      <c r="Y559" s="1234"/>
      <c r="Z559" s="1234"/>
    </row>
    <row r="560" spans="1:26" ht="14.5">
      <c r="A560" s="1234"/>
      <c r="B560" s="1234"/>
      <c r="C560" s="1234"/>
      <c r="D560" s="1234"/>
      <c r="E560" s="1234"/>
      <c r="F560" s="1234"/>
      <c r="G560" s="1234"/>
      <c r="H560" s="1234"/>
      <c r="I560" s="1234"/>
      <c r="J560" s="1234"/>
      <c r="K560" s="1234"/>
      <c r="L560" s="1234"/>
      <c r="M560" s="1234"/>
      <c r="N560" s="1234"/>
      <c r="O560" s="1234"/>
      <c r="P560" s="1234"/>
      <c r="Q560" s="1234"/>
      <c r="R560" s="1234"/>
      <c r="S560" s="1234"/>
      <c r="T560" s="1234"/>
      <c r="U560" s="1234"/>
      <c r="V560" s="1234"/>
      <c r="W560" s="1234"/>
      <c r="X560" s="1234"/>
      <c r="Y560" s="1234"/>
      <c r="Z560" s="1234"/>
    </row>
    <row r="561" spans="1:26" ht="14.5">
      <c r="A561" s="1234"/>
      <c r="B561" s="1234"/>
      <c r="C561" s="1234"/>
      <c r="D561" s="1234"/>
      <c r="E561" s="1234"/>
      <c r="F561" s="1234"/>
      <c r="G561" s="1234"/>
      <c r="H561" s="1234"/>
      <c r="I561" s="1234"/>
      <c r="J561" s="1234"/>
      <c r="K561" s="1234"/>
      <c r="L561" s="1234"/>
      <c r="M561" s="1234"/>
      <c r="N561" s="1234"/>
      <c r="O561" s="1234"/>
      <c r="P561" s="1234"/>
      <c r="Q561" s="1234"/>
      <c r="R561" s="1234"/>
      <c r="S561" s="1234"/>
      <c r="T561" s="1234"/>
      <c r="U561" s="1234"/>
      <c r="V561" s="1234"/>
      <c r="W561" s="1234"/>
      <c r="X561" s="1234"/>
      <c r="Y561" s="1234"/>
      <c r="Z561" s="1234"/>
    </row>
    <row r="562" spans="1:26" ht="14.5">
      <c r="A562" s="1234"/>
      <c r="B562" s="1234"/>
      <c r="C562" s="1234"/>
      <c r="D562" s="1234"/>
      <c r="E562" s="1234"/>
      <c r="F562" s="1234"/>
      <c r="G562" s="1234"/>
      <c r="H562" s="1234"/>
      <c r="I562" s="1234"/>
      <c r="J562" s="1234"/>
      <c r="K562" s="1234"/>
      <c r="L562" s="1234"/>
      <c r="M562" s="1234"/>
      <c r="N562" s="1234"/>
      <c r="O562" s="1234"/>
      <c r="P562" s="1234"/>
      <c r="Q562" s="1234"/>
      <c r="R562" s="1234"/>
      <c r="S562" s="1234"/>
      <c r="T562" s="1234"/>
      <c r="U562" s="1234"/>
      <c r="V562" s="1234"/>
      <c r="W562" s="1234"/>
      <c r="X562" s="1234"/>
      <c r="Y562" s="1234"/>
      <c r="Z562" s="1234"/>
    </row>
    <row r="563" spans="1:26" ht="14.5">
      <c r="A563" s="1234"/>
      <c r="B563" s="1234"/>
      <c r="C563" s="1234"/>
      <c r="D563" s="1234"/>
      <c r="E563" s="1234"/>
      <c r="F563" s="1234"/>
      <c r="G563" s="1234"/>
      <c r="H563" s="1234"/>
      <c r="I563" s="1234"/>
      <c r="J563" s="1234"/>
      <c r="K563" s="1234"/>
      <c r="L563" s="1234"/>
      <c r="M563" s="1234"/>
      <c r="N563" s="1234"/>
      <c r="O563" s="1234"/>
      <c r="P563" s="1234"/>
      <c r="Q563" s="1234"/>
      <c r="R563" s="1234"/>
      <c r="S563" s="1234"/>
      <c r="T563" s="1234"/>
      <c r="U563" s="1234"/>
      <c r="V563" s="1234"/>
      <c r="W563" s="1234"/>
      <c r="X563" s="1234"/>
      <c r="Y563" s="1234"/>
      <c r="Z563" s="1234"/>
    </row>
    <row r="564" spans="1:26" ht="14.5">
      <c r="A564" s="1234"/>
      <c r="B564" s="1234"/>
      <c r="C564" s="1234"/>
      <c r="D564" s="1234"/>
      <c r="E564" s="1234"/>
      <c r="F564" s="1234"/>
      <c r="G564" s="1234"/>
      <c r="H564" s="1234"/>
      <c r="I564" s="1234"/>
      <c r="J564" s="1234"/>
      <c r="K564" s="1234"/>
      <c r="L564" s="1234"/>
      <c r="M564" s="1234"/>
      <c r="N564" s="1234"/>
      <c r="O564" s="1234"/>
      <c r="P564" s="1234"/>
      <c r="Q564" s="1234"/>
      <c r="R564" s="1234"/>
      <c r="S564" s="1234"/>
      <c r="T564" s="1234"/>
      <c r="U564" s="1234"/>
      <c r="V564" s="1234"/>
      <c r="W564" s="1234"/>
      <c r="X564" s="1234"/>
      <c r="Y564" s="1234"/>
      <c r="Z564" s="1234"/>
    </row>
    <row r="565" spans="1:26" ht="14.5">
      <c r="A565" s="1234"/>
      <c r="B565" s="1234"/>
      <c r="C565" s="1234"/>
      <c r="D565" s="1234"/>
      <c r="E565" s="1234"/>
      <c r="F565" s="1234"/>
      <c r="G565" s="1234"/>
      <c r="H565" s="1234"/>
      <c r="I565" s="1234"/>
      <c r="J565" s="1234"/>
      <c r="K565" s="1234"/>
      <c r="L565" s="1234"/>
      <c r="M565" s="1234"/>
      <c r="N565" s="1234"/>
      <c r="O565" s="1234"/>
      <c r="P565" s="1234"/>
      <c r="Q565" s="1234"/>
      <c r="R565" s="1234"/>
      <c r="S565" s="1234"/>
      <c r="T565" s="1234"/>
      <c r="U565" s="1234"/>
      <c r="V565" s="1234"/>
      <c r="W565" s="1234"/>
      <c r="X565" s="1234"/>
      <c r="Y565" s="1234"/>
      <c r="Z565" s="1234"/>
    </row>
    <row r="566" spans="1:26" ht="14.5">
      <c r="A566" s="1234"/>
      <c r="B566" s="1234"/>
      <c r="C566" s="1234"/>
      <c r="D566" s="1234"/>
      <c r="E566" s="1234"/>
      <c r="F566" s="1234"/>
      <c r="G566" s="1234"/>
      <c r="H566" s="1234"/>
      <c r="I566" s="1234"/>
      <c r="J566" s="1234"/>
      <c r="K566" s="1234"/>
      <c r="L566" s="1234"/>
      <c r="M566" s="1234"/>
      <c r="N566" s="1234"/>
      <c r="O566" s="1234"/>
      <c r="P566" s="1234"/>
      <c r="Q566" s="1234"/>
      <c r="R566" s="1234"/>
      <c r="S566" s="1234"/>
      <c r="T566" s="1234"/>
      <c r="U566" s="1234"/>
      <c r="V566" s="1234"/>
      <c r="W566" s="1234"/>
      <c r="X566" s="1234"/>
      <c r="Y566" s="1234"/>
      <c r="Z566" s="1234"/>
    </row>
    <row r="567" spans="1:26" ht="14.5">
      <c r="A567" s="1234"/>
      <c r="B567" s="1234"/>
      <c r="C567" s="1234"/>
      <c r="D567" s="1234"/>
      <c r="E567" s="1234"/>
      <c r="F567" s="1234"/>
      <c r="G567" s="1234"/>
      <c r="H567" s="1234"/>
      <c r="I567" s="1234"/>
      <c r="J567" s="1234"/>
      <c r="K567" s="1234"/>
      <c r="L567" s="1234"/>
      <c r="M567" s="1234"/>
      <c r="N567" s="1234"/>
      <c r="O567" s="1234"/>
      <c r="P567" s="1234"/>
      <c r="Q567" s="1234"/>
      <c r="R567" s="1234"/>
      <c r="S567" s="1234"/>
      <c r="T567" s="1234"/>
      <c r="U567" s="1234"/>
      <c r="V567" s="1234"/>
      <c r="W567" s="1234"/>
      <c r="X567" s="1234"/>
      <c r="Y567" s="1234"/>
      <c r="Z567" s="1234"/>
    </row>
    <row r="568" spans="1:26" ht="14.5">
      <c r="A568" s="1234"/>
      <c r="B568" s="1234"/>
      <c r="C568" s="1234"/>
      <c r="D568" s="1234"/>
      <c r="E568" s="1234"/>
      <c r="F568" s="1234"/>
      <c r="G568" s="1234"/>
      <c r="H568" s="1234"/>
      <c r="I568" s="1234"/>
      <c r="J568" s="1234"/>
      <c r="K568" s="1234"/>
      <c r="L568" s="1234"/>
      <c r="M568" s="1234"/>
      <c r="N568" s="1234"/>
      <c r="O568" s="1234"/>
      <c r="P568" s="1234"/>
      <c r="Q568" s="1234"/>
      <c r="R568" s="1234"/>
      <c r="S568" s="1234"/>
      <c r="T568" s="1234"/>
      <c r="U568" s="1234"/>
      <c r="V568" s="1234"/>
      <c r="W568" s="1234"/>
      <c r="X568" s="1234"/>
      <c r="Y568" s="1234"/>
      <c r="Z568" s="1234"/>
    </row>
    <row r="569" spans="1:26" ht="14.5">
      <c r="A569" s="1234"/>
      <c r="B569" s="1234"/>
      <c r="C569" s="1234"/>
      <c r="D569" s="1234"/>
      <c r="E569" s="1234"/>
      <c r="F569" s="1234"/>
      <c r="G569" s="1234"/>
      <c r="H569" s="1234"/>
      <c r="I569" s="1234"/>
      <c r="J569" s="1234"/>
      <c r="K569" s="1234"/>
      <c r="L569" s="1234"/>
      <c r="M569" s="1234"/>
      <c r="N569" s="1234"/>
      <c r="O569" s="1234"/>
      <c r="P569" s="1234"/>
      <c r="Q569" s="1234"/>
      <c r="R569" s="1234"/>
      <c r="S569" s="1234"/>
      <c r="T569" s="1234"/>
      <c r="U569" s="1234"/>
      <c r="V569" s="1234"/>
      <c r="W569" s="1234"/>
      <c r="X569" s="1234"/>
      <c r="Y569" s="1234"/>
      <c r="Z569" s="1234"/>
    </row>
    <row r="570" spans="1:26" ht="14.5">
      <c r="A570" s="1234"/>
      <c r="B570" s="1234"/>
      <c r="C570" s="1234"/>
      <c r="D570" s="1234"/>
      <c r="E570" s="1234"/>
      <c r="F570" s="1234"/>
      <c r="G570" s="1234"/>
      <c r="H570" s="1234"/>
      <c r="I570" s="1234"/>
      <c r="J570" s="1234"/>
      <c r="K570" s="1234"/>
      <c r="L570" s="1234"/>
      <c r="M570" s="1234"/>
      <c r="N570" s="1234"/>
      <c r="O570" s="1234"/>
      <c r="P570" s="1234"/>
      <c r="Q570" s="1234"/>
      <c r="R570" s="1234"/>
      <c r="S570" s="1234"/>
      <c r="T570" s="1234"/>
      <c r="U570" s="1234"/>
      <c r="V570" s="1234"/>
      <c r="W570" s="1234"/>
      <c r="X570" s="1234"/>
      <c r="Y570" s="1234"/>
      <c r="Z570" s="1234"/>
    </row>
    <row r="571" spans="1:26" ht="14.5">
      <c r="A571" s="1234"/>
      <c r="B571" s="1234"/>
      <c r="C571" s="1234"/>
      <c r="D571" s="1234"/>
      <c r="E571" s="1234"/>
      <c r="F571" s="1234"/>
      <c r="G571" s="1234"/>
      <c r="H571" s="1234"/>
      <c r="I571" s="1234"/>
      <c r="J571" s="1234"/>
      <c r="K571" s="1234"/>
      <c r="L571" s="1234"/>
      <c r="M571" s="1234"/>
      <c r="N571" s="1234"/>
      <c r="O571" s="1234"/>
      <c r="P571" s="1234"/>
      <c r="Q571" s="1234"/>
      <c r="R571" s="1234"/>
      <c r="S571" s="1234"/>
      <c r="T571" s="1234"/>
      <c r="U571" s="1234"/>
      <c r="V571" s="1234"/>
      <c r="W571" s="1234"/>
      <c r="X571" s="1234"/>
      <c r="Y571" s="1234"/>
      <c r="Z571" s="1234"/>
    </row>
    <row r="572" spans="1:26" ht="14.5">
      <c r="A572" s="1234"/>
      <c r="B572" s="1234"/>
      <c r="C572" s="1234"/>
      <c r="D572" s="1234"/>
      <c r="E572" s="1234"/>
      <c r="F572" s="1234"/>
      <c r="G572" s="1234"/>
      <c r="H572" s="1234"/>
      <c r="I572" s="1234"/>
      <c r="J572" s="1234"/>
      <c r="K572" s="1234"/>
      <c r="L572" s="1234"/>
      <c r="M572" s="1234"/>
      <c r="N572" s="1234"/>
      <c r="O572" s="1234"/>
      <c r="P572" s="1234"/>
      <c r="Q572" s="1234"/>
      <c r="R572" s="1234"/>
      <c r="S572" s="1234"/>
      <c r="T572" s="1234"/>
      <c r="U572" s="1234"/>
      <c r="V572" s="1234"/>
      <c r="W572" s="1234"/>
      <c r="X572" s="1234"/>
      <c r="Y572" s="1234"/>
      <c r="Z572" s="1234"/>
    </row>
    <row r="573" spans="1:26" ht="14.5">
      <c r="A573" s="1234"/>
      <c r="B573" s="1234"/>
      <c r="C573" s="1234"/>
      <c r="D573" s="1234"/>
      <c r="E573" s="1234"/>
      <c r="F573" s="1234"/>
      <c r="G573" s="1234"/>
      <c r="H573" s="1234"/>
      <c r="I573" s="1234"/>
      <c r="J573" s="1234"/>
      <c r="K573" s="1234"/>
      <c r="L573" s="1234"/>
      <c r="M573" s="1234"/>
      <c r="N573" s="1234"/>
      <c r="O573" s="1234"/>
      <c r="P573" s="1234"/>
      <c r="Q573" s="1234"/>
      <c r="R573" s="1234"/>
      <c r="S573" s="1234"/>
      <c r="T573" s="1234"/>
      <c r="U573" s="1234"/>
      <c r="V573" s="1234"/>
      <c r="W573" s="1234"/>
      <c r="X573" s="1234"/>
      <c r="Y573" s="1234"/>
      <c r="Z573" s="1234"/>
    </row>
    <row r="574" spans="1:26" ht="14.5">
      <c r="A574" s="1234"/>
      <c r="B574" s="1234"/>
      <c r="C574" s="1234"/>
      <c r="D574" s="1234"/>
      <c r="E574" s="1234"/>
      <c r="F574" s="1234"/>
      <c r="G574" s="1234"/>
      <c r="H574" s="1234"/>
      <c r="I574" s="1234"/>
      <c r="J574" s="1234"/>
      <c r="K574" s="1234"/>
      <c r="L574" s="1234"/>
      <c r="M574" s="1234"/>
      <c r="N574" s="1234"/>
      <c r="O574" s="1234"/>
      <c r="P574" s="1234"/>
      <c r="Q574" s="1234"/>
      <c r="R574" s="1234"/>
      <c r="S574" s="1234"/>
      <c r="T574" s="1234"/>
      <c r="U574" s="1234"/>
      <c r="V574" s="1234"/>
      <c r="W574" s="1234"/>
      <c r="X574" s="1234"/>
      <c r="Y574" s="1234"/>
      <c r="Z574" s="1234"/>
    </row>
    <row r="575" spans="1:26" ht="14.5">
      <c r="A575" s="1234"/>
      <c r="B575" s="1234"/>
      <c r="C575" s="1234"/>
      <c r="D575" s="1234"/>
      <c r="E575" s="1234"/>
      <c r="F575" s="1234"/>
      <c r="G575" s="1234"/>
      <c r="H575" s="1234"/>
      <c r="I575" s="1234"/>
      <c r="J575" s="1234"/>
      <c r="K575" s="1234"/>
      <c r="L575" s="1234"/>
      <c r="M575" s="1234"/>
      <c r="N575" s="1234"/>
      <c r="O575" s="1234"/>
      <c r="P575" s="1234"/>
      <c r="Q575" s="1234"/>
      <c r="R575" s="1234"/>
      <c r="S575" s="1234"/>
      <c r="T575" s="1234"/>
      <c r="U575" s="1234"/>
      <c r="V575" s="1234"/>
      <c r="W575" s="1234"/>
      <c r="X575" s="1234"/>
      <c r="Y575" s="1234"/>
      <c r="Z575" s="1234"/>
    </row>
    <row r="576" spans="1:26" ht="14.5">
      <c r="A576" s="1234"/>
      <c r="B576" s="1234"/>
      <c r="C576" s="1234"/>
      <c r="D576" s="1234"/>
      <c r="E576" s="1234"/>
      <c r="F576" s="1234"/>
      <c r="G576" s="1234"/>
      <c r="H576" s="1234"/>
      <c r="I576" s="1234"/>
      <c r="J576" s="1234"/>
      <c r="K576" s="1234"/>
      <c r="L576" s="1234"/>
      <c r="M576" s="1234"/>
      <c r="N576" s="1234"/>
      <c r="O576" s="1234"/>
      <c r="P576" s="1234"/>
      <c r="Q576" s="1234"/>
      <c r="R576" s="1234"/>
      <c r="S576" s="1234"/>
      <c r="T576" s="1234"/>
      <c r="U576" s="1234"/>
      <c r="V576" s="1234"/>
      <c r="W576" s="1234"/>
      <c r="X576" s="1234"/>
      <c r="Y576" s="1234"/>
      <c r="Z576" s="1234"/>
    </row>
    <row r="577" spans="1:26" ht="14.5">
      <c r="A577" s="1234"/>
      <c r="B577" s="1234"/>
      <c r="C577" s="1234"/>
      <c r="D577" s="1234"/>
      <c r="E577" s="1234"/>
      <c r="F577" s="1234"/>
      <c r="G577" s="1234"/>
      <c r="H577" s="1234"/>
      <c r="I577" s="1234"/>
      <c r="J577" s="1234"/>
      <c r="K577" s="1234"/>
      <c r="L577" s="1234"/>
      <c r="M577" s="1234"/>
      <c r="N577" s="1234"/>
      <c r="O577" s="1234"/>
      <c r="P577" s="1234"/>
      <c r="Q577" s="1234"/>
      <c r="R577" s="1234"/>
      <c r="S577" s="1234"/>
      <c r="T577" s="1234"/>
      <c r="U577" s="1234"/>
      <c r="V577" s="1234"/>
      <c r="W577" s="1234"/>
      <c r="X577" s="1234"/>
      <c r="Y577" s="1234"/>
      <c r="Z577" s="1234"/>
    </row>
    <row r="578" spans="1:26" ht="14.5">
      <c r="A578" s="1234"/>
      <c r="B578" s="1234"/>
      <c r="C578" s="1234"/>
      <c r="D578" s="1234"/>
      <c r="E578" s="1234"/>
      <c r="F578" s="1234"/>
      <c r="G578" s="1234"/>
      <c r="H578" s="1234"/>
      <c r="I578" s="1234"/>
      <c r="J578" s="1234"/>
      <c r="K578" s="1234"/>
      <c r="L578" s="1234"/>
      <c r="M578" s="1234"/>
      <c r="N578" s="1234"/>
      <c r="O578" s="1234"/>
      <c r="P578" s="1234"/>
      <c r="Q578" s="1234"/>
      <c r="R578" s="1234"/>
      <c r="S578" s="1234"/>
      <c r="T578" s="1234"/>
      <c r="U578" s="1234"/>
      <c r="V578" s="1234"/>
      <c r="W578" s="1234"/>
      <c r="X578" s="1234"/>
      <c r="Y578" s="1234"/>
      <c r="Z578" s="1234"/>
    </row>
    <row r="579" spans="1:26" ht="14.5">
      <c r="A579" s="1234"/>
      <c r="B579" s="1234"/>
      <c r="C579" s="1234"/>
      <c r="D579" s="1234"/>
      <c r="E579" s="1234"/>
      <c r="F579" s="1234"/>
      <c r="G579" s="1234"/>
      <c r="H579" s="1234"/>
      <c r="I579" s="1234"/>
      <c r="J579" s="1234"/>
      <c r="K579" s="1234"/>
      <c r="L579" s="1234"/>
      <c r="M579" s="1234"/>
      <c r="N579" s="1234"/>
      <c r="O579" s="1234"/>
      <c r="P579" s="1234"/>
      <c r="Q579" s="1234"/>
      <c r="R579" s="1234"/>
      <c r="S579" s="1234"/>
      <c r="T579" s="1234"/>
      <c r="U579" s="1234"/>
      <c r="V579" s="1234"/>
      <c r="W579" s="1234"/>
      <c r="X579" s="1234"/>
      <c r="Y579" s="1234"/>
      <c r="Z579" s="1234"/>
    </row>
    <row r="580" spans="1:26" ht="14.5">
      <c r="A580" s="1234"/>
      <c r="B580" s="1234"/>
      <c r="C580" s="1234"/>
      <c r="D580" s="1234"/>
      <c r="E580" s="1234"/>
      <c r="F580" s="1234"/>
      <c r="G580" s="1234"/>
      <c r="H580" s="1234"/>
      <c r="I580" s="1234"/>
      <c r="J580" s="1234"/>
      <c r="K580" s="1234"/>
      <c r="L580" s="1234"/>
      <c r="M580" s="1234"/>
      <c r="N580" s="1234"/>
      <c r="O580" s="1234"/>
      <c r="P580" s="1234"/>
      <c r="Q580" s="1234"/>
      <c r="R580" s="1234"/>
      <c r="S580" s="1234"/>
      <c r="T580" s="1234"/>
      <c r="U580" s="1234"/>
      <c r="V580" s="1234"/>
      <c r="W580" s="1234"/>
      <c r="X580" s="1234"/>
      <c r="Y580" s="1234"/>
      <c r="Z580" s="1234"/>
    </row>
    <row r="581" spans="1:26" ht="14.5">
      <c r="A581" s="1234"/>
      <c r="B581" s="1234"/>
      <c r="C581" s="1234"/>
      <c r="D581" s="1234"/>
      <c r="E581" s="1234"/>
      <c r="F581" s="1234"/>
      <c r="G581" s="1234"/>
      <c r="H581" s="1234"/>
      <c r="I581" s="1234"/>
      <c r="J581" s="1234"/>
      <c r="K581" s="1234"/>
      <c r="L581" s="1234"/>
      <c r="M581" s="1234"/>
      <c r="N581" s="1234"/>
      <c r="O581" s="1234"/>
      <c r="P581" s="1234"/>
      <c r="Q581" s="1234"/>
      <c r="R581" s="1234"/>
      <c r="S581" s="1234"/>
      <c r="T581" s="1234"/>
      <c r="U581" s="1234"/>
      <c r="V581" s="1234"/>
      <c r="W581" s="1234"/>
      <c r="X581" s="1234"/>
      <c r="Y581" s="1234"/>
      <c r="Z581" s="1234"/>
    </row>
    <row r="582" spans="1:26" ht="14.5">
      <c r="A582" s="1234"/>
      <c r="B582" s="1234"/>
      <c r="C582" s="1234"/>
      <c r="D582" s="1234"/>
      <c r="E582" s="1234"/>
      <c r="F582" s="1234"/>
      <c r="G582" s="1234"/>
      <c r="H582" s="1234"/>
      <c r="I582" s="1234"/>
      <c r="J582" s="1234"/>
      <c r="K582" s="1234"/>
      <c r="L582" s="1234"/>
      <c r="M582" s="1234"/>
      <c r="N582" s="1234"/>
      <c r="O582" s="1234"/>
      <c r="P582" s="1234"/>
      <c r="Q582" s="1234"/>
      <c r="R582" s="1234"/>
      <c r="S582" s="1234"/>
      <c r="T582" s="1234"/>
      <c r="U582" s="1234"/>
      <c r="V582" s="1234"/>
      <c r="W582" s="1234"/>
      <c r="X582" s="1234"/>
      <c r="Y582" s="1234"/>
      <c r="Z582" s="1234"/>
    </row>
    <row r="583" spans="1:26" ht="14.5">
      <c r="A583" s="1234"/>
      <c r="B583" s="1234"/>
      <c r="C583" s="1234"/>
      <c r="D583" s="1234"/>
      <c r="E583" s="1234"/>
      <c r="F583" s="1234"/>
      <c r="G583" s="1234"/>
      <c r="H583" s="1234"/>
      <c r="I583" s="1234"/>
      <c r="J583" s="1234"/>
      <c r="K583" s="1234"/>
      <c r="L583" s="1234"/>
      <c r="M583" s="1234"/>
      <c r="N583" s="1234"/>
      <c r="O583" s="1234"/>
      <c r="P583" s="1234"/>
      <c r="Q583" s="1234"/>
      <c r="R583" s="1234"/>
      <c r="S583" s="1234"/>
      <c r="T583" s="1234"/>
      <c r="U583" s="1234"/>
      <c r="V583" s="1234"/>
      <c r="W583" s="1234"/>
      <c r="X583" s="1234"/>
      <c r="Y583" s="1234"/>
      <c r="Z583" s="1234"/>
    </row>
    <row r="584" spans="1:26" ht="14.5">
      <c r="A584" s="1234"/>
      <c r="B584" s="1234"/>
      <c r="C584" s="1234"/>
      <c r="D584" s="1234"/>
      <c r="E584" s="1234"/>
      <c r="F584" s="1234"/>
      <c r="G584" s="1234"/>
      <c r="H584" s="1234"/>
      <c r="I584" s="1234"/>
      <c r="J584" s="1234"/>
      <c r="K584" s="1234"/>
      <c r="L584" s="1234"/>
      <c r="M584" s="1234"/>
      <c r="N584" s="1234"/>
      <c r="O584" s="1234"/>
      <c r="P584" s="1234"/>
      <c r="Q584" s="1234"/>
      <c r="R584" s="1234"/>
      <c r="S584" s="1234"/>
      <c r="T584" s="1234"/>
      <c r="U584" s="1234"/>
      <c r="V584" s="1234"/>
      <c r="W584" s="1234"/>
      <c r="X584" s="1234"/>
      <c r="Y584" s="1234"/>
      <c r="Z584" s="1234"/>
    </row>
    <row r="585" spans="1:26" ht="14.5">
      <c r="A585" s="1234"/>
      <c r="B585" s="1234"/>
      <c r="C585" s="1234"/>
      <c r="D585" s="1234"/>
      <c r="E585" s="1234"/>
      <c r="F585" s="1234"/>
      <c r="G585" s="1234"/>
      <c r="H585" s="1234"/>
      <c r="I585" s="1234"/>
      <c r="J585" s="1234"/>
      <c r="K585" s="1234"/>
      <c r="L585" s="1234"/>
      <c r="M585" s="1234"/>
      <c r="N585" s="1234"/>
      <c r="O585" s="1234"/>
      <c r="P585" s="1234"/>
      <c r="Q585" s="1234"/>
      <c r="R585" s="1234"/>
      <c r="S585" s="1234"/>
      <c r="T585" s="1234"/>
      <c r="U585" s="1234"/>
      <c r="V585" s="1234"/>
      <c r="W585" s="1234"/>
      <c r="X585" s="1234"/>
      <c r="Y585" s="1234"/>
      <c r="Z585" s="1234"/>
    </row>
    <row r="586" spans="1:26" ht="14.5">
      <c r="A586" s="1234"/>
      <c r="B586" s="1234"/>
      <c r="C586" s="1234"/>
      <c r="D586" s="1234"/>
      <c r="E586" s="1234"/>
      <c r="F586" s="1234"/>
      <c r="G586" s="1234"/>
      <c r="H586" s="1234"/>
      <c r="I586" s="1234"/>
      <c r="J586" s="1234"/>
      <c r="K586" s="1234"/>
      <c r="L586" s="1234"/>
      <c r="M586" s="1234"/>
      <c r="N586" s="1234"/>
      <c r="O586" s="1234"/>
      <c r="P586" s="1234"/>
      <c r="Q586" s="1234"/>
      <c r="R586" s="1234"/>
      <c r="S586" s="1234"/>
      <c r="T586" s="1234"/>
      <c r="U586" s="1234"/>
      <c r="V586" s="1234"/>
      <c r="W586" s="1234"/>
      <c r="X586" s="1234"/>
      <c r="Y586" s="1234"/>
      <c r="Z586" s="1234"/>
    </row>
    <row r="587" spans="1:26" ht="14.5">
      <c r="A587" s="1234"/>
      <c r="B587" s="1234"/>
      <c r="C587" s="1234"/>
      <c r="D587" s="1234"/>
      <c r="E587" s="1234"/>
      <c r="F587" s="1234"/>
      <c r="G587" s="1234"/>
      <c r="H587" s="1234"/>
      <c r="I587" s="1234"/>
      <c r="J587" s="1234"/>
      <c r="K587" s="1234"/>
      <c r="L587" s="1234"/>
      <c r="M587" s="1234"/>
      <c r="N587" s="1234"/>
      <c r="O587" s="1234"/>
      <c r="P587" s="1234"/>
      <c r="Q587" s="1234"/>
      <c r="R587" s="1234"/>
      <c r="S587" s="1234"/>
      <c r="T587" s="1234"/>
      <c r="U587" s="1234"/>
      <c r="V587" s="1234"/>
      <c r="W587" s="1234"/>
      <c r="X587" s="1234"/>
      <c r="Y587" s="1234"/>
      <c r="Z587" s="1234"/>
    </row>
    <row r="588" spans="1:26" ht="14.5">
      <c r="A588" s="1234"/>
      <c r="B588" s="1234"/>
      <c r="C588" s="1234"/>
      <c r="D588" s="1234"/>
      <c r="E588" s="1234"/>
      <c r="F588" s="1234"/>
      <c r="G588" s="1234"/>
      <c r="H588" s="1234"/>
      <c r="I588" s="1234"/>
      <c r="J588" s="1234"/>
      <c r="K588" s="1234"/>
      <c r="L588" s="1234"/>
      <c r="M588" s="1234"/>
      <c r="N588" s="1234"/>
      <c r="O588" s="1234"/>
      <c r="P588" s="1234"/>
      <c r="Q588" s="1234"/>
      <c r="R588" s="1234"/>
      <c r="S588" s="1234"/>
      <c r="T588" s="1234"/>
      <c r="U588" s="1234"/>
      <c r="V588" s="1234"/>
      <c r="W588" s="1234"/>
      <c r="X588" s="1234"/>
      <c r="Y588" s="1234"/>
      <c r="Z588" s="1234"/>
    </row>
    <row r="589" spans="1:26" ht="14.5">
      <c r="A589" s="1234"/>
      <c r="B589" s="1234"/>
      <c r="C589" s="1234"/>
      <c r="D589" s="1234"/>
      <c r="E589" s="1234"/>
      <c r="F589" s="1234"/>
      <c r="G589" s="1234"/>
      <c r="H589" s="1234"/>
      <c r="I589" s="1234"/>
      <c r="J589" s="1234"/>
      <c r="K589" s="1234"/>
      <c r="L589" s="1234"/>
      <c r="M589" s="1234"/>
      <c r="N589" s="1234"/>
      <c r="O589" s="1234"/>
      <c r="P589" s="1234"/>
      <c r="Q589" s="1234"/>
      <c r="R589" s="1234"/>
      <c r="S589" s="1234"/>
      <c r="T589" s="1234"/>
      <c r="U589" s="1234"/>
      <c r="V589" s="1234"/>
      <c r="W589" s="1234"/>
      <c r="X589" s="1234"/>
      <c r="Y589" s="1234"/>
      <c r="Z589" s="1234"/>
    </row>
    <row r="590" spans="1:26" ht="14.5">
      <c r="A590" s="1234"/>
      <c r="B590" s="1234"/>
      <c r="C590" s="1234"/>
      <c r="D590" s="1234"/>
      <c r="E590" s="1234"/>
      <c r="F590" s="1234"/>
      <c r="G590" s="1234"/>
      <c r="H590" s="1234"/>
      <c r="I590" s="1234"/>
      <c r="J590" s="1234"/>
      <c r="K590" s="1234"/>
      <c r="L590" s="1234"/>
      <c r="M590" s="1234"/>
      <c r="N590" s="1234"/>
      <c r="O590" s="1234"/>
      <c r="P590" s="1234"/>
      <c r="Q590" s="1234"/>
      <c r="R590" s="1234"/>
      <c r="S590" s="1234"/>
      <c r="T590" s="1234"/>
      <c r="U590" s="1234"/>
      <c r="V590" s="1234"/>
      <c r="W590" s="1234"/>
      <c r="X590" s="1234"/>
      <c r="Y590" s="1234"/>
      <c r="Z590" s="1234"/>
    </row>
    <row r="591" spans="1:26" ht="14.5">
      <c r="A591" s="1234"/>
      <c r="B591" s="1234"/>
      <c r="C591" s="1234"/>
      <c r="D591" s="1234"/>
      <c r="E591" s="1234"/>
      <c r="F591" s="1234"/>
      <c r="G591" s="1234"/>
      <c r="H591" s="1234"/>
      <c r="I591" s="1234"/>
      <c r="J591" s="1234"/>
      <c r="K591" s="1234"/>
      <c r="L591" s="1234"/>
      <c r="M591" s="1234"/>
      <c r="N591" s="1234"/>
      <c r="O591" s="1234"/>
      <c r="P591" s="1234"/>
      <c r="Q591" s="1234"/>
      <c r="R591" s="1234"/>
      <c r="S591" s="1234"/>
      <c r="T591" s="1234"/>
      <c r="U591" s="1234"/>
      <c r="V591" s="1234"/>
      <c r="W591" s="1234"/>
      <c r="X591" s="1234"/>
      <c r="Y591" s="1234"/>
      <c r="Z591" s="1234"/>
    </row>
    <row r="592" spans="1:26" ht="14.5">
      <c r="A592" s="1234"/>
      <c r="B592" s="1234"/>
      <c r="C592" s="1234"/>
      <c r="D592" s="1234"/>
      <c r="E592" s="1234"/>
      <c r="F592" s="1234"/>
      <c r="G592" s="1234"/>
      <c r="H592" s="1234"/>
      <c r="I592" s="1234"/>
      <c r="J592" s="1234"/>
      <c r="K592" s="1234"/>
      <c r="L592" s="1234"/>
      <c r="M592" s="1234"/>
      <c r="N592" s="1234"/>
      <c r="O592" s="1234"/>
      <c r="P592" s="1234"/>
      <c r="Q592" s="1234"/>
      <c r="R592" s="1234"/>
      <c r="S592" s="1234"/>
      <c r="T592" s="1234"/>
      <c r="U592" s="1234"/>
      <c r="V592" s="1234"/>
      <c r="W592" s="1234"/>
      <c r="X592" s="1234"/>
      <c r="Y592" s="1234"/>
      <c r="Z592" s="1234"/>
    </row>
    <row r="593" spans="1:26" ht="14.5">
      <c r="A593" s="1234"/>
      <c r="B593" s="1234"/>
      <c r="C593" s="1234"/>
      <c r="D593" s="1234"/>
      <c r="E593" s="1234"/>
      <c r="F593" s="1234"/>
      <c r="G593" s="1234"/>
      <c r="H593" s="1234"/>
      <c r="I593" s="1234"/>
      <c r="J593" s="1234"/>
      <c r="K593" s="1234"/>
      <c r="L593" s="1234"/>
      <c r="M593" s="1234"/>
      <c r="N593" s="1234"/>
      <c r="O593" s="1234"/>
      <c r="P593" s="1234"/>
      <c r="Q593" s="1234"/>
      <c r="R593" s="1234"/>
      <c r="S593" s="1234"/>
      <c r="T593" s="1234"/>
      <c r="U593" s="1234"/>
      <c r="V593" s="1234"/>
      <c r="W593" s="1234"/>
      <c r="X593" s="1234"/>
      <c r="Y593" s="1234"/>
      <c r="Z593" s="1234"/>
    </row>
    <row r="594" spans="1:26" ht="14.5">
      <c r="A594" s="1234"/>
      <c r="B594" s="1234"/>
      <c r="C594" s="1234"/>
      <c r="D594" s="1234"/>
      <c r="E594" s="1234"/>
      <c r="F594" s="1234"/>
      <c r="G594" s="1234"/>
      <c r="H594" s="1234"/>
      <c r="I594" s="1234"/>
      <c r="J594" s="1234"/>
      <c r="K594" s="1234"/>
      <c r="L594" s="1234"/>
      <c r="M594" s="1234"/>
      <c r="N594" s="1234"/>
      <c r="O594" s="1234"/>
      <c r="P594" s="1234"/>
      <c r="Q594" s="1234"/>
      <c r="R594" s="1234"/>
      <c r="S594" s="1234"/>
      <c r="T594" s="1234"/>
      <c r="U594" s="1234"/>
      <c r="V594" s="1234"/>
      <c r="W594" s="1234"/>
      <c r="X594" s="1234"/>
      <c r="Y594" s="1234"/>
      <c r="Z594" s="1234"/>
    </row>
    <row r="595" spans="1:26" ht="14.5">
      <c r="A595" s="1234"/>
      <c r="B595" s="1234"/>
      <c r="C595" s="1234"/>
      <c r="D595" s="1234"/>
      <c r="E595" s="1234"/>
      <c r="F595" s="1234"/>
      <c r="G595" s="1234"/>
      <c r="H595" s="1234"/>
      <c r="I595" s="1234"/>
      <c r="J595" s="1234"/>
      <c r="K595" s="1234"/>
      <c r="L595" s="1234"/>
      <c r="M595" s="1234"/>
      <c r="N595" s="1234"/>
      <c r="O595" s="1234"/>
      <c r="P595" s="1234"/>
      <c r="Q595" s="1234"/>
      <c r="R595" s="1234"/>
      <c r="S595" s="1234"/>
      <c r="T595" s="1234"/>
      <c r="U595" s="1234"/>
      <c r="V595" s="1234"/>
      <c r="W595" s="1234"/>
      <c r="X595" s="1234"/>
      <c r="Y595" s="1234"/>
      <c r="Z595" s="1234"/>
    </row>
    <row r="596" spans="1:26" ht="14.5">
      <c r="A596" s="1234"/>
      <c r="B596" s="1234"/>
      <c r="C596" s="1234"/>
      <c r="D596" s="1234"/>
      <c r="E596" s="1234"/>
      <c r="F596" s="1234"/>
      <c r="G596" s="1234"/>
      <c r="H596" s="1234"/>
      <c r="I596" s="1234"/>
      <c r="J596" s="1234"/>
      <c r="K596" s="1234"/>
      <c r="L596" s="1234"/>
      <c r="M596" s="1234"/>
      <c r="N596" s="1234"/>
      <c r="O596" s="1234"/>
      <c r="P596" s="1234"/>
      <c r="Q596" s="1234"/>
      <c r="R596" s="1234"/>
      <c r="S596" s="1234"/>
      <c r="T596" s="1234"/>
      <c r="U596" s="1234"/>
      <c r="V596" s="1234"/>
      <c r="W596" s="1234"/>
      <c r="X596" s="1234"/>
      <c r="Y596" s="1234"/>
      <c r="Z596" s="1234"/>
    </row>
    <row r="597" spans="1:26" ht="14.5">
      <c r="A597" s="1234"/>
      <c r="B597" s="1234"/>
      <c r="C597" s="1234"/>
      <c r="D597" s="1234"/>
      <c r="E597" s="1234"/>
      <c r="F597" s="1234"/>
      <c r="G597" s="1234"/>
      <c r="H597" s="1234"/>
      <c r="I597" s="1234"/>
      <c r="J597" s="1234"/>
      <c r="K597" s="1234"/>
      <c r="L597" s="1234"/>
      <c r="M597" s="1234"/>
      <c r="N597" s="1234"/>
      <c r="O597" s="1234"/>
      <c r="P597" s="1234"/>
      <c r="Q597" s="1234"/>
      <c r="R597" s="1234"/>
      <c r="S597" s="1234"/>
      <c r="T597" s="1234"/>
      <c r="U597" s="1234"/>
      <c r="V597" s="1234"/>
      <c r="W597" s="1234"/>
      <c r="X597" s="1234"/>
      <c r="Y597" s="1234"/>
      <c r="Z597" s="1234"/>
    </row>
    <row r="598" spans="1:26" ht="14.5">
      <c r="A598" s="1234"/>
      <c r="B598" s="1234"/>
      <c r="C598" s="1234"/>
      <c r="D598" s="1234"/>
      <c r="E598" s="1234"/>
      <c r="F598" s="1234"/>
      <c r="G598" s="1234"/>
      <c r="H598" s="1234"/>
      <c r="I598" s="1234"/>
      <c r="J598" s="1234"/>
      <c r="K598" s="1234"/>
      <c r="L598" s="1234"/>
      <c r="M598" s="1234"/>
      <c r="N598" s="1234"/>
      <c r="O598" s="1234"/>
      <c r="P598" s="1234"/>
      <c r="Q598" s="1234"/>
      <c r="R598" s="1234"/>
      <c r="S598" s="1234"/>
      <c r="T598" s="1234"/>
      <c r="U598" s="1234"/>
      <c r="V598" s="1234"/>
      <c r="W598" s="1234"/>
      <c r="X598" s="1234"/>
      <c r="Y598" s="1234"/>
      <c r="Z598" s="1234"/>
    </row>
    <row r="599" spans="1:26" ht="14.5">
      <c r="A599" s="1234"/>
      <c r="B599" s="1234"/>
      <c r="C599" s="1234"/>
      <c r="D599" s="1234"/>
      <c r="E599" s="1234"/>
      <c r="F599" s="1234"/>
      <c r="G599" s="1234"/>
      <c r="H599" s="1234"/>
      <c r="I599" s="1234"/>
      <c r="J599" s="1234"/>
      <c r="K599" s="1234"/>
      <c r="L599" s="1234"/>
      <c r="M599" s="1234"/>
      <c r="N599" s="1234"/>
      <c r="O599" s="1234"/>
      <c r="P599" s="1234"/>
      <c r="Q599" s="1234"/>
      <c r="R599" s="1234"/>
      <c r="S599" s="1234"/>
      <c r="T599" s="1234"/>
      <c r="U599" s="1234"/>
      <c r="V599" s="1234"/>
      <c r="W599" s="1234"/>
      <c r="X599" s="1234"/>
      <c r="Y599" s="1234"/>
      <c r="Z599" s="1234"/>
    </row>
    <row r="600" spans="1:26" ht="14.5">
      <c r="A600" s="1234"/>
      <c r="B600" s="1234"/>
      <c r="C600" s="1234"/>
      <c r="D600" s="1234"/>
      <c r="E600" s="1234"/>
      <c r="F600" s="1234"/>
      <c r="G600" s="1234"/>
      <c r="H600" s="1234"/>
      <c r="I600" s="1234"/>
      <c r="J600" s="1234"/>
      <c r="K600" s="1234"/>
      <c r="L600" s="1234"/>
      <c r="M600" s="1234"/>
      <c r="N600" s="1234"/>
      <c r="O600" s="1234"/>
      <c r="P600" s="1234"/>
      <c r="Q600" s="1234"/>
      <c r="R600" s="1234"/>
      <c r="S600" s="1234"/>
      <c r="T600" s="1234"/>
      <c r="U600" s="1234"/>
      <c r="V600" s="1234"/>
      <c r="W600" s="1234"/>
      <c r="X600" s="1234"/>
      <c r="Y600" s="1234"/>
      <c r="Z600" s="1234"/>
    </row>
    <row r="601" spans="1:26" ht="14.5">
      <c r="A601" s="1234"/>
      <c r="B601" s="1234"/>
      <c r="C601" s="1234"/>
      <c r="D601" s="1234"/>
      <c r="E601" s="1234"/>
      <c r="F601" s="1234"/>
      <c r="G601" s="1234"/>
      <c r="H601" s="1234"/>
      <c r="I601" s="1234"/>
      <c r="J601" s="1234"/>
      <c r="K601" s="1234"/>
      <c r="L601" s="1234"/>
      <c r="M601" s="1234"/>
      <c r="N601" s="1234"/>
      <c r="O601" s="1234"/>
      <c r="P601" s="1234"/>
      <c r="Q601" s="1234"/>
      <c r="R601" s="1234"/>
      <c r="S601" s="1234"/>
      <c r="T601" s="1234"/>
      <c r="U601" s="1234"/>
      <c r="V601" s="1234"/>
      <c r="W601" s="1234"/>
      <c r="X601" s="1234"/>
      <c r="Y601" s="1234"/>
      <c r="Z601" s="1234"/>
    </row>
    <row r="602" spans="1:26" ht="14.5">
      <c r="A602" s="1234"/>
      <c r="B602" s="1234"/>
      <c r="C602" s="1234"/>
      <c r="D602" s="1234"/>
      <c r="E602" s="1234"/>
      <c r="F602" s="1234"/>
      <c r="G602" s="1234"/>
      <c r="H602" s="1234"/>
      <c r="I602" s="1234"/>
      <c r="J602" s="1234"/>
      <c r="K602" s="1234"/>
      <c r="L602" s="1234"/>
      <c r="M602" s="1234"/>
      <c r="N602" s="1234"/>
      <c r="O602" s="1234"/>
      <c r="P602" s="1234"/>
      <c r="Q602" s="1234"/>
      <c r="R602" s="1234"/>
      <c r="S602" s="1234"/>
      <c r="T602" s="1234"/>
      <c r="U602" s="1234"/>
      <c r="V602" s="1234"/>
      <c r="W602" s="1234"/>
      <c r="X602" s="1234"/>
      <c r="Y602" s="1234"/>
      <c r="Z602" s="1234"/>
    </row>
    <row r="603" spans="1:26" ht="14.5">
      <c r="A603" s="1234"/>
      <c r="B603" s="1234"/>
      <c r="C603" s="1234"/>
      <c r="D603" s="1234"/>
      <c r="E603" s="1234"/>
      <c r="F603" s="1234"/>
      <c r="G603" s="1234"/>
      <c r="H603" s="1234"/>
      <c r="I603" s="1234"/>
      <c r="J603" s="1234"/>
      <c r="K603" s="1234"/>
      <c r="L603" s="1234"/>
      <c r="M603" s="1234"/>
      <c r="N603" s="1234"/>
      <c r="O603" s="1234"/>
      <c r="P603" s="1234"/>
      <c r="Q603" s="1234"/>
      <c r="R603" s="1234"/>
      <c r="S603" s="1234"/>
      <c r="T603" s="1234"/>
      <c r="U603" s="1234"/>
      <c r="V603" s="1234"/>
      <c r="W603" s="1234"/>
      <c r="X603" s="1234"/>
      <c r="Y603" s="1234"/>
      <c r="Z603" s="1234"/>
    </row>
    <row r="604" spans="1:26" ht="14.5">
      <c r="A604" s="1234"/>
      <c r="B604" s="1234"/>
      <c r="C604" s="1234"/>
      <c r="D604" s="1234"/>
      <c r="E604" s="1234"/>
      <c r="F604" s="1234"/>
      <c r="G604" s="1234"/>
      <c r="H604" s="1234"/>
      <c r="I604" s="1234"/>
      <c r="J604" s="1234"/>
      <c r="K604" s="1234"/>
      <c r="L604" s="1234"/>
      <c r="M604" s="1234"/>
      <c r="N604" s="1234"/>
      <c r="O604" s="1234"/>
      <c r="P604" s="1234"/>
      <c r="Q604" s="1234"/>
      <c r="R604" s="1234"/>
      <c r="S604" s="1234"/>
      <c r="T604" s="1234"/>
      <c r="U604" s="1234"/>
      <c r="V604" s="1234"/>
      <c r="W604" s="1234"/>
      <c r="X604" s="1234"/>
      <c r="Y604" s="1234"/>
      <c r="Z604" s="1234"/>
    </row>
    <row r="605" spans="1:26" ht="14.5">
      <c r="A605" s="1234"/>
      <c r="B605" s="1234"/>
      <c r="C605" s="1234"/>
      <c r="D605" s="1234"/>
      <c r="E605" s="1234"/>
      <c r="F605" s="1234"/>
      <c r="G605" s="1234"/>
      <c r="H605" s="1234"/>
      <c r="I605" s="1234"/>
      <c r="J605" s="1234"/>
      <c r="K605" s="1234"/>
      <c r="L605" s="1234"/>
      <c r="M605" s="1234"/>
      <c r="N605" s="1234"/>
      <c r="O605" s="1234"/>
      <c r="P605" s="1234"/>
      <c r="Q605" s="1234"/>
      <c r="R605" s="1234"/>
      <c r="S605" s="1234"/>
      <c r="T605" s="1234"/>
      <c r="U605" s="1234"/>
      <c r="V605" s="1234"/>
      <c r="W605" s="1234"/>
      <c r="X605" s="1234"/>
      <c r="Y605" s="1234"/>
      <c r="Z605" s="1234"/>
    </row>
    <row r="606" spans="1:26" ht="14.5">
      <c r="A606" s="1234"/>
      <c r="B606" s="1234"/>
      <c r="C606" s="1234"/>
      <c r="D606" s="1234"/>
      <c r="E606" s="1234"/>
      <c r="F606" s="1234"/>
      <c r="G606" s="1234"/>
      <c r="H606" s="1234"/>
      <c r="I606" s="1234"/>
      <c r="J606" s="1234"/>
      <c r="K606" s="1234"/>
      <c r="L606" s="1234"/>
      <c r="M606" s="1234"/>
      <c r="N606" s="1234"/>
      <c r="O606" s="1234"/>
      <c r="P606" s="1234"/>
      <c r="Q606" s="1234"/>
      <c r="R606" s="1234"/>
      <c r="S606" s="1234"/>
      <c r="T606" s="1234"/>
      <c r="U606" s="1234"/>
      <c r="V606" s="1234"/>
      <c r="W606" s="1234"/>
      <c r="X606" s="1234"/>
      <c r="Y606" s="1234"/>
      <c r="Z606" s="1234"/>
    </row>
    <row r="607" spans="1:26" ht="14.5">
      <c r="A607" s="1234"/>
      <c r="B607" s="1234"/>
      <c r="C607" s="1234"/>
      <c r="D607" s="1234"/>
      <c r="E607" s="1234"/>
      <c r="F607" s="1234"/>
      <c r="G607" s="1234"/>
      <c r="H607" s="1234"/>
      <c r="I607" s="1234"/>
      <c r="J607" s="1234"/>
      <c r="K607" s="1234"/>
      <c r="L607" s="1234"/>
      <c r="M607" s="1234"/>
      <c r="N607" s="1234"/>
      <c r="O607" s="1234"/>
      <c r="P607" s="1234"/>
      <c r="Q607" s="1234"/>
      <c r="R607" s="1234"/>
      <c r="S607" s="1234"/>
      <c r="T607" s="1234"/>
      <c r="U607" s="1234"/>
      <c r="V607" s="1234"/>
      <c r="W607" s="1234"/>
      <c r="X607" s="1234"/>
      <c r="Y607" s="1234"/>
      <c r="Z607" s="1234"/>
    </row>
    <row r="608" spans="1:26" ht="14.5">
      <c r="A608" s="1234"/>
      <c r="B608" s="1234"/>
      <c r="C608" s="1234"/>
      <c r="D608" s="1234"/>
      <c r="E608" s="1234"/>
      <c r="F608" s="1234"/>
      <c r="G608" s="1234"/>
      <c r="H608" s="1234"/>
      <c r="I608" s="1234"/>
      <c r="J608" s="1234"/>
      <c r="K608" s="1234"/>
      <c r="L608" s="1234"/>
      <c r="M608" s="1234"/>
      <c r="N608" s="1234"/>
      <c r="O608" s="1234"/>
      <c r="P608" s="1234"/>
      <c r="Q608" s="1234"/>
      <c r="R608" s="1234"/>
      <c r="S608" s="1234"/>
      <c r="T608" s="1234"/>
      <c r="U608" s="1234"/>
      <c r="V608" s="1234"/>
      <c r="W608" s="1234"/>
      <c r="X608" s="1234"/>
      <c r="Y608" s="1234"/>
      <c r="Z608" s="1234"/>
    </row>
    <row r="609" spans="1:26" ht="14.5">
      <c r="A609" s="1234"/>
      <c r="B609" s="1234"/>
      <c r="C609" s="1234"/>
      <c r="D609" s="1234"/>
      <c r="E609" s="1234"/>
      <c r="F609" s="1234"/>
      <c r="G609" s="1234"/>
      <c r="H609" s="1234"/>
      <c r="I609" s="1234"/>
      <c r="J609" s="1234"/>
      <c r="K609" s="1234"/>
      <c r="L609" s="1234"/>
      <c r="M609" s="1234"/>
      <c r="N609" s="1234"/>
      <c r="O609" s="1234"/>
      <c r="P609" s="1234"/>
      <c r="Q609" s="1234"/>
      <c r="R609" s="1234"/>
      <c r="S609" s="1234"/>
      <c r="T609" s="1234"/>
      <c r="U609" s="1234"/>
      <c r="V609" s="1234"/>
      <c r="W609" s="1234"/>
      <c r="X609" s="1234"/>
      <c r="Y609" s="1234"/>
      <c r="Z609" s="1234"/>
    </row>
    <row r="610" spans="1:26" ht="14.5">
      <c r="A610" s="1234"/>
      <c r="B610" s="1234"/>
      <c r="C610" s="1234"/>
      <c r="D610" s="1234"/>
      <c r="E610" s="1234"/>
      <c r="F610" s="1234"/>
      <c r="G610" s="1234"/>
      <c r="H610" s="1234"/>
      <c r="I610" s="1234"/>
      <c r="J610" s="1234"/>
      <c r="K610" s="1234"/>
      <c r="L610" s="1234"/>
      <c r="M610" s="1234"/>
      <c r="N610" s="1234"/>
      <c r="O610" s="1234"/>
      <c r="P610" s="1234"/>
      <c r="Q610" s="1234"/>
      <c r="R610" s="1234"/>
      <c r="S610" s="1234"/>
      <c r="T610" s="1234"/>
      <c r="U610" s="1234"/>
      <c r="V610" s="1234"/>
      <c r="W610" s="1234"/>
      <c r="X610" s="1234"/>
      <c r="Y610" s="1234"/>
      <c r="Z610" s="1234"/>
    </row>
    <row r="611" spans="1:26" ht="14.5">
      <c r="A611" s="1234"/>
      <c r="B611" s="1234"/>
      <c r="C611" s="1234"/>
      <c r="D611" s="1234"/>
      <c r="E611" s="1234"/>
      <c r="F611" s="1234"/>
      <c r="G611" s="1234"/>
      <c r="H611" s="1234"/>
      <c r="I611" s="1234"/>
      <c r="J611" s="1234"/>
      <c r="K611" s="1234"/>
      <c r="L611" s="1234"/>
      <c r="M611" s="1234"/>
      <c r="N611" s="1234"/>
      <c r="O611" s="1234"/>
      <c r="P611" s="1234"/>
      <c r="Q611" s="1234"/>
      <c r="R611" s="1234"/>
      <c r="S611" s="1234"/>
      <c r="T611" s="1234"/>
      <c r="U611" s="1234"/>
      <c r="V611" s="1234"/>
      <c r="W611" s="1234"/>
      <c r="X611" s="1234"/>
      <c r="Y611" s="1234"/>
      <c r="Z611" s="1234"/>
    </row>
    <row r="612" spans="1:26" ht="14.5">
      <c r="A612" s="1234"/>
      <c r="B612" s="1234"/>
      <c r="C612" s="1234"/>
      <c r="D612" s="1234"/>
      <c r="E612" s="1234"/>
      <c r="F612" s="1234"/>
      <c r="G612" s="1234"/>
      <c r="H612" s="1234"/>
      <c r="I612" s="1234"/>
      <c r="J612" s="1234"/>
      <c r="K612" s="1234"/>
      <c r="L612" s="1234"/>
      <c r="M612" s="1234"/>
      <c r="N612" s="1234"/>
      <c r="O612" s="1234"/>
      <c r="P612" s="1234"/>
      <c r="Q612" s="1234"/>
      <c r="R612" s="1234"/>
      <c r="S612" s="1234"/>
      <c r="T612" s="1234"/>
      <c r="U612" s="1234"/>
      <c r="V612" s="1234"/>
      <c r="W612" s="1234"/>
      <c r="X612" s="1234"/>
      <c r="Y612" s="1234"/>
      <c r="Z612" s="1234"/>
    </row>
    <row r="613" spans="1:26" ht="14.5">
      <c r="A613" s="1234"/>
      <c r="B613" s="1234"/>
      <c r="C613" s="1234"/>
      <c r="D613" s="1234"/>
      <c r="E613" s="1234"/>
      <c r="F613" s="1234"/>
      <c r="G613" s="1234"/>
      <c r="H613" s="1234"/>
      <c r="I613" s="1234"/>
      <c r="J613" s="1234"/>
      <c r="K613" s="1234"/>
      <c r="L613" s="1234"/>
      <c r="M613" s="1234"/>
      <c r="N613" s="1234"/>
      <c r="O613" s="1234"/>
      <c r="P613" s="1234"/>
      <c r="Q613" s="1234"/>
      <c r="R613" s="1234"/>
      <c r="S613" s="1234"/>
      <c r="T613" s="1234"/>
      <c r="U613" s="1234"/>
      <c r="V613" s="1234"/>
      <c r="W613" s="1234"/>
      <c r="X613" s="1234"/>
      <c r="Y613" s="1234"/>
      <c r="Z613" s="1234"/>
    </row>
    <row r="614" spans="1:26" ht="14.5">
      <c r="A614" s="1234"/>
      <c r="B614" s="1234"/>
      <c r="C614" s="1234"/>
      <c r="D614" s="1234"/>
      <c r="E614" s="1234"/>
      <c r="F614" s="1234"/>
      <c r="G614" s="1234"/>
      <c r="H614" s="1234"/>
      <c r="I614" s="1234"/>
      <c r="J614" s="1234"/>
      <c r="K614" s="1234"/>
      <c r="L614" s="1234"/>
      <c r="M614" s="1234"/>
      <c r="N614" s="1234"/>
      <c r="O614" s="1234"/>
      <c r="P614" s="1234"/>
      <c r="Q614" s="1234"/>
      <c r="R614" s="1234"/>
      <c r="S614" s="1234"/>
      <c r="T614" s="1234"/>
      <c r="U614" s="1234"/>
      <c r="V614" s="1234"/>
      <c r="W614" s="1234"/>
      <c r="X614" s="1234"/>
      <c r="Y614" s="1234"/>
      <c r="Z614" s="1234"/>
    </row>
    <row r="615" spans="1:26" ht="14.5">
      <c r="A615" s="1234"/>
      <c r="B615" s="1234"/>
      <c r="C615" s="1234"/>
      <c r="D615" s="1234"/>
      <c r="E615" s="1234"/>
      <c r="F615" s="1234"/>
      <c r="G615" s="1234"/>
      <c r="H615" s="1234"/>
      <c r="I615" s="1234"/>
      <c r="J615" s="1234"/>
      <c r="K615" s="1234"/>
      <c r="L615" s="1234"/>
      <c r="M615" s="1234"/>
      <c r="N615" s="1234"/>
      <c r="O615" s="1234"/>
      <c r="P615" s="1234"/>
      <c r="Q615" s="1234"/>
      <c r="R615" s="1234"/>
      <c r="S615" s="1234"/>
      <c r="T615" s="1234"/>
      <c r="U615" s="1234"/>
      <c r="V615" s="1234"/>
      <c r="W615" s="1234"/>
      <c r="X615" s="1234"/>
      <c r="Y615" s="1234"/>
      <c r="Z615" s="1234"/>
    </row>
    <row r="616" spans="1:26" ht="14.5">
      <c r="A616" s="1234"/>
      <c r="B616" s="1234"/>
      <c r="C616" s="1234"/>
      <c r="D616" s="1234"/>
      <c r="E616" s="1234"/>
      <c r="F616" s="1234"/>
      <c r="G616" s="1234"/>
      <c r="H616" s="1234"/>
      <c r="I616" s="1234"/>
      <c r="J616" s="1234"/>
      <c r="K616" s="1234"/>
      <c r="L616" s="1234"/>
      <c r="M616" s="1234"/>
      <c r="N616" s="1234"/>
      <c r="O616" s="1234"/>
      <c r="P616" s="1234"/>
      <c r="Q616" s="1234"/>
      <c r="R616" s="1234"/>
      <c r="S616" s="1234"/>
      <c r="T616" s="1234"/>
      <c r="U616" s="1234"/>
      <c r="V616" s="1234"/>
      <c r="W616" s="1234"/>
      <c r="X616" s="1234"/>
      <c r="Y616" s="1234"/>
      <c r="Z616" s="1234"/>
    </row>
    <row r="617" spans="1:26" ht="14.5">
      <c r="A617" s="1234"/>
      <c r="B617" s="1234"/>
      <c r="C617" s="1234"/>
      <c r="D617" s="1234"/>
      <c r="E617" s="1234"/>
      <c r="F617" s="1234"/>
      <c r="G617" s="1234"/>
      <c r="H617" s="1234"/>
      <c r="I617" s="1234"/>
      <c r="J617" s="1234"/>
      <c r="K617" s="1234"/>
      <c r="L617" s="1234"/>
      <c r="M617" s="1234"/>
      <c r="N617" s="1234"/>
      <c r="O617" s="1234"/>
      <c r="P617" s="1234"/>
      <c r="Q617" s="1234"/>
      <c r="R617" s="1234"/>
      <c r="S617" s="1234"/>
      <c r="T617" s="1234"/>
      <c r="U617" s="1234"/>
      <c r="V617" s="1234"/>
      <c r="W617" s="1234"/>
      <c r="X617" s="1234"/>
      <c r="Y617" s="1234"/>
      <c r="Z617" s="1234"/>
    </row>
    <row r="618" spans="1:26" ht="14.5">
      <c r="A618" s="1234"/>
      <c r="B618" s="1234"/>
      <c r="C618" s="1234"/>
      <c r="D618" s="1234"/>
      <c r="E618" s="1234"/>
      <c r="F618" s="1234"/>
      <c r="G618" s="1234"/>
      <c r="H618" s="1234"/>
      <c r="I618" s="1234"/>
      <c r="J618" s="1234"/>
      <c r="K618" s="1234"/>
      <c r="L618" s="1234"/>
      <c r="M618" s="1234"/>
      <c r="N618" s="1234"/>
      <c r="O618" s="1234"/>
      <c r="P618" s="1234"/>
      <c r="Q618" s="1234"/>
      <c r="R618" s="1234"/>
      <c r="S618" s="1234"/>
      <c r="T618" s="1234"/>
      <c r="U618" s="1234"/>
      <c r="V618" s="1234"/>
      <c r="W618" s="1234"/>
      <c r="X618" s="1234"/>
      <c r="Y618" s="1234"/>
      <c r="Z618" s="1234"/>
    </row>
    <row r="619" spans="1:26" ht="14.5">
      <c r="A619" s="1234"/>
      <c r="B619" s="1234"/>
      <c r="C619" s="1234"/>
      <c r="D619" s="1234"/>
      <c r="E619" s="1234"/>
      <c r="F619" s="1234"/>
      <c r="G619" s="1234"/>
      <c r="H619" s="1234"/>
      <c r="I619" s="1234"/>
      <c r="J619" s="1234"/>
      <c r="K619" s="1234"/>
      <c r="L619" s="1234"/>
      <c r="M619" s="1234"/>
      <c r="N619" s="1234"/>
      <c r="O619" s="1234"/>
      <c r="P619" s="1234"/>
      <c r="Q619" s="1234"/>
      <c r="R619" s="1234"/>
      <c r="S619" s="1234"/>
      <c r="T619" s="1234"/>
      <c r="U619" s="1234"/>
      <c r="V619" s="1234"/>
      <c r="W619" s="1234"/>
      <c r="X619" s="1234"/>
      <c r="Y619" s="1234"/>
      <c r="Z619" s="1234"/>
    </row>
    <row r="620" spans="1:26" ht="14.5">
      <c r="A620" s="1234"/>
      <c r="B620" s="1234"/>
      <c r="C620" s="1234"/>
      <c r="D620" s="1234"/>
      <c r="E620" s="1234"/>
      <c r="F620" s="1234"/>
      <c r="G620" s="1234"/>
      <c r="H620" s="1234"/>
      <c r="I620" s="1234"/>
      <c r="J620" s="1234"/>
      <c r="K620" s="1234"/>
      <c r="L620" s="1234"/>
      <c r="M620" s="1234"/>
      <c r="N620" s="1234"/>
      <c r="O620" s="1234"/>
      <c r="P620" s="1234"/>
      <c r="Q620" s="1234"/>
      <c r="R620" s="1234"/>
      <c r="S620" s="1234"/>
      <c r="T620" s="1234"/>
      <c r="U620" s="1234"/>
      <c r="V620" s="1234"/>
      <c r="W620" s="1234"/>
      <c r="X620" s="1234"/>
      <c r="Y620" s="1234"/>
      <c r="Z620" s="1234"/>
    </row>
    <row r="621" spans="1:26" ht="14.5">
      <c r="A621" s="1234"/>
      <c r="B621" s="1234"/>
      <c r="C621" s="1234"/>
      <c r="D621" s="1234"/>
      <c r="E621" s="1234"/>
      <c r="F621" s="1234"/>
      <c r="G621" s="1234"/>
      <c r="H621" s="1234"/>
      <c r="I621" s="1234"/>
      <c r="J621" s="1234"/>
      <c r="K621" s="1234"/>
      <c r="L621" s="1234"/>
      <c r="M621" s="1234"/>
      <c r="N621" s="1234"/>
      <c r="O621" s="1234"/>
      <c r="P621" s="1234"/>
      <c r="Q621" s="1234"/>
      <c r="R621" s="1234"/>
      <c r="S621" s="1234"/>
      <c r="T621" s="1234"/>
      <c r="U621" s="1234"/>
      <c r="V621" s="1234"/>
      <c r="W621" s="1234"/>
      <c r="X621" s="1234"/>
      <c r="Y621" s="1234"/>
      <c r="Z621" s="1234"/>
    </row>
    <row r="622" spans="1:26" ht="14.5">
      <c r="A622" s="1234"/>
      <c r="B622" s="1234"/>
      <c r="C622" s="1234"/>
      <c r="D622" s="1234"/>
      <c r="E622" s="1234"/>
      <c r="F622" s="1234"/>
      <c r="G622" s="1234"/>
      <c r="H622" s="1234"/>
      <c r="I622" s="1234"/>
      <c r="J622" s="1234"/>
      <c r="K622" s="1234"/>
      <c r="L622" s="1234"/>
      <c r="M622" s="1234"/>
      <c r="N622" s="1234"/>
      <c r="O622" s="1234"/>
      <c r="P622" s="1234"/>
      <c r="Q622" s="1234"/>
      <c r="R622" s="1234"/>
      <c r="S622" s="1234"/>
      <c r="T622" s="1234"/>
      <c r="U622" s="1234"/>
      <c r="V622" s="1234"/>
      <c r="W622" s="1234"/>
      <c r="X622" s="1234"/>
      <c r="Y622" s="1234"/>
      <c r="Z622" s="1234"/>
    </row>
    <row r="623" spans="1:26" ht="14.5">
      <c r="A623" s="1234"/>
      <c r="B623" s="1234"/>
      <c r="C623" s="1234"/>
      <c r="D623" s="1234"/>
      <c r="E623" s="1234"/>
      <c r="F623" s="1234"/>
      <c r="G623" s="1234"/>
      <c r="H623" s="1234"/>
      <c r="I623" s="1234"/>
      <c r="J623" s="1234"/>
      <c r="K623" s="1234"/>
      <c r="L623" s="1234"/>
      <c r="M623" s="1234"/>
      <c r="N623" s="1234"/>
      <c r="O623" s="1234"/>
      <c r="P623" s="1234"/>
      <c r="Q623" s="1234"/>
      <c r="R623" s="1234"/>
      <c r="S623" s="1234"/>
      <c r="T623" s="1234"/>
      <c r="U623" s="1234"/>
      <c r="V623" s="1234"/>
      <c r="W623" s="1234"/>
      <c r="X623" s="1234"/>
      <c r="Y623" s="1234"/>
      <c r="Z623" s="1234"/>
    </row>
    <row r="624" spans="1:26" ht="14.5">
      <c r="A624" s="1234"/>
      <c r="B624" s="1234"/>
      <c r="C624" s="1234"/>
      <c r="D624" s="1234"/>
      <c r="E624" s="1234"/>
      <c r="F624" s="1234"/>
      <c r="G624" s="1234"/>
      <c r="H624" s="1234"/>
      <c r="I624" s="1234"/>
      <c r="J624" s="1234"/>
      <c r="K624" s="1234"/>
      <c r="L624" s="1234"/>
      <c r="M624" s="1234"/>
      <c r="N624" s="1234"/>
      <c r="O624" s="1234"/>
      <c r="P624" s="1234"/>
      <c r="Q624" s="1234"/>
      <c r="R624" s="1234"/>
      <c r="S624" s="1234"/>
      <c r="T624" s="1234"/>
      <c r="U624" s="1234"/>
      <c r="V624" s="1234"/>
      <c r="W624" s="1234"/>
      <c r="X624" s="1234"/>
      <c r="Y624" s="1234"/>
      <c r="Z624" s="1234"/>
    </row>
    <row r="625" spans="1:26" ht="14.5">
      <c r="A625" s="1234"/>
      <c r="B625" s="1234"/>
      <c r="C625" s="1234"/>
      <c r="D625" s="1234"/>
      <c r="E625" s="1234"/>
      <c r="F625" s="1234"/>
      <c r="G625" s="1234"/>
      <c r="H625" s="1234"/>
      <c r="I625" s="1234"/>
      <c r="J625" s="1234"/>
      <c r="K625" s="1234"/>
      <c r="L625" s="1234"/>
      <c r="M625" s="1234"/>
      <c r="N625" s="1234"/>
      <c r="O625" s="1234"/>
      <c r="P625" s="1234"/>
      <c r="Q625" s="1234"/>
      <c r="R625" s="1234"/>
      <c r="S625" s="1234"/>
      <c r="T625" s="1234"/>
      <c r="U625" s="1234"/>
      <c r="V625" s="1234"/>
      <c r="W625" s="1234"/>
      <c r="X625" s="1234"/>
      <c r="Y625" s="1234"/>
      <c r="Z625" s="1234"/>
    </row>
    <row r="626" spans="1:26" ht="14.5">
      <c r="A626" s="1234"/>
      <c r="B626" s="1234"/>
      <c r="C626" s="1234"/>
      <c r="D626" s="1234"/>
      <c r="E626" s="1234"/>
      <c r="F626" s="1234"/>
      <c r="G626" s="1234"/>
      <c r="H626" s="1234"/>
      <c r="I626" s="1234"/>
      <c r="J626" s="1234"/>
      <c r="K626" s="1234"/>
      <c r="L626" s="1234"/>
      <c r="M626" s="1234"/>
      <c r="N626" s="1234"/>
      <c r="O626" s="1234"/>
      <c r="P626" s="1234"/>
      <c r="Q626" s="1234"/>
      <c r="R626" s="1234"/>
      <c r="S626" s="1234"/>
      <c r="T626" s="1234"/>
      <c r="U626" s="1234"/>
      <c r="V626" s="1234"/>
      <c r="W626" s="1234"/>
      <c r="X626" s="1234"/>
      <c r="Y626" s="1234"/>
      <c r="Z626" s="1234"/>
    </row>
    <row r="627" spans="1:26" ht="14.5">
      <c r="A627" s="1234"/>
      <c r="B627" s="1234"/>
      <c r="C627" s="1234"/>
      <c r="D627" s="1234"/>
      <c r="E627" s="1234"/>
      <c r="F627" s="1234"/>
      <c r="G627" s="1234"/>
      <c r="H627" s="1234"/>
      <c r="I627" s="1234"/>
      <c r="J627" s="1234"/>
      <c r="K627" s="1234"/>
      <c r="L627" s="1234"/>
      <c r="M627" s="1234"/>
      <c r="N627" s="1234"/>
      <c r="O627" s="1234"/>
      <c r="P627" s="1234"/>
      <c r="Q627" s="1234"/>
      <c r="R627" s="1234"/>
      <c r="S627" s="1234"/>
      <c r="T627" s="1234"/>
      <c r="U627" s="1234"/>
      <c r="V627" s="1234"/>
      <c r="W627" s="1234"/>
      <c r="X627" s="1234"/>
      <c r="Y627" s="1234"/>
      <c r="Z627" s="1234"/>
    </row>
    <row r="628" spans="1:26" ht="14.5">
      <c r="A628" s="1234"/>
      <c r="B628" s="1234"/>
      <c r="C628" s="1234"/>
      <c r="D628" s="1234"/>
      <c r="E628" s="1234"/>
      <c r="F628" s="1234"/>
      <c r="G628" s="1234"/>
      <c r="H628" s="1234"/>
      <c r="I628" s="1234"/>
      <c r="J628" s="1234"/>
      <c r="K628" s="1234"/>
      <c r="L628" s="1234"/>
      <c r="M628" s="1234"/>
      <c r="N628" s="1234"/>
      <c r="O628" s="1234"/>
      <c r="P628" s="1234"/>
      <c r="Q628" s="1234"/>
      <c r="R628" s="1234"/>
      <c r="S628" s="1234"/>
      <c r="T628" s="1234"/>
      <c r="U628" s="1234"/>
      <c r="V628" s="1234"/>
      <c r="W628" s="1234"/>
      <c r="X628" s="1234"/>
      <c r="Y628" s="1234"/>
      <c r="Z628" s="1234"/>
    </row>
    <row r="629" spans="1:26" ht="14.5">
      <c r="A629" s="1234"/>
      <c r="B629" s="1234"/>
      <c r="C629" s="1234"/>
      <c r="D629" s="1234"/>
      <c r="E629" s="1234"/>
      <c r="F629" s="1234"/>
      <c r="G629" s="1234"/>
      <c r="H629" s="1234"/>
      <c r="I629" s="1234"/>
      <c r="J629" s="1234"/>
      <c r="K629" s="1234"/>
      <c r="L629" s="1234"/>
      <c r="M629" s="1234"/>
      <c r="N629" s="1234"/>
      <c r="O629" s="1234"/>
      <c r="P629" s="1234"/>
      <c r="Q629" s="1234"/>
      <c r="R629" s="1234"/>
      <c r="S629" s="1234"/>
      <c r="T629" s="1234"/>
      <c r="U629" s="1234"/>
      <c r="V629" s="1234"/>
      <c r="W629" s="1234"/>
      <c r="X629" s="1234"/>
      <c r="Y629" s="1234"/>
      <c r="Z629" s="1234"/>
    </row>
    <row r="630" spans="1:26" ht="14.5">
      <c r="A630" s="1234"/>
      <c r="B630" s="1234"/>
      <c r="C630" s="1234"/>
      <c r="D630" s="1234"/>
      <c r="E630" s="1234"/>
      <c r="F630" s="1234"/>
      <c r="G630" s="1234"/>
      <c r="H630" s="1234"/>
      <c r="I630" s="1234"/>
      <c r="J630" s="1234"/>
      <c r="K630" s="1234"/>
      <c r="L630" s="1234"/>
      <c r="M630" s="1234"/>
      <c r="N630" s="1234"/>
      <c r="O630" s="1234"/>
      <c r="P630" s="1234"/>
      <c r="Q630" s="1234"/>
      <c r="R630" s="1234"/>
      <c r="S630" s="1234"/>
      <c r="T630" s="1234"/>
      <c r="U630" s="1234"/>
      <c r="V630" s="1234"/>
      <c r="W630" s="1234"/>
      <c r="X630" s="1234"/>
      <c r="Y630" s="1234"/>
      <c r="Z630" s="1234"/>
    </row>
    <row r="631" spans="1:26" ht="14.5">
      <c r="A631" s="1234"/>
      <c r="B631" s="1234"/>
      <c r="C631" s="1234"/>
      <c r="D631" s="1234"/>
      <c r="E631" s="1234"/>
      <c r="F631" s="1234"/>
      <c r="G631" s="1234"/>
      <c r="H631" s="1234"/>
      <c r="I631" s="1234"/>
      <c r="J631" s="1234"/>
      <c r="K631" s="1234"/>
      <c r="L631" s="1234"/>
      <c r="M631" s="1234"/>
      <c r="N631" s="1234"/>
      <c r="O631" s="1234"/>
      <c r="P631" s="1234"/>
      <c r="Q631" s="1234"/>
      <c r="R631" s="1234"/>
      <c r="S631" s="1234"/>
      <c r="T631" s="1234"/>
      <c r="U631" s="1234"/>
      <c r="V631" s="1234"/>
      <c r="W631" s="1234"/>
      <c r="X631" s="1234"/>
      <c r="Y631" s="1234"/>
      <c r="Z631" s="1234"/>
    </row>
    <row r="632" spans="1:26" ht="14.5">
      <c r="A632" s="1234"/>
      <c r="B632" s="1234"/>
      <c r="C632" s="1234"/>
      <c r="D632" s="1234"/>
      <c r="E632" s="1234"/>
      <c r="F632" s="1234"/>
      <c r="G632" s="1234"/>
      <c r="H632" s="1234"/>
      <c r="I632" s="1234"/>
      <c r="J632" s="1234"/>
      <c r="K632" s="1234"/>
      <c r="L632" s="1234"/>
      <c r="M632" s="1234"/>
      <c r="N632" s="1234"/>
      <c r="O632" s="1234"/>
      <c r="P632" s="1234"/>
      <c r="Q632" s="1234"/>
      <c r="R632" s="1234"/>
      <c r="S632" s="1234"/>
      <c r="T632" s="1234"/>
      <c r="U632" s="1234"/>
      <c r="V632" s="1234"/>
      <c r="W632" s="1234"/>
      <c r="X632" s="1234"/>
      <c r="Y632" s="1234"/>
      <c r="Z632" s="1234"/>
    </row>
    <row r="633" spans="1:26" ht="14.5">
      <c r="A633" s="1234"/>
      <c r="B633" s="1234"/>
      <c r="C633" s="1234"/>
      <c r="D633" s="1234"/>
      <c r="E633" s="1234"/>
      <c r="F633" s="1234"/>
      <c r="G633" s="1234"/>
      <c r="H633" s="1234"/>
      <c r="I633" s="1234"/>
      <c r="J633" s="1234"/>
      <c r="K633" s="1234"/>
      <c r="L633" s="1234"/>
      <c r="M633" s="1234"/>
      <c r="N633" s="1234"/>
      <c r="O633" s="1234"/>
      <c r="P633" s="1234"/>
      <c r="Q633" s="1234"/>
      <c r="R633" s="1234"/>
      <c r="S633" s="1234"/>
      <c r="T633" s="1234"/>
      <c r="U633" s="1234"/>
      <c r="V633" s="1234"/>
      <c r="W633" s="1234"/>
      <c r="X633" s="1234"/>
      <c r="Y633" s="1234"/>
      <c r="Z633" s="1234"/>
    </row>
    <row r="634" spans="1:26" ht="14.5">
      <c r="A634" s="1234"/>
      <c r="B634" s="1234"/>
      <c r="C634" s="1234"/>
      <c r="D634" s="1234"/>
      <c r="E634" s="1234"/>
      <c r="F634" s="1234"/>
      <c r="G634" s="1234"/>
      <c r="H634" s="1234"/>
      <c r="I634" s="1234"/>
      <c r="J634" s="1234"/>
      <c r="K634" s="1234"/>
      <c r="L634" s="1234"/>
      <c r="M634" s="1234"/>
      <c r="N634" s="1234"/>
      <c r="O634" s="1234"/>
      <c r="P634" s="1234"/>
      <c r="Q634" s="1234"/>
      <c r="R634" s="1234"/>
      <c r="S634" s="1234"/>
      <c r="T634" s="1234"/>
      <c r="U634" s="1234"/>
      <c r="V634" s="1234"/>
      <c r="W634" s="1234"/>
      <c r="X634" s="1234"/>
      <c r="Y634" s="1234"/>
      <c r="Z634" s="1234"/>
    </row>
    <row r="635" spans="1:26" ht="14.5">
      <c r="A635" s="1234"/>
      <c r="B635" s="1234"/>
      <c r="C635" s="1234"/>
      <c r="D635" s="1234"/>
      <c r="E635" s="1234"/>
      <c r="F635" s="1234"/>
      <c r="G635" s="1234"/>
      <c r="H635" s="1234"/>
      <c r="I635" s="1234"/>
      <c r="J635" s="1234"/>
      <c r="K635" s="1234"/>
      <c r="L635" s="1234"/>
      <c r="M635" s="1234"/>
      <c r="N635" s="1234"/>
      <c r="O635" s="1234"/>
      <c r="P635" s="1234"/>
      <c r="Q635" s="1234"/>
      <c r="R635" s="1234"/>
      <c r="S635" s="1234"/>
      <c r="T635" s="1234"/>
      <c r="U635" s="1234"/>
      <c r="V635" s="1234"/>
      <c r="W635" s="1234"/>
      <c r="X635" s="1234"/>
      <c r="Y635" s="1234"/>
      <c r="Z635" s="1234"/>
    </row>
    <row r="636" spans="1:26" ht="14.5">
      <c r="A636" s="1234"/>
      <c r="B636" s="1234"/>
      <c r="C636" s="1234"/>
      <c r="D636" s="1234"/>
      <c r="E636" s="1234"/>
      <c r="F636" s="1234"/>
      <c r="G636" s="1234"/>
      <c r="H636" s="1234"/>
      <c r="I636" s="1234"/>
      <c r="J636" s="1234"/>
      <c r="K636" s="1234"/>
      <c r="L636" s="1234"/>
      <c r="M636" s="1234"/>
      <c r="N636" s="1234"/>
      <c r="O636" s="1234"/>
      <c r="P636" s="1234"/>
      <c r="Q636" s="1234"/>
      <c r="R636" s="1234"/>
      <c r="S636" s="1234"/>
      <c r="T636" s="1234"/>
      <c r="U636" s="1234"/>
      <c r="V636" s="1234"/>
      <c r="W636" s="1234"/>
      <c r="X636" s="1234"/>
      <c r="Y636" s="1234"/>
      <c r="Z636" s="1234"/>
    </row>
    <row r="637" spans="1:26" ht="14.5">
      <c r="A637" s="1234"/>
      <c r="B637" s="1234"/>
      <c r="C637" s="1234"/>
      <c r="D637" s="1234"/>
      <c r="E637" s="1234"/>
      <c r="F637" s="1234"/>
      <c r="G637" s="1234"/>
      <c r="H637" s="1234"/>
      <c r="I637" s="1234"/>
      <c r="J637" s="1234"/>
      <c r="K637" s="1234"/>
      <c r="L637" s="1234"/>
      <c r="M637" s="1234"/>
      <c r="N637" s="1234"/>
      <c r="O637" s="1234"/>
      <c r="P637" s="1234"/>
      <c r="Q637" s="1234"/>
      <c r="R637" s="1234"/>
      <c r="S637" s="1234"/>
      <c r="T637" s="1234"/>
      <c r="U637" s="1234"/>
      <c r="V637" s="1234"/>
      <c r="W637" s="1234"/>
      <c r="X637" s="1234"/>
      <c r="Y637" s="1234"/>
      <c r="Z637" s="1234"/>
    </row>
    <row r="638" spans="1:26" ht="14.5">
      <c r="A638" s="1234"/>
      <c r="B638" s="1234"/>
      <c r="C638" s="1234"/>
      <c r="D638" s="1234"/>
      <c r="E638" s="1234"/>
      <c r="F638" s="1234"/>
      <c r="G638" s="1234"/>
      <c r="H638" s="1234"/>
      <c r="I638" s="1234"/>
      <c r="J638" s="1234"/>
      <c r="K638" s="1234"/>
      <c r="L638" s="1234"/>
      <c r="M638" s="1234"/>
      <c r="N638" s="1234"/>
      <c r="O638" s="1234"/>
      <c r="P638" s="1234"/>
      <c r="Q638" s="1234"/>
      <c r="R638" s="1234"/>
      <c r="S638" s="1234"/>
      <c r="T638" s="1234"/>
      <c r="U638" s="1234"/>
      <c r="V638" s="1234"/>
      <c r="W638" s="1234"/>
      <c r="X638" s="1234"/>
      <c r="Y638" s="1234"/>
      <c r="Z638" s="1234"/>
    </row>
    <row r="639" spans="1:26" ht="14.5">
      <c r="A639" s="1234"/>
      <c r="B639" s="1234"/>
      <c r="C639" s="1234"/>
      <c r="D639" s="1234"/>
      <c r="E639" s="1234"/>
      <c r="F639" s="1234"/>
      <c r="G639" s="1234"/>
      <c r="H639" s="1234"/>
      <c r="I639" s="1234"/>
      <c r="J639" s="1234"/>
      <c r="K639" s="1234"/>
      <c r="L639" s="1234"/>
      <c r="M639" s="1234"/>
      <c r="N639" s="1234"/>
      <c r="O639" s="1234"/>
      <c r="P639" s="1234"/>
      <c r="Q639" s="1234"/>
      <c r="R639" s="1234"/>
      <c r="S639" s="1234"/>
      <c r="T639" s="1234"/>
      <c r="U639" s="1234"/>
      <c r="V639" s="1234"/>
      <c r="W639" s="1234"/>
      <c r="X639" s="1234"/>
      <c r="Y639" s="1234"/>
      <c r="Z639" s="1234"/>
    </row>
    <row r="640" spans="1:26" ht="14.5">
      <c r="A640" s="1234"/>
      <c r="B640" s="1234"/>
      <c r="C640" s="1234"/>
      <c r="D640" s="1234"/>
      <c r="E640" s="1234"/>
      <c r="F640" s="1234"/>
      <c r="G640" s="1234"/>
      <c r="H640" s="1234"/>
      <c r="I640" s="1234"/>
      <c r="J640" s="1234"/>
      <c r="K640" s="1234"/>
      <c r="L640" s="1234"/>
      <c r="M640" s="1234"/>
      <c r="N640" s="1234"/>
      <c r="O640" s="1234"/>
      <c r="P640" s="1234"/>
      <c r="Q640" s="1234"/>
      <c r="R640" s="1234"/>
      <c r="S640" s="1234"/>
      <c r="T640" s="1234"/>
      <c r="U640" s="1234"/>
      <c r="V640" s="1234"/>
      <c r="W640" s="1234"/>
      <c r="X640" s="1234"/>
      <c r="Y640" s="1234"/>
      <c r="Z640" s="1234"/>
    </row>
    <row r="641" spans="1:26" ht="14.5">
      <c r="A641" s="1234"/>
      <c r="B641" s="1234"/>
      <c r="C641" s="1234"/>
      <c r="D641" s="1234"/>
      <c r="E641" s="1234"/>
      <c r="F641" s="1234"/>
      <c r="G641" s="1234"/>
      <c r="H641" s="1234"/>
      <c r="I641" s="1234"/>
      <c r="J641" s="1234"/>
      <c r="K641" s="1234"/>
      <c r="L641" s="1234"/>
      <c r="M641" s="1234"/>
      <c r="N641" s="1234"/>
      <c r="O641" s="1234"/>
      <c r="P641" s="1234"/>
      <c r="Q641" s="1234"/>
      <c r="R641" s="1234"/>
      <c r="S641" s="1234"/>
      <c r="T641" s="1234"/>
      <c r="U641" s="1234"/>
      <c r="V641" s="1234"/>
      <c r="W641" s="1234"/>
      <c r="X641" s="1234"/>
      <c r="Y641" s="1234"/>
      <c r="Z641" s="1234"/>
    </row>
    <row r="642" spans="1:26" ht="14.5">
      <c r="A642" s="1234"/>
      <c r="B642" s="1234"/>
      <c r="C642" s="1234"/>
      <c r="D642" s="1234"/>
      <c r="E642" s="1234"/>
      <c r="F642" s="1234"/>
      <c r="G642" s="1234"/>
      <c r="H642" s="1234"/>
      <c r="I642" s="1234"/>
      <c r="J642" s="1234"/>
      <c r="K642" s="1234"/>
      <c r="L642" s="1234"/>
      <c r="M642" s="1234"/>
      <c r="N642" s="1234"/>
      <c r="O642" s="1234"/>
      <c r="P642" s="1234"/>
      <c r="Q642" s="1234"/>
      <c r="R642" s="1234"/>
      <c r="S642" s="1234"/>
      <c r="T642" s="1234"/>
      <c r="U642" s="1234"/>
      <c r="V642" s="1234"/>
      <c r="W642" s="1234"/>
      <c r="X642" s="1234"/>
      <c r="Y642" s="1234"/>
      <c r="Z642" s="1234"/>
    </row>
    <row r="643" spans="1:26" ht="14.5">
      <c r="A643" s="1234"/>
      <c r="B643" s="1234"/>
      <c r="C643" s="1234"/>
      <c r="D643" s="1234"/>
      <c r="E643" s="1234"/>
      <c r="F643" s="1234"/>
      <c r="G643" s="1234"/>
      <c r="H643" s="1234"/>
      <c r="I643" s="1234"/>
      <c r="J643" s="1234"/>
      <c r="K643" s="1234"/>
      <c r="L643" s="1234"/>
      <c r="M643" s="1234"/>
      <c r="N643" s="1234"/>
      <c r="O643" s="1234"/>
      <c r="P643" s="1234"/>
      <c r="Q643" s="1234"/>
      <c r="R643" s="1234"/>
      <c r="S643" s="1234"/>
      <c r="T643" s="1234"/>
      <c r="U643" s="1234"/>
      <c r="V643" s="1234"/>
      <c r="W643" s="1234"/>
      <c r="X643" s="1234"/>
      <c r="Y643" s="1234"/>
      <c r="Z643" s="1234"/>
    </row>
    <row r="644" spans="1:26" ht="14.5">
      <c r="A644" s="1234"/>
      <c r="B644" s="1234"/>
      <c r="C644" s="1234"/>
      <c r="D644" s="1234"/>
      <c r="E644" s="1234"/>
      <c r="F644" s="1234"/>
      <c r="G644" s="1234"/>
      <c r="H644" s="1234"/>
      <c r="I644" s="1234"/>
      <c r="J644" s="1234"/>
      <c r="K644" s="1234"/>
      <c r="L644" s="1234"/>
      <c r="M644" s="1234"/>
      <c r="N644" s="1234"/>
      <c r="O644" s="1234"/>
      <c r="P644" s="1234"/>
      <c r="Q644" s="1234"/>
      <c r="R644" s="1234"/>
      <c r="S644" s="1234"/>
      <c r="T644" s="1234"/>
      <c r="U644" s="1234"/>
      <c r="V644" s="1234"/>
      <c r="W644" s="1234"/>
      <c r="X644" s="1234"/>
      <c r="Y644" s="1234"/>
      <c r="Z644" s="1234"/>
    </row>
    <row r="645" spans="1:26" ht="14.5">
      <c r="A645" s="1234"/>
      <c r="B645" s="1234"/>
      <c r="C645" s="1234"/>
      <c r="D645" s="1234"/>
      <c r="E645" s="1234"/>
      <c r="F645" s="1234"/>
      <c r="G645" s="1234"/>
      <c r="H645" s="1234"/>
      <c r="I645" s="1234"/>
      <c r="J645" s="1234"/>
      <c r="K645" s="1234"/>
      <c r="L645" s="1234"/>
      <c r="M645" s="1234"/>
      <c r="N645" s="1234"/>
      <c r="O645" s="1234"/>
      <c r="P645" s="1234"/>
      <c r="Q645" s="1234"/>
      <c r="R645" s="1234"/>
      <c r="S645" s="1234"/>
      <c r="T645" s="1234"/>
      <c r="U645" s="1234"/>
      <c r="V645" s="1234"/>
      <c r="W645" s="1234"/>
      <c r="X645" s="1234"/>
      <c r="Y645" s="1234"/>
      <c r="Z645" s="1234"/>
    </row>
    <row r="646" spans="1:26" ht="14.5">
      <c r="A646" s="1234"/>
      <c r="B646" s="1234"/>
      <c r="C646" s="1234"/>
      <c r="D646" s="1234"/>
      <c r="E646" s="1234"/>
      <c r="F646" s="1234"/>
      <c r="G646" s="1234"/>
      <c r="H646" s="1234"/>
      <c r="I646" s="1234"/>
      <c r="J646" s="1234"/>
      <c r="K646" s="1234"/>
      <c r="L646" s="1234"/>
      <c r="M646" s="1234"/>
      <c r="N646" s="1234"/>
      <c r="O646" s="1234"/>
      <c r="P646" s="1234"/>
      <c r="Q646" s="1234"/>
      <c r="R646" s="1234"/>
      <c r="S646" s="1234"/>
      <c r="T646" s="1234"/>
      <c r="U646" s="1234"/>
      <c r="V646" s="1234"/>
      <c r="W646" s="1234"/>
      <c r="X646" s="1234"/>
      <c r="Y646" s="1234"/>
      <c r="Z646" s="1234"/>
    </row>
    <row r="647" spans="1:26" ht="14.5">
      <c r="A647" s="1234"/>
      <c r="B647" s="1234"/>
      <c r="C647" s="1234"/>
      <c r="D647" s="1234"/>
      <c r="E647" s="1234"/>
      <c r="F647" s="1234"/>
      <c r="G647" s="1234"/>
      <c r="H647" s="1234"/>
      <c r="I647" s="1234"/>
      <c r="J647" s="1234"/>
      <c r="K647" s="1234"/>
      <c r="L647" s="1234"/>
      <c r="M647" s="1234"/>
      <c r="N647" s="1234"/>
      <c r="O647" s="1234"/>
      <c r="P647" s="1234"/>
      <c r="Q647" s="1234"/>
      <c r="R647" s="1234"/>
      <c r="S647" s="1234"/>
      <c r="T647" s="1234"/>
      <c r="U647" s="1234"/>
      <c r="V647" s="1234"/>
      <c r="W647" s="1234"/>
      <c r="X647" s="1234"/>
      <c r="Y647" s="1234"/>
      <c r="Z647" s="1234"/>
    </row>
    <row r="648" spans="1:26" ht="14.5">
      <c r="A648" s="1234"/>
      <c r="B648" s="1234"/>
      <c r="C648" s="1234"/>
      <c r="D648" s="1234"/>
      <c r="E648" s="1234"/>
      <c r="F648" s="1234"/>
      <c r="G648" s="1234"/>
      <c r="H648" s="1234"/>
      <c r="I648" s="1234"/>
      <c r="J648" s="1234"/>
      <c r="K648" s="1234"/>
      <c r="L648" s="1234"/>
      <c r="M648" s="1234"/>
      <c r="N648" s="1234"/>
      <c r="O648" s="1234"/>
      <c r="P648" s="1234"/>
      <c r="Q648" s="1234"/>
      <c r="R648" s="1234"/>
      <c r="S648" s="1234"/>
      <c r="T648" s="1234"/>
      <c r="U648" s="1234"/>
      <c r="V648" s="1234"/>
      <c r="W648" s="1234"/>
      <c r="X648" s="1234"/>
      <c r="Y648" s="1234"/>
      <c r="Z648" s="1234"/>
    </row>
    <row r="649" spans="1:26" ht="14.5">
      <c r="A649" s="1234"/>
      <c r="B649" s="1234"/>
      <c r="C649" s="1234"/>
      <c r="D649" s="1234"/>
      <c r="E649" s="1234"/>
      <c r="F649" s="1234"/>
      <c r="G649" s="1234"/>
      <c r="H649" s="1234"/>
      <c r="I649" s="1234"/>
      <c r="J649" s="1234"/>
      <c r="K649" s="1234"/>
      <c r="L649" s="1234"/>
      <c r="M649" s="1234"/>
      <c r="N649" s="1234"/>
      <c r="O649" s="1234"/>
      <c r="P649" s="1234"/>
      <c r="Q649" s="1234"/>
      <c r="R649" s="1234"/>
      <c r="S649" s="1234"/>
      <c r="T649" s="1234"/>
      <c r="U649" s="1234"/>
      <c r="V649" s="1234"/>
      <c r="W649" s="1234"/>
      <c r="X649" s="1234"/>
      <c r="Y649" s="1234"/>
      <c r="Z649" s="1234"/>
    </row>
    <row r="650" spans="1:26" ht="14.5">
      <c r="A650" s="1234"/>
      <c r="B650" s="1234"/>
      <c r="C650" s="1234"/>
      <c r="D650" s="1234"/>
      <c r="E650" s="1234"/>
      <c r="F650" s="1234"/>
      <c r="G650" s="1234"/>
      <c r="H650" s="1234"/>
      <c r="I650" s="1234"/>
      <c r="J650" s="1234"/>
      <c r="K650" s="1234"/>
      <c r="L650" s="1234"/>
      <c r="M650" s="1234"/>
      <c r="N650" s="1234"/>
      <c r="O650" s="1234"/>
      <c r="P650" s="1234"/>
      <c r="Q650" s="1234"/>
      <c r="R650" s="1234"/>
      <c r="S650" s="1234"/>
      <c r="T650" s="1234"/>
      <c r="U650" s="1234"/>
      <c r="V650" s="1234"/>
      <c r="W650" s="1234"/>
      <c r="X650" s="1234"/>
      <c r="Y650" s="1234"/>
      <c r="Z650" s="1234"/>
    </row>
    <row r="651" spans="1:26" ht="14.5">
      <c r="A651" s="1234"/>
      <c r="B651" s="1234"/>
      <c r="C651" s="1234"/>
      <c r="D651" s="1234"/>
      <c r="E651" s="1234"/>
      <c r="F651" s="1234"/>
      <c r="G651" s="1234"/>
      <c r="H651" s="1234"/>
      <c r="I651" s="1234"/>
      <c r="J651" s="1234"/>
      <c r="K651" s="1234"/>
      <c r="L651" s="1234"/>
      <c r="M651" s="1234"/>
      <c r="N651" s="1234"/>
      <c r="O651" s="1234"/>
      <c r="P651" s="1234"/>
      <c r="Q651" s="1234"/>
      <c r="R651" s="1234"/>
      <c r="S651" s="1234"/>
      <c r="T651" s="1234"/>
      <c r="U651" s="1234"/>
      <c r="V651" s="1234"/>
      <c r="W651" s="1234"/>
      <c r="X651" s="1234"/>
      <c r="Y651" s="1234"/>
      <c r="Z651" s="1234"/>
    </row>
    <row r="652" spans="1:26" ht="14.5">
      <c r="A652" s="1234"/>
      <c r="B652" s="1234"/>
      <c r="C652" s="1234"/>
      <c r="D652" s="1234"/>
      <c r="E652" s="1234"/>
      <c r="F652" s="1234"/>
      <c r="G652" s="1234"/>
      <c r="H652" s="1234"/>
      <c r="I652" s="1234"/>
      <c r="J652" s="1234"/>
      <c r="K652" s="1234"/>
      <c r="L652" s="1234"/>
      <c r="M652" s="1234"/>
      <c r="N652" s="1234"/>
      <c r="O652" s="1234"/>
      <c r="P652" s="1234"/>
      <c r="Q652" s="1234"/>
      <c r="R652" s="1234"/>
      <c r="S652" s="1234"/>
      <c r="T652" s="1234"/>
      <c r="U652" s="1234"/>
      <c r="V652" s="1234"/>
      <c r="W652" s="1234"/>
      <c r="X652" s="1234"/>
      <c r="Y652" s="1234"/>
      <c r="Z652" s="1234"/>
    </row>
    <row r="653" spans="1:26" ht="14.5">
      <c r="A653" s="1234"/>
      <c r="B653" s="1234"/>
      <c r="C653" s="1234"/>
      <c r="D653" s="1234"/>
      <c r="E653" s="1234"/>
      <c r="F653" s="1234"/>
      <c r="G653" s="1234"/>
      <c r="H653" s="1234"/>
      <c r="I653" s="1234"/>
      <c r="J653" s="1234"/>
      <c r="K653" s="1234"/>
      <c r="L653" s="1234"/>
      <c r="M653" s="1234"/>
      <c r="N653" s="1234"/>
      <c r="O653" s="1234"/>
      <c r="P653" s="1234"/>
      <c r="Q653" s="1234"/>
      <c r="R653" s="1234"/>
      <c r="S653" s="1234"/>
      <c r="T653" s="1234"/>
      <c r="U653" s="1234"/>
      <c r="V653" s="1234"/>
      <c r="W653" s="1234"/>
      <c r="X653" s="1234"/>
      <c r="Y653" s="1234"/>
      <c r="Z653" s="1234"/>
    </row>
    <row r="654" spans="1:26" ht="14.5">
      <c r="A654" s="1234"/>
      <c r="B654" s="1234"/>
      <c r="C654" s="1234"/>
      <c r="D654" s="1234"/>
      <c r="E654" s="1234"/>
      <c r="F654" s="1234"/>
      <c r="G654" s="1234"/>
      <c r="H654" s="1234"/>
      <c r="I654" s="1234"/>
      <c r="J654" s="1234"/>
      <c r="K654" s="1234"/>
      <c r="L654" s="1234"/>
      <c r="M654" s="1234"/>
      <c r="N654" s="1234"/>
      <c r="O654" s="1234"/>
      <c r="P654" s="1234"/>
      <c r="Q654" s="1234"/>
      <c r="R654" s="1234"/>
      <c r="S654" s="1234"/>
      <c r="T654" s="1234"/>
      <c r="U654" s="1234"/>
      <c r="V654" s="1234"/>
      <c r="W654" s="1234"/>
      <c r="X654" s="1234"/>
      <c r="Y654" s="1234"/>
      <c r="Z654" s="1234"/>
    </row>
    <row r="655" spans="1:26" ht="14.5">
      <c r="A655" s="1234"/>
      <c r="B655" s="1234"/>
      <c r="C655" s="1234"/>
      <c r="D655" s="1234"/>
      <c r="E655" s="1234"/>
      <c r="F655" s="1234"/>
      <c r="G655" s="1234"/>
      <c r="H655" s="1234"/>
      <c r="I655" s="1234"/>
      <c r="J655" s="1234"/>
      <c r="K655" s="1234"/>
      <c r="L655" s="1234"/>
      <c r="M655" s="1234"/>
      <c r="N655" s="1234"/>
      <c r="O655" s="1234"/>
      <c r="P655" s="1234"/>
      <c r="Q655" s="1234"/>
      <c r="R655" s="1234"/>
      <c r="S655" s="1234"/>
      <c r="T655" s="1234"/>
      <c r="U655" s="1234"/>
      <c r="V655" s="1234"/>
      <c r="W655" s="1234"/>
      <c r="X655" s="1234"/>
      <c r="Y655" s="1234"/>
      <c r="Z655" s="1234"/>
    </row>
    <row r="656" spans="1:26" ht="14.5">
      <c r="A656" s="1234"/>
      <c r="B656" s="1234"/>
      <c r="C656" s="1234"/>
      <c r="D656" s="1234"/>
      <c r="E656" s="1234"/>
      <c r="F656" s="1234"/>
      <c r="G656" s="1234"/>
      <c r="H656" s="1234"/>
      <c r="I656" s="1234"/>
      <c r="J656" s="1234"/>
      <c r="K656" s="1234"/>
      <c r="L656" s="1234"/>
      <c r="M656" s="1234"/>
      <c r="N656" s="1234"/>
      <c r="O656" s="1234"/>
      <c r="P656" s="1234"/>
      <c r="Q656" s="1234"/>
      <c r="R656" s="1234"/>
      <c r="S656" s="1234"/>
      <c r="T656" s="1234"/>
      <c r="U656" s="1234"/>
      <c r="V656" s="1234"/>
      <c r="W656" s="1234"/>
      <c r="X656" s="1234"/>
      <c r="Y656" s="1234"/>
      <c r="Z656" s="1234"/>
    </row>
    <row r="657" spans="1:26" ht="14.5">
      <c r="A657" s="1234"/>
      <c r="B657" s="1234"/>
      <c r="C657" s="1234"/>
      <c r="D657" s="1234"/>
      <c r="E657" s="1234"/>
      <c r="F657" s="1234"/>
      <c r="G657" s="1234"/>
      <c r="H657" s="1234"/>
      <c r="I657" s="1234"/>
      <c r="J657" s="1234"/>
      <c r="K657" s="1234"/>
      <c r="L657" s="1234"/>
      <c r="M657" s="1234"/>
      <c r="N657" s="1234"/>
      <c r="O657" s="1234"/>
      <c r="P657" s="1234"/>
      <c r="Q657" s="1234"/>
      <c r="R657" s="1234"/>
      <c r="S657" s="1234"/>
      <c r="T657" s="1234"/>
      <c r="U657" s="1234"/>
      <c r="V657" s="1234"/>
      <c r="W657" s="1234"/>
      <c r="X657" s="1234"/>
      <c r="Y657" s="1234"/>
      <c r="Z657" s="1234"/>
    </row>
    <row r="658" spans="1:26" ht="14.5">
      <c r="A658" s="1234"/>
      <c r="B658" s="1234"/>
      <c r="C658" s="1234"/>
      <c r="D658" s="1234"/>
      <c r="E658" s="1234"/>
      <c r="F658" s="1234"/>
      <c r="G658" s="1234"/>
      <c r="H658" s="1234"/>
      <c r="I658" s="1234"/>
      <c r="J658" s="1234"/>
      <c r="K658" s="1234"/>
      <c r="L658" s="1234"/>
      <c r="M658" s="1234"/>
      <c r="N658" s="1234"/>
      <c r="O658" s="1234"/>
      <c r="P658" s="1234"/>
      <c r="Q658" s="1234"/>
      <c r="R658" s="1234"/>
      <c r="S658" s="1234"/>
      <c r="T658" s="1234"/>
      <c r="U658" s="1234"/>
      <c r="V658" s="1234"/>
      <c r="W658" s="1234"/>
      <c r="X658" s="1234"/>
      <c r="Y658" s="1234"/>
      <c r="Z658" s="1234"/>
    </row>
    <row r="659" spans="1:26" ht="14.5">
      <c r="A659" s="1234"/>
      <c r="B659" s="1234"/>
      <c r="C659" s="1234"/>
      <c r="D659" s="1234"/>
      <c r="E659" s="1234"/>
      <c r="F659" s="1234"/>
      <c r="G659" s="1234"/>
      <c r="H659" s="1234"/>
      <c r="I659" s="1234"/>
      <c r="J659" s="1234"/>
      <c r="K659" s="1234"/>
      <c r="L659" s="1234"/>
      <c r="M659" s="1234"/>
      <c r="N659" s="1234"/>
      <c r="O659" s="1234"/>
      <c r="P659" s="1234"/>
      <c r="Q659" s="1234"/>
      <c r="R659" s="1234"/>
      <c r="S659" s="1234"/>
      <c r="T659" s="1234"/>
      <c r="U659" s="1234"/>
      <c r="V659" s="1234"/>
      <c r="W659" s="1234"/>
      <c r="X659" s="1234"/>
      <c r="Y659" s="1234"/>
      <c r="Z659" s="1234"/>
    </row>
    <row r="660" spans="1:26" ht="14.5">
      <c r="A660" s="1234"/>
      <c r="B660" s="1234"/>
      <c r="C660" s="1234"/>
      <c r="D660" s="1234"/>
      <c r="E660" s="1234"/>
      <c r="F660" s="1234"/>
      <c r="G660" s="1234"/>
      <c r="H660" s="1234"/>
      <c r="I660" s="1234"/>
      <c r="J660" s="1234"/>
      <c r="K660" s="1234"/>
      <c r="L660" s="1234"/>
      <c r="M660" s="1234"/>
      <c r="N660" s="1234"/>
      <c r="O660" s="1234"/>
      <c r="P660" s="1234"/>
      <c r="Q660" s="1234"/>
      <c r="R660" s="1234"/>
      <c r="S660" s="1234"/>
      <c r="T660" s="1234"/>
      <c r="U660" s="1234"/>
      <c r="V660" s="1234"/>
      <c r="W660" s="1234"/>
      <c r="X660" s="1234"/>
      <c r="Y660" s="1234"/>
      <c r="Z660" s="1234"/>
    </row>
    <row r="661" spans="1:26" ht="14.5">
      <c r="A661" s="1234"/>
      <c r="B661" s="1234"/>
      <c r="C661" s="1234"/>
      <c r="D661" s="1234"/>
      <c r="E661" s="1234"/>
      <c r="F661" s="1234"/>
      <c r="G661" s="1234"/>
      <c r="H661" s="1234"/>
      <c r="I661" s="1234"/>
      <c r="J661" s="1234"/>
      <c r="K661" s="1234"/>
      <c r="L661" s="1234"/>
      <c r="M661" s="1234"/>
      <c r="N661" s="1234"/>
      <c r="O661" s="1234"/>
      <c r="P661" s="1234"/>
      <c r="Q661" s="1234"/>
      <c r="R661" s="1234"/>
      <c r="S661" s="1234"/>
      <c r="T661" s="1234"/>
      <c r="U661" s="1234"/>
      <c r="V661" s="1234"/>
      <c r="W661" s="1234"/>
      <c r="X661" s="1234"/>
      <c r="Y661" s="1234"/>
      <c r="Z661" s="1234"/>
    </row>
    <row r="662" spans="1:26" ht="14.5">
      <c r="A662" s="1234"/>
      <c r="B662" s="1234"/>
      <c r="C662" s="1234"/>
      <c r="D662" s="1234"/>
      <c r="E662" s="1234"/>
      <c r="F662" s="1234"/>
      <c r="G662" s="1234"/>
      <c r="H662" s="1234"/>
      <c r="I662" s="1234"/>
      <c r="J662" s="1234"/>
      <c r="K662" s="1234"/>
      <c r="L662" s="1234"/>
      <c r="M662" s="1234"/>
      <c r="N662" s="1234"/>
      <c r="O662" s="1234"/>
      <c r="P662" s="1234"/>
      <c r="Q662" s="1234"/>
      <c r="R662" s="1234"/>
      <c r="S662" s="1234"/>
      <c r="T662" s="1234"/>
      <c r="U662" s="1234"/>
      <c r="V662" s="1234"/>
      <c r="W662" s="1234"/>
      <c r="X662" s="1234"/>
      <c r="Y662" s="1234"/>
      <c r="Z662" s="1234"/>
    </row>
    <row r="663" spans="1:26" ht="14.5">
      <c r="A663" s="1234"/>
      <c r="B663" s="1234"/>
      <c r="C663" s="1234"/>
      <c r="D663" s="1234"/>
      <c r="E663" s="1234"/>
      <c r="F663" s="1234"/>
      <c r="G663" s="1234"/>
      <c r="H663" s="1234"/>
      <c r="I663" s="1234"/>
      <c r="J663" s="1234"/>
      <c r="K663" s="1234"/>
      <c r="L663" s="1234"/>
      <c r="M663" s="1234"/>
      <c r="N663" s="1234"/>
      <c r="O663" s="1234"/>
      <c r="P663" s="1234"/>
      <c r="Q663" s="1234"/>
      <c r="R663" s="1234"/>
      <c r="S663" s="1234"/>
      <c r="T663" s="1234"/>
      <c r="U663" s="1234"/>
      <c r="V663" s="1234"/>
      <c r="W663" s="1234"/>
      <c r="X663" s="1234"/>
      <c r="Y663" s="1234"/>
      <c r="Z663" s="1234"/>
    </row>
    <row r="664" spans="1:26" ht="14.5">
      <c r="A664" s="1234"/>
      <c r="B664" s="1234"/>
      <c r="C664" s="1234"/>
      <c r="D664" s="1234"/>
      <c r="E664" s="1234"/>
      <c r="F664" s="1234"/>
      <c r="G664" s="1234"/>
      <c r="H664" s="1234"/>
      <c r="I664" s="1234"/>
      <c r="J664" s="1234"/>
      <c r="K664" s="1234"/>
      <c r="L664" s="1234"/>
      <c r="M664" s="1234"/>
      <c r="N664" s="1234"/>
      <c r="O664" s="1234"/>
      <c r="P664" s="1234"/>
      <c r="Q664" s="1234"/>
      <c r="R664" s="1234"/>
      <c r="S664" s="1234"/>
      <c r="T664" s="1234"/>
      <c r="U664" s="1234"/>
      <c r="V664" s="1234"/>
      <c r="W664" s="1234"/>
      <c r="X664" s="1234"/>
      <c r="Y664" s="1234"/>
      <c r="Z664" s="1234"/>
    </row>
    <row r="665" spans="1:26" ht="14.5">
      <c r="A665" s="1234"/>
      <c r="B665" s="1234"/>
      <c r="C665" s="1234"/>
      <c r="D665" s="1234"/>
      <c r="E665" s="1234"/>
      <c r="F665" s="1234"/>
      <c r="G665" s="1234"/>
      <c r="H665" s="1234"/>
      <c r="I665" s="1234"/>
      <c r="J665" s="1234"/>
      <c r="K665" s="1234"/>
      <c r="L665" s="1234"/>
      <c r="M665" s="1234"/>
      <c r="N665" s="1234"/>
      <c r="O665" s="1234"/>
      <c r="P665" s="1234"/>
      <c r="Q665" s="1234"/>
      <c r="R665" s="1234"/>
      <c r="S665" s="1234"/>
      <c r="T665" s="1234"/>
      <c r="U665" s="1234"/>
      <c r="V665" s="1234"/>
      <c r="W665" s="1234"/>
      <c r="X665" s="1234"/>
      <c r="Y665" s="1234"/>
      <c r="Z665" s="1234"/>
    </row>
    <row r="666" spans="1:26" ht="14.5">
      <c r="A666" s="1234"/>
      <c r="B666" s="1234"/>
      <c r="C666" s="1234"/>
      <c r="D666" s="1234"/>
      <c r="E666" s="1234"/>
      <c r="F666" s="1234"/>
      <c r="G666" s="1234"/>
      <c r="H666" s="1234"/>
      <c r="I666" s="1234"/>
      <c r="J666" s="1234"/>
      <c r="K666" s="1234"/>
      <c r="L666" s="1234"/>
      <c r="M666" s="1234"/>
      <c r="N666" s="1234"/>
      <c r="O666" s="1234"/>
      <c r="P666" s="1234"/>
      <c r="Q666" s="1234"/>
      <c r="R666" s="1234"/>
      <c r="S666" s="1234"/>
      <c r="T666" s="1234"/>
      <c r="U666" s="1234"/>
      <c r="V666" s="1234"/>
      <c r="W666" s="1234"/>
      <c r="X666" s="1234"/>
      <c r="Y666" s="1234"/>
      <c r="Z666" s="1234"/>
    </row>
    <row r="667" spans="1:26" ht="14.5">
      <c r="A667" s="1234"/>
      <c r="B667" s="1234"/>
      <c r="C667" s="1234"/>
      <c r="D667" s="1234"/>
      <c r="E667" s="1234"/>
      <c r="F667" s="1234"/>
      <c r="G667" s="1234"/>
      <c r="H667" s="1234"/>
      <c r="I667" s="1234"/>
      <c r="J667" s="1234"/>
      <c r="K667" s="1234"/>
      <c r="L667" s="1234"/>
      <c r="M667" s="1234"/>
      <c r="N667" s="1234"/>
      <c r="O667" s="1234"/>
      <c r="P667" s="1234"/>
      <c r="Q667" s="1234"/>
      <c r="R667" s="1234"/>
      <c r="S667" s="1234"/>
      <c r="T667" s="1234"/>
      <c r="U667" s="1234"/>
      <c r="V667" s="1234"/>
      <c r="W667" s="1234"/>
      <c r="X667" s="1234"/>
      <c r="Y667" s="1234"/>
      <c r="Z667" s="1234"/>
    </row>
    <row r="668" spans="1:26" ht="14.5">
      <c r="A668" s="1234"/>
      <c r="B668" s="1234"/>
      <c r="C668" s="1234"/>
      <c r="D668" s="1234"/>
      <c r="E668" s="1234"/>
      <c r="F668" s="1234"/>
      <c r="G668" s="1234"/>
      <c r="H668" s="1234"/>
      <c r="I668" s="1234"/>
      <c r="J668" s="1234"/>
      <c r="K668" s="1234"/>
      <c r="L668" s="1234"/>
      <c r="M668" s="1234"/>
      <c r="N668" s="1234"/>
      <c r="O668" s="1234"/>
      <c r="P668" s="1234"/>
      <c r="Q668" s="1234"/>
      <c r="R668" s="1234"/>
      <c r="S668" s="1234"/>
      <c r="T668" s="1234"/>
      <c r="U668" s="1234"/>
      <c r="V668" s="1234"/>
      <c r="W668" s="1234"/>
      <c r="X668" s="1234"/>
      <c r="Y668" s="1234"/>
      <c r="Z668" s="1234"/>
    </row>
    <row r="669" spans="1:26" ht="14.5">
      <c r="A669" s="1234"/>
      <c r="B669" s="1234"/>
      <c r="C669" s="1234"/>
      <c r="D669" s="1234"/>
      <c r="E669" s="1234"/>
      <c r="F669" s="1234"/>
      <c r="G669" s="1234"/>
      <c r="H669" s="1234"/>
      <c r="I669" s="1234"/>
      <c r="J669" s="1234"/>
      <c r="K669" s="1234"/>
      <c r="L669" s="1234"/>
      <c r="M669" s="1234"/>
      <c r="N669" s="1234"/>
      <c r="O669" s="1234"/>
      <c r="P669" s="1234"/>
      <c r="Q669" s="1234"/>
      <c r="R669" s="1234"/>
      <c r="S669" s="1234"/>
      <c r="T669" s="1234"/>
      <c r="U669" s="1234"/>
      <c r="V669" s="1234"/>
      <c r="W669" s="1234"/>
      <c r="X669" s="1234"/>
      <c r="Y669" s="1234"/>
      <c r="Z669" s="1234"/>
    </row>
    <row r="670" spans="1:26" ht="14.5">
      <c r="A670" s="1234"/>
      <c r="B670" s="1234"/>
      <c r="C670" s="1234"/>
      <c r="D670" s="1234"/>
      <c r="E670" s="1234"/>
      <c r="F670" s="1234"/>
      <c r="G670" s="1234"/>
      <c r="H670" s="1234"/>
      <c r="I670" s="1234"/>
      <c r="J670" s="1234"/>
      <c r="K670" s="1234"/>
      <c r="L670" s="1234"/>
      <c r="M670" s="1234"/>
      <c r="N670" s="1234"/>
      <c r="O670" s="1234"/>
      <c r="P670" s="1234"/>
      <c r="Q670" s="1234"/>
      <c r="R670" s="1234"/>
      <c r="S670" s="1234"/>
      <c r="T670" s="1234"/>
      <c r="U670" s="1234"/>
      <c r="V670" s="1234"/>
      <c r="W670" s="1234"/>
      <c r="X670" s="1234"/>
      <c r="Y670" s="1234"/>
      <c r="Z670" s="1234"/>
    </row>
    <row r="671" spans="1:26" ht="14.5">
      <c r="A671" s="1234"/>
      <c r="B671" s="1234"/>
      <c r="C671" s="1234"/>
      <c r="D671" s="1234"/>
      <c r="E671" s="1234"/>
      <c r="F671" s="1234"/>
      <c r="G671" s="1234"/>
      <c r="H671" s="1234"/>
      <c r="I671" s="1234"/>
      <c r="J671" s="1234"/>
      <c r="K671" s="1234"/>
      <c r="L671" s="1234"/>
      <c r="M671" s="1234"/>
      <c r="N671" s="1234"/>
      <c r="O671" s="1234"/>
      <c r="P671" s="1234"/>
      <c r="Q671" s="1234"/>
      <c r="R671" s="1234"/>
      <c r="S671" s="1234"/>
      <c r="T671" s="1234"/>
      <c r="U671" s="1234"/>
      <c r="V671" s="1234"/>
      <c r="W671" s="1234"/>
      <c r="X671" s="1234"/>
      <c r="Y671" s="1234"/>
      <c r="Z671" s="1234"/>
    </row>
    <row r="672" spans="1:26" ht="14.5">
      <c r="A672" s="1234"/>
      <c r="B672" s="1234"/>
      <c r="C672" s="1234"/>
      <c r="D672" s="1234"/>
      <c r="E672" s="1234"/>
      <c r="F672" s="1234"/>
      <c r="G672" s="1234"/>
      <c r="H672" s="1234"/>
      <c r="I672" s="1234"/>
      <c r="J672" s="1234"/>
      <c r="K672" s="1234"/>
      <c r="L672" s="1234"/>
      <c r="M672" s="1234"/>
      <c r="N672" s="1234"/>
      <c r="O672" s="1234"/>
      <c r="P672" s="1234"/>
      <c r="Q672" s="1234"/>
      <c r="R672" s="1234"/>
      <c r="S672" s="1234"/>
      <c r="T672" s="1234"/>
      <c r="U672" s="1234"/>
      <c r="V672" s="1234"/>
      <c r="W672" s="1234"/>
      <c r="X672" s="1234"/>
      <c r="Y672" s="1234"/>
      <c r="Z672" s="1234"/>
    </row>
    <row r="673" spans="1:26" ht="14.5">
      <c r="A673" s="1234"/>
      <c r="B673" s="1234"/>
      <c r="C673" s="1234"/>
      <c r="D673" s="1234"/>
      <c r="E673" s="1234"/>
      <c r="F673" s="1234"/>
      <c r="G673" s="1234"/>
      <c r="H673" s="1234"/>
      <c r="I673" s="1234"/>
      <c r="J673" s="1234"/>
      <c r="K673" s="1234"/>
      <c r="L673" s="1234"/>
      <c r="M673" s="1234"/>
      <c r="N673" s="1234"/>
      <c r="O673" s="1234"/>
      <c r="P673" s="1234"/>
      <c r="Q673" s="1234"/>
      <c r="R673" s="1234"/>
      <c r="S673" s="1234"/>
      <c r="T673" s="1234"/>
      <c r="U673" s="1234"/>
      <c r="V673" s="1234"/>
      <c r="W673" s="1234"/>
      <c r="X673" s="1234"/>
      <c r="Y673" s="1234"/>
      <c r="Z673" s="1234"/>
    </row>
    <row r="674" spans="1:26" ht="14.5">
      <c r="A674" s="1234"/>
      <c r="B674" s="1234"/>
      <c r="C674" s="1234"/>
      <c r="D674" s="1234"/>
      <c r="E674" s="1234"/>
      <c r="F674" s="1234"/>
      <c r="G674" s="1234"/>
      <c r="H674" s="1234"/>
      <c r="I674" s="1234"/>
      <c r="J674" s="1234"/>
      <c r="K674" s="1234"/>
      <c r="L674" s="1234"/>
      <c r="M674" s="1234"/>
      <c r="N674" s="1234"/>
      <c r="O674" s="1234"/>
      <c r="P674" s="1234"/>
      <c r="Q674" s="1234"/>
      <c r="R674" s="1234"/>
      <c r="S674" s="1234"/>
      <c r="T674" s="1234"/>
      <c r="U674" s="1234"/>
      <c r="V674" s="1234"/>
      <c r="W674" s="1234"/>
      <c r="X674" s="1234"/>
      <c r="Y674" s="1234"/>
      <c r="Z674" s="1234"/>
    </row>
    <row r="675" spans="1:26" ht="14.5">
      <c r="A675" s="1234"/>
      <c r="B675" s="1234"/>
      <c r="C675" s="1234"/>
      <c r="D675" s="1234"/>
      <c r="E675" s="1234"/>
      <c r="F675" s="1234"/>
      <c r="G675" s="1234"/>
      <c r="H675" s="1234"/>
      <c r="I675" s="1234"/>
      <c r="J675" s="1234"/>
      <c r="K675" s="1234"/>
      <c r="L675" s="1234"/>
      <c r="M675" s="1234"/>
      <c r="N675" s="1234"/>
      <c r="O675" s="1234"/>
      <c r="P675" s="1234"/>
      <c r="Q675" s="1234"/>
      <c r="R675" s="1234"/>
      <c r="S675" s="1234"/>
      <c r="T675" s="1234"/>
      <c r="U675" s="1234"/>
      <c r="V675" s="1234"/>
      <c r="W675" s="1234"/>
      <c r="X675" s="1234"/>
      <c r="Y675" s="1234"/>
      <c r="Z675" s="1234"/>
    </row>
    <row r="676" spans="1:26" ht="14.5">
      <c r="A676" s="1234"/>
      <c r="B676" s="1234"/>
      <c r="C676" s="1234"/>
      <c r="D676" s="1234"/>
      <c r="E676" s="1234"/>
      <c r="F676" s="1234"/>
      <c r="G676" s="1234"/>
      <c r="H676" s="1234"/>
      <c r="I676" s="1234"/>
      <c r="J676" s="1234"/>
      <c r="K676" s="1234"/>
      <c r="L676" s="1234"/>
      <c r="M676" s="1234"/>
      <c r="N676" s="1234"/>
      <c r="O676" s="1234"/>
      <c r="P676" s="1234"/>
      <c r="Q676" s="1234"/>
      <c r="R676" s="1234"/>
      <c r="S676" s="1234"/>
      <c r="T676" s="1234"/>
      <c r="U676" s="1234"/>
      <c r="V676" s="1234"/>
      <c r="W676" s="1234"/>
      <c r="X676" s="1234"/>
      <c r="Y676" s="1234"/>
      <c r="Z676" s="1234"/>
    </row>
    <row r="677" spans="1:26" ht="14.5">
      <c r="A677" s="1234"/>
      <c r="B677" s="1234"/>
      <c r="C677" s="1234"/>
      <c r="D677" s="1234"/>
      <c r="E677" s="1234"/>
      <c r="F677" s="1234"/>
      <c r="G677" s="1234"/>
      <c r="H677" s="1234"/>
      <c r="I677" s="1234"/>
      <c r="J677" s="1234"/>
      <c r="K677" s="1234"/>
      <c r="L677" s="1234"/>
      <c r="M677" s="1234"/>
      <c r="N677" s="1234"/>
      <c r="O677" s="1234"/>
      <c r="P677" s="1234"/>
      <c r="Q677" s="1234"/>
      <c r="R677" s="1234"/>
      <c r="S677" s="1234"/>
      <c r="T677" s="1234"/>
      <c r="U677" s="1234"/>
      <c r="V677" s="1234"/>
      <c r="W677" s="1234"/>
      <c r="X677" s="1234"/>
      <c r="Y677" s="1234"/>
      <c r="Z677" s="1234"/>
    </row>
    <row r="678" spans="1:26" ht="14.5">
      <c r="A678" s="1234"/>
      <c r="B678" s="1234"/>
      <c r="C678" s="1234"/>
      <c r="D678" s="1234"/>
      <c r="E678" s="1234"/>
      <c r="F678" s="1234"/>
      <c r="G678" s="1234"/>
      <c r="H678" s="1234"/>
      <c r="I678" s="1234"/>
      <c r="J678" s="1234"/>
      <c r="K678" s="1234"/>
      <c r="L678" s="1234"/>
      <c r="M678" s="1234"/>
      <c r="N678" s="1234"/>
      <c r="O678" s="1234"/>
      <c r="P678" s="1234"/>
      <c r="Q678" s="1234"/>
      <c r="R678" s="1234"/>
      <c r="S678" s="1234"/>
      <c r="T678" s="1234"/>
      <c r="U678" s="1234"/>
      <c r="V678" s="1234"/>
      <c r="W678" s="1234"/>
      <c r="X678" s="1234"/>
      <c r="Y678" s="1234"/>
      <c r="Z678" s="1234"/>
    </row>
    <row r="679" spans="1:26" ht="14.5">
      <c r="A679" s="1234"/>
      <c r="B679" s="1234"/>
      <c r="C679" s="1234"/>
      <c r="D679" s="1234"/>
      <c r="E679" s="1234"/>
      <c r="F679" s="1234"/>
      <c r="G679" s="1234"/>
      <c r="H679" s="1234"/>
      <c r="I679" s="1234"/>
      <c r="J679" s="1234"/>
      <c r="K679" s="1234"/>
      <c r="L679" s="1234"/>
      <c r="M679" s="1234"/>
      <c r="N679" s="1234"/>
      <c r="O679" s="1234"/>
      <c r="P679" s="1234"/>
      <c r="Q679" s="1234"/>
      <c r="R679" s="1234"/>
      <c r="S679" s="1234"/>
      <c r="T679" s="1234"/>
      <c r="U679" s="1234"/>
      <c r="V679" s="1234"/>
      <c r="W679" s="1234"/>
      <c r="X679" s="1234"/>
      <c r="Y679" s="1234"/>
      <c r="Z679" s="1234"/>
    </row>
    <row r="680" spans="1:26" ht="14.5">
      <c r="A680" s="1234"/>
      <c r="B680" s="1234"/>
      <c r="C680" s="1234"/>
      <c r="D680" s="1234"/>
      <c r="E680" s="1234"/>
      <c r="F680" s="1234"/>
      <c r="G680" s="1234"/>
      <c r="H680" s="1234"/>
      <c r="I680" s="1234"/>
      <c r="J680" s="1234"/>
      <c r="K680" s="1234"/>
      <c r="L680" s="1234"/>
      <c r="M680" s="1234"/>
      <c r="N680" s="1234"/>
      <c r="O680" s="1234"/>
      <c r="P680" s="1234"/>
      <c r="Q680" s="1234"/>
      <c r="R680" s="1234"/>
      <c r="S680" s="1234"/>
      <c r="T680" s="1234"/>
      <c r="U680" s="1234"/>
      <c r="V680" s="1234"/>
      <c r="W680" s="1234"/>
      <c r="X680" s="1234"/>
      <c r="Y680" s="1234"/>
      <c r="Z680" s="1234"/>
    </row>
    <row r="681" spans="1:26" ht="14.5">
      <c r="A681" s="1234"/>
      <c r="B681" s="1234"/>
      <c r="C681" s="1234"/>
      <c r="D681" s="1234"/>
      <c r="E681" s="1234"/>
      <c r="F681" s="1234"/>
      <c r="G681" s="1234"/>
      <c r="H681" s="1234"/>
      <c r="I681" s="1234"/>
      <c r="J681" s="1234"/>
      <c r="K681" s="1234"/>
      <c r="L681" s="1234"/>
      <c r="M681" s="1234"/>
      <c r="N681" s="1234"/>
      <c r="O681" s="1234"/>
      <c r="P681" s="1234"/>
      <c r="Q681" s="1234"/>
      <c r="R681" s="1234"/>
      <c r="S681" s="1234"/>
      <c r="T681" s="1234"/>
      <c r="U681" s="1234"/>
      <c r="V681" s="1234"/>
      <c r="W681" s="1234"/>
      <c r="X681" s="1234"/>
      <c r="Y681" s="1234"/>
      <c r="Z681" s="1234"/>
    </row>
    <row r="682" spans="1:26" ht="14.5">
      <c r="A682" s="1234"/>
      <c r="B682" s="1234"/>
      <c r="C682" s="1234"/>
      <c r="D682" s="1234"/>
      <c r="E682" s="1234"/>
      <c r="F682" s="1234"/>
      <c r="G682" s="1234"/>
      <c r="H682" s="1234"/>
      <c r="I682" s="1234"/>
      <c r="J682" s="1234"/>
      <c r="K682" s="1234"/>
      <c r="L682" s="1234"/>
      <c r="M682" s="1234"/>
      <c r="N682" s="1234"/>
      <c r="O682" s="1234"/>
      <c r="P682" s="1234"/>
      <c r="Q682" s="1234"/>
      <c r="R682" s="1234"/>
      <c r="S682" s="1234"/>
      <c r="T682" s="1234"/>
      <c r="U682" s="1234"/>
      <c r="V682" s="1234"/>
      <c r="W682" s="1234"/>
      <c r="X682" s="1234"/>
      <c r="Y682" s="1234"/>
      <c r="Z682" s="1234"/>
    </row>
    <row r="683" spans="1:26" ht="14.5">
      <c r="A683" s="1234"/>
      <c r="B683" s="1234"/>
      <c r="C683" s="1234"/>
      <c r="D683" s="1234"/>
      <c r="E683" s="1234"/>
      <c r="F683" s="1234"/>
      <c r="G683" s="1234"/>
      <c r="H683" s="1234"/>
      <c r="I683" s="1234"/>
      <c r="J683" s="1234"/>
      <c r="K683" s="1234"/>
      <c r="L683" s="1234"/>
      <c r="M683" s="1234"/>
      <c r="N683" s="1234"/>
      <c r="O683" s="1234"/>
      <c r="P683" s="1234"/>
      <c r="Q683" s="1234"/>
      <c r="R683" s="1234"/>
      <c r="S683" s="1234"/>
      <c r="T683" s="1234"/>
      <c r="U683" s="1234"/>
      <c r="V683" s="1234"/>
      <c r="W683" s="1234"/>
      <c r="X683" s="1234"/>
      <c r="Y683" s="1234"/>
      <c r="Z683" s="1234"/>
    </row>
    <row r="684" spans="1:26" ht="14.5">
      <c r="A684" s="1234"/>
      <c r="B684" s="1234"/>
      <c r="C684" s="1234"/>
      <c r="D684" s="1234"/>
      <c r="E684" s="1234"/>
      <c r="F684" s="1234"/>
      <c r="G684" s="1234"/>
      <c r="H684" s="1234"/>
      <c r="I684" s="1234"/>
      <c r="J684" s="1234"/>
      <c r="K684" s="1234"/>
      <c r="L684" s="1234"/>
      <c r="M684" s="1234"/>
      <c r="N684" s="1234"/>
      <c r="O684" s="1234"/>
      <c r="P684" s="1234"/>
      <c r="Q684" s="1234"/>
      <c r="R684" s="1234"/>
      <c r="S684" s="1234"/>
      <c r="T684" s="1234"/>
      <c r="U684" s="1234"/>
      <c r="V684" s="1234"/>
      <c r="W684" s="1234"/>
      <c r="X684" s="1234"/>
      <c r="Y684" s="1234"/>
      <c r="Z684" s="1234"/>
    </row>
    <row r="685" spans="1:26" ht="14.5">
      <c r="A685" s="1234"/>
      <c r="B685" s="1234"/>
      <c r="C685" s="1234"/>
      <c r="D685" s="1234"/>
      <c r="E685" s="1234"/>
      <c r="F685" s="1234"/>
      <c r="G685" s="1234"/>
      <c r="H685" s="1234"/>
      <c r="I685" s="1234"/>
      <c r="J685" s="1234"/>
      <c r="K685" s="1234"/>
      <c r="L685" s="1234"/>
      <c r="M685" s="1234"/>
      <c r="N685" s="1234"/>
      <c r="O685" s="1234"/>
      <c r="P685" s="1234"/>
      <c r="Q685" s="1234"/>
      <c r="R685" s="1234"/>
      <c r="S685" s="1234"/>
      <c r="T685" s="1234"/>
      <c r="U685" s="1234"/>
      <c r="V685" s="1234"/>
      <c r="W685" s="1234"/>
      <c r="X685" s="1234"/>
      <c r="Y685" s="1234"/>
      <c r="Z685" s="1234"/>
    </row>
    <row r="686" spans="1:26" ht="14.5">
      <c r="A686" s="1234"/>
      <c r="B686" s="1234"/>
      <c r="C686" s="1234"/>
      <c r="D686" s="1234"/>
      <c r="E686" s="1234"/>
      <c r="F686" s="1234"/>
      <c r="G686" s="1234"/>
      <c r="H686" s="1234"/>
      <c r="I686" s="1234"/>
      <c r="J686" s="1234"/>
      <c r="K686" s="1234"/>
      <c r="L686" s="1234"/>
      <c r="M686" s="1234"/>
      <c r="N686" s="1234"/>
      <c r="O686" s="1234"/>
      <c r="P686" s="1234"/>
      <c r="Q686" s="1234"/>
      <c r="R686" s="1234"/>
      <c r="S686" s="1234"/>
      <c r="T686" s="1234"/>
      <c r="U686" s="1234"/>
      <c r="V686" s="1234"/>
      <c r="W686" s="1234"/>
      <c r="X686" s="1234"/>
      <c r="Y686" s="1234"/>
      <c r="Z686" s="1234"/>
    </row>
    <row r="687" spans="1:26" ht="14.5">
      <c r="A687" s="1234"/>
      <c r="B687" s="1234"/>
      <c r="C687" s="1234"/>
      <c r="D687" s="1234"/>
      <c r="E687" s="1234"/>
      <c r="F687" s="1234"/>
      <c r="G687" s="1234"/>
      <c r="H687" s="1234"/>
      <c r="I687" s="1234"/>
      <c r="J687" s="1234"/>
      <c r="K687" s="1234"/>
      <c r="L687" s="1234"/>
      <c r="M687" s="1234"/>
      <c r="N687" s="1234"/>
      <c r="O687" s="1234"/>
      <c r="P687" s="1234"/>
      <c r="Q687" s="1234"/>
      <c r="R687" s="1234"/>
      <c r="S687" s="1234"/>
      <c r="T687" s="1234"/>
      <c r="U687" s="1234"/>
      <c r="V687" s="1234"/>
      <c r="W687" s="1234"/>
      <c r="X687" s="1234"/>
      <c r="Y687" s="1234"/>
      <c r="Z687" s="1234"/>
    </row>
    <row r="688" spans="1:26" ht="14.5">
      <c r="A688" s="1234"/>
      <c r="B688" s="1234"/>
      <c r="C688" s="1234"/>
      <c r="D688" s="1234"/>
      <c r="E688" s="1234"/>
      <c r="F688" s="1234"/>
      <c r="G688" s="1234"/>
      <c r="H688" s="1234"/>
      <c r="I688" s="1234"/>
      <c r="J688" s="1234"/>
      <c r="K688" s="1234"/>
      <c r="L688" s="1234"/>
      <c r="M688" s="1234"/>
      <c r="N688" s="1234"/>
      <c r="O688" s="1234"/>
      <c r="P688" s="1234"/>
      <c r="Q688" s="1234"/>
      <c r="R688" s="1234"/>
      <c r="S688" s="1234"/>
      <c r="T688" s="1234"/>
      <c r="U688" s="1234"/>
      <c r="V688" s="1234"/>
      <c r="W688" s="1234"/>
      <c r="X688" s="1234"/>
      <c r="Y688" s="1234"/>
      <c r="Z688" s="1234"/>
    </row>
    <row r="689" spans="1:26" ht="14.5">
      <c r="A689" s="1234"/>
      <c r="B689" s="1234"/>
      <c r="C689" s="1234"/>
      <c r="D689" s="1234"/>
      <c r="E689" s="1234"/>
      <c r="F689" s="1234"/>
      <c r="G689" s="1234"/>
      <c r="H689" s="1234"/>
      <c r="I689" s="1234"/>
      <c r="J689" s="1234"/>
      <c r="K689" s="1234"/>
      <c r="L689" s="1234"/>
      <c r="M689" s="1234"/>
      <c r="N689" s="1234"/>
      <c r="O689" s="1234"/>
      <c r="P689" s="1234"/>
      <c r="Q689" s="1234"/>
      <c r="R689" s="1234"/>
      <c r="S689" s="1234"/>
      <c r="T689" s="1234"/>
      <c r="U689" s="1234"/>
      <c r="V689" s="1234"/>
      <c r="W689" s="1234"/>
      <c r="X689" s="1234"/>
      <c r="Y689" s="1234"/>
      <c r="Z689" s="1234"/>
    </row>
    <row r="690" spans="1:26" ht="14.5">
      <c r="A690" s="1234"/>
      <c r="B690" s="1234"/>
      <c r="C690" s="1234"/>
      <c r="D690" s="1234"/>
      <c r="E690" s="1234"/>
      <c r="F690" s="1234"/>
      <c r="G690" s="1234"/>
      <c r="H690" s="1234"/>
      <c r="I690" s="1234"/>
      <c r="J690" s="1234"/>
      <c r="K690" s="1234"/>
      <c r="L690" s="1234"/>
      <c r="M690" s="1234"/>
      <c r="N690" s="1234"/>
      <c r="O690" s="1234"/>
      <c r="P690" s="1234"/>
      <c r="Q690" s="1234"/>
      <c r="R690" s="1234"/>
      <c r="S690" s="1234"/>
      <c r="T690" s="1234"/>
      <c r="U690" s="1234"/>
      <c r="V690" s="1234"/>
      <c r="W690" s="1234"/>
      <c r="X690" s="1234"/>
      <c r="Y690" s="1234"/>
      <c r="Z690" s="1234"/>
    </row>
    <row r="691" spans="1:26" ht="14.5">
      <c r="A691" s="1234"/>
      <c r="B691" s="1234"/>
      <c r="C691" s="1234"/>
      <c r="D691" s="1234"/>
      <c r="E691" s="1234"/>
      <c r="F691" s="1234"/>
      <c r="G691" s="1234"/>
      <c r="H691" s="1234"/>
      <c r="I691" s="1234"/>
      <c r="J691" s="1234"/>
      <c r="K691" s="1234"/>
      <c r="L691" s="1234"/>
      <c r="M691" s="1234"/>
      <c r="N691" s="1234"/>
      <c r="O691" s="1234"/>
      <c r="P691" s="1234"/>
      <c r="Q691" s="1234"/>
      <c r="R691" s="1234"/>
      <c r="S691" s="1234"/>
      <c r="T691" s="1234"/>
      <c r="U691" s="1234"/>
      <c r="V691" s="1234"/>
      <c r="W691" s="1234"/>
      <c r="X691" s="1234"/>
      <c r="Y691" s="1234"/>
      <c r="Z691" s="1234"/>
    </row>
    <row r="692" spans="1:26" ht="14.5">
      <c r="A692" s="1234"/>
      <c r="B692" s="1234"/>
      <c r="C692" s="1234"/>
      <c r="D692" s="1234"/>
      <c r="E692" s="1234"/>
      <c r="F692" s="1234"/>
      <c r="G692" s="1234"/>
      <c r="H692" s="1234"/>
      <c r="I692" s="1234"/>
      <c r="J692" s="1234"/>
      <c r="K692" s="1234"/>
      <c r="L692" s="1234"/>
      <c r="M692" s="1234"/>
      <c r="N692" s="1234"/>
      <c r="O692" s="1234"/>
      <c r="P692" s="1234"/>
      <c r="Q692" s="1234"/>
      <c r="R692" s="1234"/>
      <c r="S692" s="1234"/>
      <c r="T692" s="1234"/>
      <c r="U692" s="1234"/>
      <c r="V692" s="1234"/>
      <c r="W692" s="1234"/>
      <c r="X692" s="1234"/>
      <c r="Y692" s="1234"/>
      <c r="Z692" s="1234"/>
    </row>
    <row r="693" spans="1:26" ht="14.5">
      <c r="A693" s="1234"/>
      <c r="B693" s="1234"/>
      <c r="C693" s="1234"/>
      <c r="D693" s="1234"/>
      <c r="E693" s="1234"/>
      <c r="F693" s="1234"/>
      <c r="G693" s="1234"/>
      <c r="H693" s="1234"/>
      <c r="I693" s="1234"/>
      <c r="J693" s="1234"/>
      <c r="K693" s="1234"/>
      <c r="L693" s="1234"/>
      <c r="M693" s="1234"/>
      <c r="N693" s="1234"/>
      <c r="O693" s="1234"/>
      <c r="P693" s="1234"/>
      <c r="Q693" s="1234"/>
      <c r="R693" s="1234"/>
      <c r="S693" s="1234"/>
      <c r="T693" s="1234"/>
      <c r="U693" s="1234"/>
      <c r="V693" s="1234"/>
      <c r="W693" s="1234"/>
      <c r="X693" s="1234"/>
      <c r="Y693" s="1234"/>
      <c r="Z693" s="1234"/>
    </row>
    <row r="694" spans="1:26" ht="14.5">
      <c r="A694" s="1234"/>
      <c r="B694" s="1234"/>
      <c r="C694" s="1234"/>
      <c r="D694" s="1234"/>
      <c r="E694" s="1234"/>
      <c r="F694" s="1234"/>
      <c r="G694" s="1234"/>
      <c r="H694" s="1234"/>
      <c r="I694" s="1234"/>
      <c r="J694" s="1234"/>
      <c r="K694" s="1234"/>
      <c r="L694" s="1234"/>
      <c r="M694" s="1234"/>
      <c r="N694" s="1234"/>
      <c r="O694" s="1234"/>
      <c r="P694" s="1234"/>
      <c r="Q694" s="1234"/>
      <c r="R694" s="1234"/>
      <c r="S694" s="1234"/>
      <c r="T694" s="1234"/>
      <c r="U694" s="1234"/>
      <c r="V694" s="1234"/>
      <c r="W694" s="1234"/>
      <c r="X694" s="1234"/>
      <c r="Y694" s="1234"/>
      <c r="Z694" s="1234"/>
    </row>
    <row r="695" spans="1:26" ht="14.5">
      <c r="A695" s="1234"/>
      <c r="B695" s="1234"/>
      <c r="C695" s="1234"/>
      <c r="D695" s="1234"/>
      <c r="E695" s="1234"/>
      <c r="F695" s="1234"/>
      <c r="G695" s="1234"/>
      <c r="H695" s="1234"/>
      <c r="I695" s="1234"/>
      <c r="J695" s="1234"/>
      <c r="K695" s="1234"/>
      <c r="L695" s="1234"/>
      <c r="M695" s="1234"/>
      <c r="N695" s="1234"/>
      <c r="O695" s="1234"/>
      <c r="P695" s="1234"/>
      <c r="Q695" s="1234"/>
      <c r="R695" s="1234"/>
      <c r="S695" s="1234"/>
      <c r="T695" s="1234"/>
      <c r="U695" s="1234"/>
      <c r="V695" s="1234"/>
      <c r="W695" s="1234"/>
      <c r="X695" s="1234"/>
      <c r="Y695" s="1234"/>
      <c r="Z695" s="1234"/>
    </row>
    <row r="696" spans="1:26" ht="14.5">
      <c r="A696" s="1234"/>
      <c r="B696" s="1234"/>
      <c r="C696" s="1234"/>
      <c r="D696" s="1234"/>
      <c r="E696" s="1234"/>
      <c r="F696" s="1234"/>
      <c r="G696" s="1234"/>
      <c r="H696" s="1234"/>
      <c r="I696" s="1234"/>
      <c r="J696" s="1234"/>
      <c r="K696" s="1234"/>
      <c r="L696" s="1234"/>
      <c r="M696" s="1234"/>
      <c r="N696" s="1234"/>
      <c r="O696" s="1234"/>
      <c r="P696" s="1234"/>
      <c r="Q696" s="1234"/>
      <c r="R696" s="1234"/>
      <c r="S696" s="1234"/>
      <c r="T696" s="1234"/>
      <c r="U696" s="1234"/>
      <c r="V696" s="1234"/>
      <c r="W696" s="1234"/>
      <c r="X696" s="1234"/>
      <c r="Y696" s="1234"/>
      <c r="Z696" s="1234"/>
    </row>
    <row r="697" spans="1:26" ht="14.5">
      <c r="A697" s="1234"/>
      <c r="B697" s="1234"/>
      <c r="C697" s="1234"/>
      <c r="D697" s="1234"/>
      <c r="E697" s="1234"/>
      <c r="F697" s="1234"/>
      <c r="G697" s="1234"/>
      <c r="H697" s="1234"/>
      <c r="I697" s="1234"/>
      <c r="J697" s="1234"/>
      <c r="K697" s="1234"/>
      <c r="L697" s="1234"/>
      <c r="M697" s="1234"/>
      <c r="N697" s="1234"/>
      <c r="O697" s="1234"/>
      <c r="P697" s="1234"/>
      <c r="Q697" s="1234"/>
      <c r="R697" s="1234"/>
      <c r="S697" s="1234"/>
      <c r="T697" s="1234"/>
      <c r="U697" s="1234"/>
      <c r="V697" s="1234"/>
      <c r="W697" s="1234"/>
      <c r="X697" s="1234"/>
      <c r="Y697" s="1234"/>
      <c r="Z697" s="1234"/>
    </row>
    <row r="698" spans="1:26" ht="14.5">
      <c r="A698" s="1234"/>
      <c r="B698" s="1234"/>
      <c r="C698" s="1234"/>
      <c r="D698" s="1234"/>
      <c r="E698" s="1234"/>
      <c r="F698" s="1234"/>
      <c r="G698" s="1234"/>
      <c r="H698" s="1234"/>
      <c r="I698" s="1234"/>
      <c r="J698" s="1234"/>
      <c r="K698" s="1234"/>
      <c r="L698" s="1234"/>
      <c r="M698" s="1234"/>
      <c r="N698" s="1234"/>
      <c r="O698" s="1234"/>
      <c r="P698" s="1234"/>
      <c r="Q698" s="1234"/>
      <c r="R698" s="1234"/>
      <c r="S698" s="1234"/>
      <c r="T698" s="1234"/>
      <c r="U698" s="1234"/>
      <c r="V698" s="1234"/>
      <c r="W698" s="1234"/>
      <c r="X698" s="1234"/>
      <c r="Y698" s="1234"/>
      <c r="Z698" s="1234"/>
    </row>
    <row r="699" spans="1:26" ht="14.5">
      <c r="A699" s="1234"/>
      <c r="B699" s="1234"/>
      <c r="C699" s="1234"/>
      <c r="D699" s="1234"/>
      <c r="E699" s="1234"/>
      <c r="F699" s="1234"/>
      <c r="G699" s="1234"/>
      <c r="H699" s="1234"/>
      <c r="I699" s="1234"/>
      <c r="J699" s="1234"/>
      <c r="K699" s="1234"/>
      <c r="L699" s="1234"/>
      <c r="M699" s="1234"/>
      <c r="N699" s="1234"/>
      <c r="O699" s="1234"/>
      <c r="P699" s="1234"/>
      <c r="Q699" s="1234"/>
      <c r="R699" s="1234"/>
      <c r="S699" s="1234"/>
      <c r="T699" s="1234"/>
      <c r="U699" s="1234"/>
      <c r="V699" s="1234"/>
      <c r="W699" s="1234"/>
      <c r="X699" s="1234"/>
      <c r="Y699" s="1234"/>
      <c r="Z699" s="1234"/>
    </row>
    <row r="700" spans="1:26" ht="14.5">
      <c r="A700" s="1234"/>
      <c r="B700" s="1234"/>
      <c r="C700" s="1234"/>
      <c r="D700" s="1234"/>
      <c r="E700" s="1234"/>
      <c r="F700" s="1234"/>
      <c r="G700" s="1234"/>
      <c r="H700" s="1234"/>
      <c r="I700" s="1234"/>
      <c r="J700" s="1234"/>
      <c r="K700" s="1234"/>
      <c r="L700" s="1234"/>
      <c r="M700" s="1234"/>
      <c r="N700" s="1234"/>
      <c r="O700" s="1234"/>
      <c r="P700" s="1234"/>
      <c r="Q700" s="1234"/>
      <c r="R700" s="1234"/>
      <c r="S700" s="1234"/>
      <c r="T700" s="1234"/>
      <c r="U700" s="1234"/>
      <c r="V700" s="1234"/>
      <c r="W700" s="1234"/>
      <c r="X700" s="1234"/>
      <c r="Y700" s="1234"/>
      <c r="Z700" s="1234"/>
    </row>
    <row r="701" spans="1:26" ht="14.5">
      <c r="A701" s="1234"/>
      <c r="B701" s="1234"/>
      <c r="C701" s="1234"/>
      <c r="D701" s="1234"/>
      <c r="E701" s="1234"/>
      <c r="F701" s="1234"/>
      <c r="G701" s="1234"/>
      <c r="H701" s="1234"/>
      <c r="I701" s="1234"/>
      <c r="J701" s="1234"/>
      <c r="K701" s="1234"/>
      <c r="L701" s="1234"/>
      <c r="M701" s="1234"/>
      <c r="N701" s="1234"/>
      <c r="O701" s="1234"/>
      <c r="P701" s="1234"/>
      <c r="Q701" s="1234"/>
      <c r="R701" s="1234"/>
      <c r="S701" s="1234"/>
      <c r="T701" s="1234"/>
      <c r="U701" s="1234"/>
      <c r="V701" s="1234"/>
      <c r="W701" s="1234"/>
      <c r="X701" s="1234"/>
      <c r="Y701" s="1234"/>
      <c r="Z701" s="1234"/>
    </row>
    <row r="702" spans="1:26" ht="14.5">
      <c r="A702" s="1234"/>
      <c r="B702" s="1234"/>
      <c r="C702" s="1234"/>
      <c r="D702" s="1234"/>
      <c r="E702" s="1234"/>
      <c r="F702" s="1234"/>
      <c r="G702" s="1234"/>
      <c r="H702" s="1234"/>
      <c r="I702" s="1234"/>
      <c r="J702" s="1234"/>
      <c r="K702" s="1234"/>
      <c r="L702" s="1234"/>
      <c r="M702" s="1234"/>
      <c r="N702" s="1234"/>
      <c r="O702" s="1234"/>
      <c r="P702" s="1234"/>
      <c r="Q702" s="1234"/>
      <c r="R702" s="1234"/>
      <c r="S702" s="1234"/>
      <c r="T702" s="1234"/>
      <c r="U702" s="1234"/>
      <c r="V702" s="1234"/>
      <c r="W702" s="1234"/>
      <c r="X702" s="1234"/>
      <c r="Y702" s="1234"/>
      <c r="Z702" s="1234"/>
    </row>
    <row r="703" spans="1:26" ht="14.5">
      <c r="A703" s="1234"/>
      <c r="B703" s="1234"/>
      <c r="C703" s="1234"/>
      <c r="D703" s="1234"/>
      <c r="E703" s="1234"/>
      <c r="F703" s="1234"/>
      <c r="G703" s="1234"/>
      <c r="H703" s="1234"/>
      <c r="I703" s="1234"/>
      <c r="J703" s="1234"/>
      <c r="K703" s="1234"/>
      <c r="L703" s="1234"/>
      <c r="M703" s="1234"/>
      <c r="N703" s="1234"/>
      <c r="O703" s="1234"/>
      <c r="P703" s="1234"/>
      <c r="Q703" s="1234"/>
      <c r="R703" s="1234"/>
      <c r="S703" s="1234"/>
      <c r="T703" s="1234"/>
      <c r="U703" s="1234"/>
      <c r="V703" s="1234"/>
      <c r="W703" s="1234"/>
      <c r="X703" s="1234"/>
      <c r="Y703" s="1234"/>
      <c r="Z703" s="1234"/>
    </row>
    <row r="704" spans="1:26" ht="14.5">
      <c r="A704" s="1234"/>
      <c r="B704" s="1234"/>
      <c r="C704" s="1234"/>
      <c r="D704" s="1234"/>
      <c r="E704" s="1234"/>
      <c r="F704" s="1234"/>
      <c r="G704" s="1234"/>
      <c r="H704" s="1234"/>
      <c r="I704" s="1234"/>
      <c r="J704" s="1234"/>
      <c r="K704" s="1234"/>
      <c r="L704" s="1234"/>
      <c r="M704" s="1234"/>
      <c r="N704" s="1234"/>
      <c r="O704" s="1234"/>
      <c r="P704" s="1234"/>
      <c r="Q704" s="1234"/>
      <c r="R704" s="1234"/>
      <c r="S704" s="1234"/>
      <c r="T704" s="1234"/>
      <c r="U704" s="1234"/>
      <c r="V704" s="1234"/>
      <c r="W704" s="1234"/>
      <c r="X704" s="1234"/>
      <c r="Y704" s="1234"/>
      <c r="Z704" s="1234"/>
    </row>
    <row r="705" spans="1:26" ht="14.5">
      <c r="A705" s="1234"/>
      <c r="B705" s="1234"/>
      <c r="C705" s="1234"/>
      <c r="D705" s="1234"/>
      <c r="E705" s="1234"/>
      <c r="F705" s="1234"/>
      <c r="G705" s="1234"/>
      <c r="H705" s="1234"/>
      <c r="I705" s="1234"/>
      <c r="J705" s="1234"/>
      <c r="K705" s="1234"/>
      <c r="L705" s="1234"/>
      <c r="M705" s="1234"/>
      <c r="N705" s="1234"/>
      <c r="O705" s="1234"/>
      <c r="P705" s="1234"/>
      <c r="Q705" s="1234"/>
      <c r="R705" s="1234"/>
      <c r="S705" s="1234"/>
      <c r="T705" s="1234"/>
      <c r="U705" s="1234"/>
      <c r="V705" s="1234"/>
      <c r="W705" s="1234"/>
      <c r="X705" s="1234"/>
      <c r="Y705" s="1234"/>
      <c r="Z705" s="1234"/>
    </row>
    <row r="706" spans="1:26" ht="14.5">
      <c r="A706" s="1234"/>
      <c r="B706" s="1234"/>
      <c r="C706" s="1234"/>
      <c r="D706" s="1234"/>
      <c r="E706" s="1234"/>
      <c r="F706" s="1234"/>
      <c r="G706" s="1234"/>
      <c r="H706" s="1234"/>
      <c r="I706" s="1234"/>
      <c r="J706" s="1234"/>
      <c r="K706" s="1234"/>
      <c r="L706" s="1234"/>
      <c r="M706" s="1234"/>
      <c r="N706" s="1234"/>
      <c r="O706" s="1234"/>
      <c r="P706" s="1234"/>
      <c r="Q706" s="1234"/>
      <c r="R706" s="1234"/>
      <c r="S706" s="1234"/>
      <c r="T706" s="1234"/>
      <c r="U706" s="1234"/>
      <c r="V706" s="1234"/>
      <c r="W706" s="1234"/>
      <c r="X706" s="1234"/>
      <c r="Y706" s="1234"/>
      <c r="Z706" s="1234"/>
    </row>
    <row r="707" spans="1:26" ht="14.5">
      <c r="A707" s="1234"/>
      <c r="B707" s="1234"/>
      <c r="C707" s="1234"/>
      <c r="D707" s="1234"/>
      <c r="E707" s="1234"/>
      <c r="F707" s="1234"/>
      <c r="G707" s="1234"/>
      <c r="H707" s="1234"/>
      <c r="I707" s="1234"/>
      <c r="J707" s="1234"/>
      <c r="K707" s="1234"/>
      <c r="L707" s="1234"/>
      <c r="M707" s="1234"/>
      <c r="N707" s="1234"/>
      <c r="O707" s="1234"/>
      <c r="P707" s="1234"/>
      <c r="Q707" s="1234"/>
      <c r="R707" s="1234"/>
      <c r="S707" s="1234"/>
      <c r="T707" s="1234"/>
      <c r="U707" s="1234"/>
      <c r="V707" s="1234"/>
      <c r="W707" s="1234"/>
      <c r="X707" s="1234"/>
      <c r="Y707" s="1234"/>
      <c r="Z707" s="1234"/>
    </row>
    <row r="708" spans="1:26" ht="14.5">
      <c r="A708" s="1234"/>
      <c r="B708" s="1234"/>
      <c r="C708" s="1234"/>
      <c r="D708" s="1234"/>
      <c r="E708" s="1234"/>
      <c r="F708" s="1234"/>
      <c r="G708" s="1234"/>
      <c r="H708" s="1234"/>
      <c r="I708" s="1234"/>
      <c r="J708" s="1234"/>
      <c r="K708" s="1234"/>
      <c r="L708" s="1234"/>
      <c r="M708" s="1234"/>
      <c r="N708" s="1234"/>
      <c r="O708" s="1234"/>
      <c r="P708" s="1234"/>
      <c r="Q708" s="1234"/>
      <c r="R708" s="1234"/>
      <c r="S708" s="1234"/>
      <c r="T708" s="1234"/>
      <c r="U708" s="1234"/>
      <c r="V708" s="1234"/>
      <c r="W708" s="1234"/>
      <c r="X708" s="1234"/>
      <c r="Y708" s="1234"/>
      <c r="Z708" s="1234"/>
    </row>
    <row r="709" spans="1:26" ht="14.5">
      <c r="A709" s="1234"/>
      <c r="B709" s="1234"/>
      <c r="C709" s="1234"/>
      <c r="D709" s="1234"/>
      <c r="E709" s="1234"/>
      <c r="F709" s="1234"/>
      <c r="G709" s="1234"/>
      <c r="H709" s="1234"/>
      <c r="I709" s="1234"/>
      <c r="J709" s="1234"/>
      <c r="K709" s="1234"/>
      <c r="L709" s="1234"/>
      <c r="M709" s="1234"/>
      <c r="N709" s="1234"/>
      <c r="O709" s="1234"/>
      <c r="P709" s="1234"/>
      <c r="Q709" s="1234"/>
      <c r="R709" s="1234"/>
      <c r="S709" s="1234"/>
      <c r="T709" s="1234"/>
      <c r="U709" s="1234"/>
      <c r="V709" s="1234"/>
      <c r="W709" s="1234"/>
      <c r="X709" s="1234"/>
      <c r="Y709" s="1234"/>
      <c r="Z709" s="1234"/>
    </row>
    <row r="710" spans="1:26" ht="14.5">
      <c r="A710" s="1234"/>
      <c r="B710" s="1234"/>
      <c r="C710" s="1234"/>
      <c r="D710" s="1234"/>
      <c r="E710" s="1234"/>
      <c r="F710" s="1234"/>
      <c r="G710" s="1234"/>
      <c r="H710" s="1234"/>
      <c r="I710" s="1234"/>
      <c r="J710" s="1234"/>
      <c r="K710" s="1234"/>
      <c r="L710" s="1234"/>
      <c r="M710" s="1234"/>
      <c r="N710" s="1234"/>
      <c r="O710" s="1234"/>
      <c r="P710" s="1234"/>
      <c r="Q710" s="1234"/>
      <c r="R710" s="1234"/>
      <c r="S710" s="1234"/>
      <c r="T710" s="1234"/>
      <c r="U710" s="1234"/>
      <c r="V710" s="1234"/>
      <c r="W710" s="1234"/>
      <c r="X710" s="1234"/>
      <c r="Y710" s="1234"/>
      <c r="Z710" s="1234"/>
    </row>
    <row r="711" spans="1:26" ht="14.5">
      <c r="A711" s="1234"/>
      <c r="B711" s="1234"/>
      <c r="C711" s="1234"/>
      <c r="D711" s="1234"/>
      <c r="E711" s="1234"/>
      <c r="F711" s="1234"/>
      <c r="G711" s="1234"/>
      <c r="H711" s="1234"/>
      <c r="I711" s="1234"/>
      <c r="J711" s="1234"/>
      <c r="K711" s="1234"/>
      <c r="L711" s="1234"/>
      <c r="M711" s="1234"/>
      <c r="N711" s="1234"/>
      <c r="O711" s="1234"/>
      <c r="P711" s="1234"/>
      <c r="Q711" s="1234"/>
      <c r="R711" s="1234"/>
      <c r="S711" s="1234"/>
      <c r="T711" s="1234"/>
      <c r="U711" s="1234"/>
      <c r="V711" s="1234"/>
      <c r="W711" s="1234"/>
      <c r="X711" s="1234"/>
      <c r="Y711" s="1234"/>
      <c r="Z711" s="1234"/>
    </row>
    <row r="712" spans="1:26" ht="14.5">
      <c r="A712" s="1234"/>
      <c r="B712" s="1234"/>
      <c r="C712" s="1234"/>
      <c r="D712" s="1234"/>
      <c r="E712" s="1234"/>
      <c r="F712" s="1234"/>
      <c r="G712" s="1234"/>
      <c r="H712" s="1234"/>
      <c r="I712" s="1234"/>
      <c r="J712" s="1234"/>
      <c r="K712" s="1234"/>
      <c r="L712" s="1234"/>
      <c r="M712" s="1234"/>
      <c r="N712" s="1234"/>
      <c r="O712" s="1234"/>
      <c r="P712" s="1234"/>
      <c r="Q712" s="1234"/>
      <c r="R712" s="1234"/>
      <c r="S712" s="1234"/>
      <c r="T712" s="1234"/>
      <c r="U712" s="1234"/>
      <c r="V712" s="1234"/>
      <c r="W712" s="1234"/>
      <c r="X712" s="1234"/>
      <c r="Y712" s="1234"/>
      <c r="Z712" s="1234"/>
    </row>
    <row r="713" spans="1:26" ht="14.5">
      <c r="A713" s="1234"/>
      <c r="B713" s="1234"/>
      <c r="C713" s="1234"/>
      <c r="D713" s="1234"/>
      <c r="E713" s="1234"/>
      <c r="F713" s="1234"/>
      <c r="G713" s="1234"/>
      <c r="H713" s="1234"/>
      <c r="I713" s="1234"/>
      <c r="J713" s="1234"/>
      <c r="K713" s="1234"/>
      <c r="L713" s="1234"/>
      <c r="M713" s="1234"/>
      <c r="N713" s="1234"/>
      <c r="O713" s="1234"/>
      <c r="P713" s="1234"/>
      <c r="Q713" s="1234"/>
      <c r="R713" s="1234"/>
      <c r="S713" s="1234"/>
      <c r="T713" s="1234"/>
      <c r="U713" s="1234"/>
      <c r="V713" s="1234"/>
      <c r="W713" s="1234"/>
      <c r="X713" s="1234"/>
      <c r="Y713" s="1234"/>
      <c r="Z713" s="1234"/>
    </row>
    <row r="714" spans="1:26" ht="14.5">
      <c r="A714" s="1234"/>
      <c r="B714" s="1234"/>
      <c r="C714" s="1234"/>
      <c r="D714" s="1234"/>
      <c r="E714" s="1234"/>
      <c r="F714" s="1234"/>
      <c r="G714" s="1234"/>
      <c r="H714" s="1234"/>
      <c r="I714" s="1234"/>
      <c r="J714" s="1234"/>
      <c r="K714" s="1234"/>
      <c r="L714" s="1234"/>
      <c r="M714" s="1234"/>
      <c r="N714" s="1234"/>
      <c r="O714" s="1234"/>
      <c r="P714" s="1234"/>
      <c r="Q714" s="1234"/>
      <c r="R714" s="1234"/>
      <c r="S714" s="1234"/>
      <c r="T714" s="1234"/>
      <c r="U714" s="1234"/>
      <c r="V714" s="1234"/>
      <c r="W714" s="1234"/>
      <c r="X714" s="1234"/>
      <c r="Y714" s="1234"/>
      <c r="Z714" s="1234"/>
    </row>
    <row r="715" spans="1:26" ht="14.5">
      <c r="A715" s="1234"/>
      <c r="B715" s="1234"/>
      <c r="C715" s="1234"/>
      <c r="D715" s="1234"/>
      <c r="E715" s="1234"/>
      <c r="F715" s="1234"/>
      <c r="G715" s="1234"/>
      <c r="H715" s="1234"/>
      <c r="I715" s="1234"/>
      <c r="J715" s="1234"/>
      <c r="K715" s="1234"/>
      <c r="L715" s="1234"/>
      <c r="M715" s="1234"/>
      <c r="N715" s="1234"/>
      <c r="O715" s="1234"/>
      <c r="P715" s="1234"/>
      <c r="Q715" s="1234"/>
      <c r="R715" s="1234"/>
      <c r="S715" s="1234"/>
      <c r="T715" s="1234"/>
      <c r="U715" s="1234"/>
      <c r="V715" s="1234"/>
      <c r="W715" s="1234"/>
      <c r="X715" s="1234"/>
      <c r="Y715" s="1234"/>
      <c r="Z715" s="1234"/>
    </row>
    <row r="716" spans="1:26" ht="14.5">
      <c r="A716" s="1234"/>
      <c r="B716" s="1234"/>
      <c r="C716" s="1234"/>
      <c r="D716" s="1234"/>
      <c r="E716" s="1234"/>
      <c r="F716" s="1234"/>
      <c r="G716" s="1234"/>
      <c r="H716" s="1234"/>
      <c r="I716" s="1234"/>
      <c r="J716" s="1234"/>
      <c r="K716" s="1234"/>
      <c r="L716" s="1234"/>
      <c r="M716" s="1234"/>
      <c r="N716" s="1234"/>
      <c r="O716" s="1234"/>
      <c r="P716" s="1234"/>
      <c r="Q716" s="1234"/>
      <c r="R716" s="1234"/>
      <c r="S716" s="1234"/>
      <c r="T716" s="1234"/>
      <c r="U716" s="1234"/>
      <c r="V716" s="1234"/>
      <c r="W716" s="1234"/>
      <c r="X716" s="1234"/>
      <c r="Y716" s="1234"/>
      <c r="Z716" s="1234"/>
    </row>
    <row r="717" spans="1:26" ht="14.5">
      <c r="A717" s="1234"/>
      <c r="B717" s="1234"/>
      <c r="C717" s="1234"/>
      <c r="D717" s="1234"/>
      <c r="E717" s="1234"/>
      <c r="F717" s="1234"/>
      <c r="G717" s="1234"/>
      <c r="H717" s="1234"/>
      <c r="I717" s="1234"/>
      <c r="J717" s="1234"/>
      <c r="K717" s="1234"/>
      <c r="L717" s="1234"/>
      <c r="M717" s="1234"/>
      <c r="N717" s="1234"/>
      <c r="O717" s="1234"/>
      <c r="P717" s="1234"/>
      <c r="Q717" s="1234"/>
      <c r="R717" s="1234"/>
      <c r="S717" s="1234"/>
      <c r="T717" s="1234"/>
      <c r="U717" s="1234"/>
      <c r="V717" s="1234"/>
      <c r="W717" s="1234"/>
      <c r="X717" s="1234"/>
      <c r="Y717" s="1234"/>
      <c r="Z717" s="1234"/>
    </row>
    <row r="718" spans="1:26" ht="14.5">
      <c r="A718" s="1234"/>
      <c r="B718" s="1234"/>
      <c r="C718" s="1234"/>
      <c r="D718" s="1234"/>
      <c r="E718" s="1234"/>
      <c r="F718" s="1234"/>
      <c r="G718" s="1234"/>
      <c r="H718" s="1234"/>
      <c r="I718" s="1234"/>
      <c r="J718" s="1234"/>
      <c r="K718" s="1234"/>
      <c r="L718" s="1234"/>
      <c r="M718" s="1234"/>
      <c r="N718" s="1234"/>
      <c r="O718" s="1234"/>
      <c r="P718" s="1234"/>
      <c r="Q718" s="1234"/>
      <c r="R718" s="1234"/>
      <c r="S718" s="1234"/>
      <c r="T718" s="1234"/>
      <c r="U718" s="1234"/>
      <c r="V718" s="1234"/>
      <c r="W718" s="1234"/>
      <c r="X718" s="1234"/>
      <c r="Y718" s="1234"/>
      <c r="Z718" s="1234"/>
    </row>
    <row r="719" spans="1:26" ht="14.5">
      <c r="A719" s="1234"/>
      <c r="B719" s="1234"/>
      <c r="C719" s="1234"/>
      <c r="D719" s="1234"/>
      <c r="E719" s="1234"/>
      <c r="F719" s="1234"/>
      <c r="G719" s="1234"/>
      <c r="H719" s="1234"/>
      <c r="I719" s="1234"/>
      <c r="J719" s="1234"/>
      <c r="K719" s="1234"/>
      <c r="L719" s="1234"/>
      <c r="M719" s="1234"/>
      <c r="N719" s="1234"/>
      <c r="O719" s="1234"/>
      <c r="P719" s="1234"/>
      <c r="Q719" s="1234"/>
      <c r="R719" s="1234"/>
      <c r="S719" s="1234"/>
      <c r="T719" s="1234"/>
      <c r="U719" s="1234"/>
      <c r="V719" s="1234"/>
      <c r="W719" s="1234"/>
      <c r="X719" s="1234"/>
      <c r="Y719" s="1234"/>
      <c r="Z719" s="1234"/>
    </row>
    <row r="720" spans="1:26" ht="14.5">
      <c r="A720" s="1234"/>
      <c r="B720" s="1234"/>
      <c r="C720" s="1234"/>
      <c r="D720" s="1234"/>
      <c r="E720" s="1234"/>
      <c r="F720" s="1234"/>
      <c r="G720" s="1234"/>
      <c r="H720" s="1234"/>
      <c r="I720" s="1234"/>
      <c r="J720" s="1234"/>
      <c r="K720" s="1234"/>
      <c r="L720" s="1234"/>
      <c r="M720" s="1234"/>
      <c r="N720" s="1234"/>
      <c r="O720" s="1234"/>
      <c r="P720" s="1234"/>
      <c r="Q720" s="1234"/>
      <c r="R720" s="1234"/>
      <c r="S720" s="1234"/>
      <c r="T720" s="1234"/>
      <c r="U720" s="1234"/>
      <c r="V720" s="1234"/>
      <c r="W720" s="1234"/>
      <c r="X720" s="1234"/>
      <c r="Y720" s="1234"/>
      <c r="Z720" s="1234"/>
    </row>
    <row r="721" spans="1:26" ht="14.5">
      <c r="A721" s="1234"/>
      <c r="B721" s="1234"/>
      <c r="C721" s="1234"/>
      <c r="D721" s="1234"/>
      <c r="E721" s="1234"/>
      <c r="F721" s="1234"/>
      <c r="G721" s="1234"/>
      <c r="H721" s="1234"/>
      <c r="I721" s="1234"/>
      <c r="J721" s="1234"/>
      <c r="K721" s="1234"/>
      <c r="L721" s="1234"/>
      <c r="M721" s="1234"/>
      <c r="N721" s="1234"/>
      <c r="O721" s="1234"/>
      <c r="P721" s="1234"/>
      <c r="Q721" s="1234"/>
      <c r="R721" s="1234"/>
      <c r="S721" s="1234"/>
      <c r="T721" s="1234"/>
      <c r="U721" s="1234"/>
      <c r="V721" s="1234"/>
      <c r="W721" s="1234"/>
      <c r="X721" s="1234"/>
      <c r="Y721" s="1234"/>
      <c r="Z721" s="1234"/>
    </row>
    <row r="722" spans="1:26" ht="14.5">
      <c r="A722" s="1234"/>
      <c r="B722" s="1234"/>
      <c r="C722" s="1234"/>
      <c r="D722" s="1234"/>
      <c r="E722" s="1234"/>
      <c r="F722" s="1234"/>
      <c r="G722" s="1234"/>
      <c r="H722" s="1234"/>
      <c r="I722" s="1234"/>
      <c r="J722" s="1234"/>
      <c r="K722" s="1234"/>
      <c r="L722" s="1234"/>
      <c r="M722" s="1234"/>
      <c r="N722" s="1234"/>
      <c r="O722" s="1234"/>
      <c r="P722" s="1234"/>
      <c r="Q722" s="1234"/>
      <c r="R722" s="1234"/>
      <c r="S722" s="1234"/>
      <c r="T722" s="1234"/>
      <c r="U722" s="1234"/>
      <c r="V722" s="1234"/>
      <c r="W722" s="1234"/>
      <c r="X722" s="1234"/>
      <c r="Y722" s="1234"/>
      <c r="Z722" s="1234"/>
    </row>
    <row r="723" spans="1:26" ht="14.5">
      <c r="A723" s="1234"/>
      <c r="B723" s="1234"/>
      <c r="C723" s="1234"/>
      <c r="D723" s="1234"/>
      <c r="E723" s="1234"/>
      <c r="F723" s="1234"/>
      <c r="G723" s="1234"/>
      <c r="H723" s="1234"/>
      <c r="I723" s="1234"/>
      <c r="J723" s="1234"/>
      <c r="K723" s="1234"/>
      <c r="L723" s="1234"/>
      <c r="M723" s="1234"/>
      <c r="N723" s="1234"/>
      <c r="O723" s="1234"/>
      <c r="P723" s="1234"/>
      <c r="Q723" s="1234"/>
      <c r="R723" s="1234"/>
      <c r="S723" s="1234"/>
      <c r="T723" s="1234"/>
      <c r="U723" s="1234"/>
      <c r="V723" s="1234"/>
      <c r="W723" s="1234"/>
      <c r="X723" s="1234"/>
      <c r="Y723" s="1234"/>
      <c r="Z723" s="1234"/>
    </row>
    <row r="724" spans="1:26" ht="14.5">
      <c r="A724" s="1234"/>
      <c r="B724" s="1234"/>
      <c r="C724" s="1234"/>
      <c r="D724" s="1234"/>
      <c r="E724" s="1234"/>
      <c r="F724" s="1234"/>
      <c r="G724" s="1234"/>
      <c r="H724" s="1234"/>
      <c r="I724" s="1234"/>
      <c r="J724" s="1234"/>
      <c r="K724" s="1234"/>
      <c r="L724" s="1234"/>
      <c r="M724" s="1234"/>
      <c r="N724" s="1234"/>
      <c r="O724" s="1234"/>
      <c r="P724" s="1234"/>
      <c r="Q724" s="1234"/>
      <c r="R724" s="1234"/>
      <c r="S724" s="1234"/>
      <c r="T724" s="1234"/>
      <c r="U724" s="1234"/>
      <c r="V724" s="1234"/>
      <c r="W724" s="1234"/>
      <c r="X724" s="1234"/>
      <c r="Y724" s="1234"/>
      <c r="Z724" s="1234"/>
    </row>
    <row r="725" spans="1:26" ht="14.5">
      <c r="A725" s="1234"/>
      <c r="B725" s="1234"/>
      <c r="C725" s="1234"/>
      <c r="D725" s="1234"/>
      <c r="E725" s="1234"/>
      <c r="F725" s="1234"/>
      <c r="G725" s="1234"/>
      <c r="H725" s="1234"/>
      <c r="I725" s="1234"/>
      <c r="J725" s="1234"/>
      <c r="K725" s="1234"/>
      <c r="L725" s="1234"/>
      <c r="M725" s="1234"/>
      <c r="N725" s="1234"/>
      <c r="O725" s="1234"/>
      <c r="P725" s="1234"/>
      <c r="Q725" s="1234"/>
      <c r="R725" s="1234"/>
      <c r="S725" s="1234"/>
      <c r="T725" s="1234"/>
      <c r="U725" s="1234"/>
      <c r="V725" s="1234"/>
      <c r="W725" s="1234"/>
      <c r="X725" s="1234"/>
      <c r="Y725" s="1234"/>
      <c r="Z725" s="1234"/>
    </row>
    <row r="726" spans="1:26" ht="14.5">
      <c r="A726" s="1234"/>
      <c r="B726" s="1234"/>
      <c r="C726" s="1234"/>
      <c r="D726" s="1234"/>
      <c r="E726" s="1234"/>
      <c r="F726" s="1234"/>
      <c r="G726" s="1234"/>
      <c r="H726" s="1234"/>
      <c r="I726" s="1234"/>
      <c r="J726" s="1234"/>
      <c r="K726" s="1234"/>
      <c r="L726" s="1234"/>
      <c r="M726" s="1234"/>
      <c r="N726" s="1234"/>
      <c r="O726" s="1234"/>
      <c r="P726" s="1234"/>
      <c r="Q726" s="1234"/>
      <c r="R726" s="1234"/>
      <c r="S726" s="1234"/>
      <c r="T726" s="1234"/>
      <c r="U726" s="1234"/>
      <c r="V726" s="1234"/>
      <c r="W726" s="1234"/>
      <c r="X726" s="1234"/>
      <c r="Y726" s="1234"/>
      <c r="Z726" s="1234"/>
    </row>
    <row r="727" spans="1:26" ht="14.5">
      <c r="A727" s="1234"/>
      <c r="B727" s="1234"/>
      <c r="C727" s="1234"/>
      <c r="D727" s="1234"/>
      <c r="E727" s="1234"/>
      <c r="F727" s="1234"/>
      <c r="G727" s="1234"/>
      <c r="H727" s="1234"/>
      <c r="I727" s="1234"/>
      <c r="J727" s="1234"/>
      <c r="K727" s="1234"/>
      <c r="L727" s="1234"/>
      <c r="M727" s="1234"/>
      <c r="N727" s="1234"/>
      <c r="O727" s="1234"/>
      <c r="P727" s="1234"/>
      <c r="Q727" s="1234"/>
      <c r="R727" s="1234"/>
      <c r="S727" s="1234"/>
      <c r="T727" s="1234"/>
      <c r="U727" s="1234"/>
      <c r="V727" s="1234"/>
      <c r="W727" s="1234"/>
      <c r="X727" s="1234"/>
      <c r="Y727" s="1234"/>
      <c r="Z727" s="1234"/>
    </row>
    <row r="728" spans="1:26" ht="14.5">
      <c r="A728" s="1234"/>
      <c r="B728" s="1234"/>
      <c r="C728" s="1234"/>
      <c r="D728" s="1234"/>
      <c r="E728" s="1234"/>
      <c r="F728" s="1234"/>
      <c r="G728" s="1234"/>
      <c r="H728" s="1234"/>
      <c r="I728" s="1234"/>
      <c r="J728" s="1234"/>
      <c r="K728" s="1234"/>
      <c r="L728" s="1234"/>
      <c r="M728" s="1234"/>
      <c r="N728" s="1234"/>
      <c r="O728" s="1234"/>
      <c r="P728" s="1234"/>
      <c r="Q728" s="1234"/>
      <c r="R728" s="1234"/>
      <c r="S728" s="1234"/>
      <c r="T728" s="1234"/>
      <c r="U728" s="1234"/>
      <c r="V728" s="1234"/>
      <c r="W728" s="1234"/>
      <c r="X728" s="1234"/>
      <c r="Y728" s="1234"/>
      <c r="Z728" s="1234"/>
    </row>
    <row r="729" spans="1:26" ht="14.5">
      <c r="A729" s="1234"/>
      <c r="B729" s="1234"/>
      <c r="C729" s="1234"/>
      <c r="D729" s="1234"/>
      <c r="E729" s="1234"/>
      <c r="F729" s="1234"/>
      <c r="G729" s="1234"/>
      <c r="H729" s="1234"/>
      <c r="I729" s="1234"/>
      <c r="J729" s="1234"/>
      <c r="K729" s="1234"/>
      <c r="L729" s="1234"/>
      <c r="M729" s="1234"/>
      <c r="N729" s="1234"/>
      <c r="O729" s="1234"/>
      <c r="P729" s="1234"/>
      <c r="Q729" s="1234"/>
      <c r="R729" s="1234"/>
      <c r="S729" s="1234"/>
      <c r="T729" s="1234"/>
      <c r="U729" s="1234"/>
      <c r="V729" s="1234"/>
      <c r="W729" s="1234"/>
      <c r="X729" s="1234"/>
      <c r="Y729" s="1234"/>
      <c r="Z729" s="1234"/>
    </row>
    <row r="730" spans="1:26" ht="14.5">
      <c r="A730" s="1234"/>
      <c r="B730" s="1234"/>
      <c r="C730" s="1234"/>
      <c r="D730" s="1234"/>
      <c r="E730" s="1234"/>
      <c r="F730" s="1234"/>
      <c r="G730" s="1234"/>
      <c r="H730" s="1234"/>
      <c r="I730" s="1234"/>
      <c r="J730" s="1234"/>
      <c r="K730" s="1234"/>
      <c r="L730" s="1234"/>
      <c r="M730" s="1234"/>
      <c r="N730" s="1234"/>
      <c r="O730" s="1234"/>
      <c r="P730" s="1234"/>
      <c r="Q730" s="1234"/>
      <c r="R730" s="1234"/>
      <c r="S730" s="1234"/>
      <c r="T730" s="1234"/>
      <c r="U730" s="1234"/>
      <c r="V730" s="1234"/>
      <c r="W730" s="1234"/>
      <c r="X730" s="1234"/>
      <c r="Y730" s="1234"/>
      <c r="Z730" s="1234"/>
    </row>
    <row r="731" spans="1:26" ht="14.5">
      <c r="A731" s="1234"/>
      <c r="B731" s="1234"/>
      <c r="C731" s="1234"/>
      <c r="D731" s="1234"/>
      <c r="E731" s="1234"/>
      <c r="F731" s="1234"/>
      <c r="G731" s="1234"/>
      <c r="H731" s="1234"/>
      <c r="I731" s="1234"/>
      <c r="J731" s="1234"/>
      <c r="K731" s="1234"/>
      <c r="L731" s="1234"/>
      <c r="M731" s="1234"/>
      <c r="N731" s="1234"/>
      <c r="O731" s="1234"/>
      <c r="P731" s="1234"/>
      <c r="Q731" s="1234"/>
      <c r="R731" s="1234"/>
      <c r="S731" s="1234"/>
      <c r="T731" s="1234"/>
      <c r="U731" s="1234"/>
      <c r="V731" s="1234"/>
      <c r="W731" s="1234"/>
      <c r="X731" s="1234"/>
      <c r="Y731" s="1234"/>
      <c r="Z731" s="1234"/>
    </row>
    <row r="732" spans="1:26" ht="14.5">
      <c r="A732" s="1234"/>
      <c r="B732" s="1234"/>
      <c r="C732" s="1234"/>
      <c r="D732" s="1234"/>
      <c r="E732" s="1234"/>
      <c r="F732" s="1234"/>
      <c r="G732" s="1234"/>
      <c r="H732" s="1234"/>
      <c r="I732" s="1234"/>
      <c r="J732" s="1234"/>
      <c r="K732" s="1234"/>
      <c r="L732" s="1234"/>
      <c r="M732" s="1234"/>
      <c r="N732" s="1234"/>
      <c r="O732" s="1234"/>
      <c r="P732" s="1234"/>
      <c r="Q732" s="1234"/>
      <c r="R732" s="1234"/>
      <c r="S732" s="1234"/>
      <c r="T732" s="1234"/>
      <c r="U732" s="1234"/>
      <c r="V732" s="1234"/>
      <c r="W732" s="1234"/>
      <c r="X732" s="1234"/>
      <c r="Y732" s="1234"/>
      <c r="Z732" s="1234"/>
    </row>
    <row r="733" spans="1:26" ht="14.5">
      <c r="A733" s="1234"/>
      <c r="B733" s="1234"/>
      <c r="C733" s="1234"/>
      <c r="D733" s="1234"/>
      <c r="E733" s="1234"/>
      <c r="F733" s="1234"/>
      <c r="G733" s="1234"/>
      <c r="H733" s="1234"/>
      <c r="I733" s="1234"/>
      <c r="J733" s="1234"/>
      <c r="K733" s="1234"/>
      <c r="L733" s="1234"/>
      <c r="M733" s="1234"/>
      <c r="N733" s="1234"/>
      <c r="O733" s="1234"/>
      <c r="P733" s="1234"/>
      <c r="Q733" s="1234"/>
      <c r="R733" s="1234"/>
      <c r="S733" s="1234"/>
      <c r="T733" s="1234"/>
      <c r="U733" s="1234"/>
      <c r="V733" s="1234"/>
      <c r="W733" s="1234"/>
      <c r="X733" s="1234"/>
      <c r="Y733" s="1234"/>
      <c r="Z733" s="1234"/>
    </row>
    <row r="734" spans="1:26" ht="14.5">
      <c r="A734" s="1234"/>
      <c r="B734" s="1234"/>
      <c r="C734" s="1234"/>
      <c r="D734" s="1234"/>
      <c r="E734" s="1234"/>
      <c r="F734" s="1234"/>
      <c r="G734" s="1234"/>
      <c r="H734" s="1234"/>
      <c r="I734" s="1234"/>
      <c r="J734" s="1234"/>
      <c r="K734" s="1234"/>
      <c r="L734" s="1234"/>
      <c r="M734" s="1234"/>
      <c r="N734" s="1234"/>
      <c r="O734" s="1234"/>
      <c r="P734" s="1234"/>
      <c r="Q734" s="1234"/>
      <c r="R734" s="1234"/>
      <c r="S734" s="1234"/>
      <c r="T734" s="1234"/>
      <c r="U734" s="1234"/>
      <c r="V734" s="1234"/>
      <c r="W734" s="1234"/>
      <c r="X734" s="1234"/>
      <c r="Y734" s="1234"/>
      <c r="Z734" s="1234"/>
    </row>
    <row r="735" spans="1:26" ht="14.5">
      <c r="A735" s="1234"/>
      <c r="B735" s="1234"/>
      <c r="C735" s="1234"/>
      <c r="D735" s="1234"/>
      <c r="E735" s="1234"/>
      <c r="F735" s="1234"/>
      <c r="G735" s="1234"/>
      <c r="H735" s="1234"/>
      <c r="I735" s="1234"/>
      <c r="J735" s="1234"/>
      <c r="K735" s="1234"/>
      <c r="L735" s="1234"/>
      <c r="M735" s="1234"/>
      <c r="N735" s="1234"/>
      <c r="O735" s="1234"/>
      <c r="P735" s="1234"/>
      <c r="Q735" s="1234"/>
      <c r="R735" s="1234"/>
      <c r="S735" s="1234"/>
      <c r="T735" s="1234"/>
      <c r="U735" s="1234"/>
      <c r="V735" s="1234"/>
      <c r="W735" s="1234"/>
      <c r="X735" s="1234"/>
      <c r="Y735" s="1234"/>
      <c r="Z735" s="1234"/>
    </row>
    <row r="736" spans="1:26" ht="14.5">
      <c r="A736" s="1234"/>
      <c r="B736" s="1234"/>
      <c r="C736" s="1234"/>
      <c r="D736" s="1234"/>
      <c r="E736" s="1234"/>
      <c r="F736" s="1234"/>
      <c r="G736" s="1234"/>
      <c r="H736" s="1234"/>
      <c r="I736" s="1234"/>
      <c r="J736" s="1234"/>
      <c r="K736" s="1234"/>
      <c r="L736" s="1234"/>
      <c r="M736" s="1234"/>
      <c r="N736" s="1234"/>
      <c r="O736" s="1234"/>
      <c r="P736" s="1234"/>
      <c r="Q736" s="1234"/>
      <c r="R736" s="1234"/>
      <c r="S736" s="1234"/>
      <c r="T736" s="1234"/>
      <c r="U736" s="1234"/>
      <c r="V736" s="1234"/>
      <c r="W736" s="1234"/>
      <c r="X736" s="1234"/>
      <c r="Y736" s="1234"/>
      <c r="Z736" s="1234"/>
    </row>
    <row r="737" spans="1:26" ht="14.5">
      <c r="A737" s="1234"/>
      <c r="B737" s="1234"/>
      <c r="C737" s="1234"/>
      <c r="D737" s="1234"/>
      <c r="E737" s="1234"/>
      <c r="F737" s="1234"/>
      <c r="G737" s="1234"/>
      <c r="H737" s="1234"/>
      <c r="I737" s="1234"/>
      <c r="J737" s="1234"/>
      <c r="K737" s="1234"/>
      <c r="L737" s="1234"/>
      <c r="M737" s="1234"/>
      <c r="N737" s="1234"/>
      <c r="O737" s="1234"/>
      <c r="P737" s="1234"/>
      <c r="Q737" s="1234"/>
      <c r="R737" s="1234"/>
      <c r="S737" s="1234"/>
      <c r="T737" s="1234"/>
      <c r="U737" s="1234"/>
      <c r="V737" s="1234"/>
      <c r="W737" s="1234"/>
      <c r="X737" s="1234"/>
      <c r="Y737" s="1234"/>
      <c r="Z737" s="1234"/>
    </row>
    <row r="738" spans="1:26" ht="14.5">
      <c r="A738" s="1234"/>
      <c r="B738" s="1234"/>
      <c r="C738" s="1234"/>
      <c r="D738" s="1234"/>
      <c r="E738" s="1234"/>
      <c r="F738" s="1234"/>
      <c r="G738" s="1234"/>
      <c r="H738" s="1234"/>
      <c r="I738" s="1234"/>
      <c r="J738" s="1234"/>
      <c r="K738" s="1234"/>
      <c r="L738" s="1234"/>
      <c r="M738" s="1234"/>
      <c r="N738" s="1234"/>
      <c r="O738" s="1234"/>
      <c r="P738" s="1234"/>
      <c r="Q738" s="1234"/>
      <c r="R738" s="1234"/>
      <c r="S738" s="1234"/>
      <c r="T738" s="1234"/>
      <c r="U738" s="1234"/>
      <c r="V738" s="1234"/>
      <c r="W738" s="1234"/>
      <c r="X738" s="1234"/>
      <c r="Y738" s="1234"/>
      <c r="Z738" s="1234"/>
    </row>
    <row r="739" spans="1:26" ht="14.5">
      <c r="A739" s="1234"/>
      <c r="B739" s="1234"/>
      <c r="C739" s="1234"/>
      <c r="D739" s="1234"/>
      <c r="E739" s="1234"/>
      <c r="F739" s="1234"/>
      <c r="G739" s="1234"/>
      <c r="H739" s="1234"/>
      <c r="I739" s="1234"/>
      <c r="J739" s="1234"/>
      <c r="K739" s="1234"/>
      <c r="L739" s="1234"/>
      <c r="M739" s="1234"/>
      <c r="N739" s="1234"/>
      <c r="O739" s="1234"/>
      <c r="P739" s="1234"/>
      <c r="Q739" s="1234"/>
      <c r="R739" s="1234"/>
      <c r="S739" s="1234"/>
      <c r="T739" s="1234"/>
      <c r="U739" s="1234"/>
      <c r="V739" s="1234"/>
      <c r="W739" s="1234"/>
      <c r="X739" s="1234"/>
      <c r="Y739" s="1234"/>
      <c r="Z739" s="1234"/>
    </row>
    <row r="740" spans="1:26" ht="14.5">
      <c r="A740" s="1234"/>
      <c r="B740" s="1234"/>
      <c r="C740" s="1234"/>
      <c r="D740" s="1234"/>
      <c r="E740" s="1234"/>
      <c r="F740" s="1234"/>
      <c r="G740" s="1234"/>
      <c r="H740" s="1234"/>
      <c r="I740" s="1234"/>
      <c r="J740" s="1234"/>
      <c r="K740" s="1234"/>
      <c r="L740" s="1234"/>
      <c r="M740" s="1234"/>
      <c r="N740" s="1234"/>
      <c r="O740" s="1234"/>
      <c r="P740" s="1234"/>
      <c r="Q740" s="1234"/>
      <c r="R740" s="1234"/>
      <c r="S740" s="1234"/>
      <c r="T740" s="1234"/>
      <c r="U740" s="1234"/>
      <c r="V740" s="1234"/>
      <c r="W740" s="1234"/>
      <c r="X740" s="1234"/>
      <c r="Y740" s="1234"/>
      <c r="Z740" s="1234"/>
    </row>
    <row r="741" spans="1:26" ht="14.5">
      <c r="A741" s="1234"/>
      <c r="B741" s="1234"/>
      <c r="C741" s="1234"/>
      <c r="D741" s="1234"/>
      <c r="E741" s="1234"/>
      <c r="F741" s="1234"/>
      <c r="G741" s="1234"/>
      <c r="H741" s="1234"/>
      <c r="I741" s="1234"/>
      <c r="J741" s="1234"/>
      <c r="K741" s="1234"/>
      <c r="L741" s="1234"/>
      <c r="M741" s="1234"/>
      <c r="N741" s="1234"/>
      <c r="O741" s="1234"/>
      <c r="P741" s="1234"/>
      <c r="Q741" s="1234"/>
      <c r="R741" s="1234"/>
      <c r="S741" s="1234"/>
      <c r="T741" s="1234"/>
      <c r="U741" s="1234"/>
      <c r="V741" s="1234"/>
      <c r="W741" s="1234"/>
      <c r="X741" s="1234"/>
      <c r="Y741" s="1234"/>
      <c r="Z741" s="1234"/>
    </row>
    <row r="742" spans="1:26" ht="14.5">
      <c r="A742" s="1234"/>
      <c r="B742" s="1234"/>
      <c r="C742" s="1234"/>
      <c r="D742" s="1234"/>
      <c r="E742" s="1234"/>
      <c r="F742" s="1234"/>
      <c r="G742" s="1234"/>
      <c r="H742" s="1234"/>
      <c r="I742" s="1234"/>
      <c r="J742" s="1234"/>
      <c r="K742" s="1234"/>
      <c r="L742" s="1234"/>
      <c r="M742" s="1234"/>
      <c r="N742" s="1234"/>
      <c r="O742" s="1234"/>
      <c r="P742" s="1234"/>
      <c r="Q742" s="1234"/>
      <c r="R742" s="1234"/>
      <c r="S742" s="1234"/>
      <c r="T742" s="1234"/>
      <c r="U742" s="1234"/>
      <c r="V742" s="1234"/>
      <c r="W742" s="1234"/>
      <c r="X742" s="1234"/>
      <c r="Y742" s="1234"/>
      <c r="Z742" s="1234"/>
    </row>
    <row r="743" spans="1:26" ht="14.5">
      <c r="A743" s="1234"/>
      <c r="B743" s="1234"/>
      <c r="C743" s="1234"/>
      <c r="D743" s="1234"/>
      <c r="E743" s="1234"/>
      <c r="F743" s="1234"/>
      <c r="G743" s="1234"/>
      <c r="H743" s="1234"/>
      <c r="I743" s="1234"/>
      <c r="J743" s="1234"/>
      <c r="K743" s="1234"/>
      <c r="L743" s="1234"/>
      <c r="M743" s="1234"/>
      <c r="N743" s="1234"/>
      <c r="O743" s="1234"/>
      <c r="P743" s="1234"/>
      <c r="Q743" s="1234"/>
      <c r="R743" s="1234"/>
      <c r="S743" s="1234"/>
      <c r="T743" s="1234"/>
      <c r="U743" s="1234"/>
      <c r="V743" s="1234"/>
      <c r="W743" s="1234"/>
      <c r="X743" s="1234"/>
      <c r="Y743" s="1234"/>
      <c r="Z743" s="1234"/>
    </row>
    <row r="744" spans="1:26" ht="14.5">
      <c r="A744" s="1234"/>
      <c r="B744" s="1234"/>
      <c r="C744" s="1234"/>
      <c r="D744" s="1234"/>
      <c r="E744" s="1234"/>
      <c r="F744" s="1234"/>
      <c r="G744" s="1234"/>
      <c r="H744" s="1234"/>
      <c r="I744" s="1234"/>
      <c r="J744" s="1234"/>
      <c r="K744" s="1234"/>
      <c r="L744" s="1234"/>
      <c r="M744" s="1234"/>
      <c r="N744" s="1234"/>
      <c r="O744" s="1234"/>
      <c r="P744" s="1234"/>
      <c r="Q744" s="1234"/>
      <c r="R744" s="1234"/>
      <c r="S744" s="1234"/>
      <c r="T744" s="1234"/>
      <c r="U744" s="1234"/>
      <c r="V744" s="1234"/>
      <c r="W744" s="1234"/>
      <c r="X744" s="1234"/>
      <c r="Y744" s="1234"/>
      <c r="Z744" s="1234"/>
    </row>
    <row r="745" spans="1:26" ht="14.5">
      <c r="A745" s="1234"/>
      <c r="B745" s="1234"/>
      <c r="C745" s="1234"/>
      <c r="D745" s="1234"/>
      <c r="E745" s="1234"/>
      <c r="F745" s="1234"/>
      <c r="G745" s="1234"/>
      <c r="H745" s="1234"/>
      <c r="I745" s="1234"/>
      <c r="J745" s="1234"/>
      <c r="K745" s="1234"/>
      <c r="L745" s="1234"/>
      <c r="M745" s="1234"/>
      <c r="N745" s="1234"/>
      <c r="O745" s="1234"/>
      <c r="P745" s="1234"/>
      <c r="Q745" s="1234"/>
      <c r="R745" s="1234"/>
      <c r="S745" s="1234"/>
      <c r="T745" s="1234"/>
      <c r="U745" s="1234"/>
      <c r="V745" s="1234"/>
      <c r="W745" s="1234"/>
      <c r="X745" s="1234"/>
      <c r="Y745" s="1234"/>
      <c r="Z745" s="1234"/>
    </row>
    <row r="746" spans="1:26" ht="14.5">
      <c r="A746" s="1234"/>
      <c r="B746" s="1234"/>
      <c r="C746" s="1234"/>
      <c r="D746" s="1234"/>
      <c r="E746" s="1234"/>
      <c r="F746" s="1234"/>
      <c r="G746" s="1234"/>
      <c r="H746" s="1234"/>
      <c r="I746" s="1234"/>
      <c r="J746" s="1234"/>
      <c r="K746" s="1234"/>
      <c r="L746" s="1234"/>
      <c r="M746" s="1234"/>
      <c r="N746" s="1234"/>
      <c r="O746" s="1234"/>
      <c r="P746" s="1234"/>
      <c r="Q746" s="1234"/>
      <c r="R746" s="1234"/>
      <c r="S746" s="1234"/>
      <c r="T746" s="1234"/>
      <c r="U746" s="1234"/>
      <c r="V746" s="1234"/>
      <c r="W746" s="1234"/>
      <c r="X746" s="1234"/>
      <c r="Y746" s="1234"/>
      <c r="Z746" s="1234"/>
    </row>
    <row r="747" spans="1:26" ht="14.5">
      <c r="A747" s="1234"/>
      <c r="B747" s="1234"/>
      <c r="C747" s="1234"/>
      <c r="D747" s="1234"/>
      <c r="E747" s="1234"/>
      <c r="F747" s="1234"/>
      <c r="G747" s="1234"/>
      <c r="H747" s="1234"/>
      <c r="I747" s="1234"/>
      <c r="J747" s="1234"/>
      <c r="K747" s="1234"/>
      <c r="L747" s="1234"/>
      <c r="M747" s="1234"/>
      <c r="N747" s="1234"/>
      <c r="O747" s="1234"/>
      <c r="P747" s="1234"/>
      <c r="Q747" s="1234"/>
      <c r="R747" s="1234"/>
      <c r="S747" s="1234"/>
      <c r="T747" s="1234"/>
      <c r="U747" s="1234"/>
      <c r="V747" s="1234"/>
      <c r="W747" s="1234"/>
      <c r="X747" s="1234"/>
      <c r="Y747" s="1234"/>
      <c r="Z747" s="1234"/>
    </row>
    <row r="748" spans="1:26" ht="14.5">
      <c r="A748" s="1234"/>
      <c r="B748" s="1234"/>
      <c r="C748" s="1234"/>
      <c r="D748" s="1234"/>
      <c r="E748" s="1234"/>
      <c r="F748" s="1234"/>
      <c r="G748" s="1234"/>
      <c r="H748" s="1234"/>
      <c r="I748" s="1234"/>
      <c r="J748" s="1234"/>
      <c r="K748" s="1234"/>
      <c r="L748" s="1234"/>
      <c r="M748" s="1234"/>
      <c r="N748" s="1234"/>
      <c r="O748" s="1234"/>
      <c r="P748" s="1234"/>
      <c r="Q748" s="1234"/>
      <c r="R748" s="1234"/>
      <c r="S748" s="1234"/>
      <c r="T748" s="1234"/>
      <c r="U748" s="1234"/>
      <c r="V748" s="1234"/>
      <c r="W748" s="1234"/>
      <c r="X748" s="1234"/>
      <c r="Y748" s="1234"/>
      <c r="Z748" s="1234"/>
    </row>
    <row r="749" spans="1:26" ht="14.5">
      <c r="A749" s="1234"/>
      <c r="B749" s="1234"/>
      <c r="C749" s="1234"/>
      <c r="D749" s="1234"/>
      <c r="E749" s="1234"/>
      <c r="F749" s="1234"/>
      <c r="G749" s="1234"/>
      <c r="H749" s="1234"/>
      <c r="I749" s="1234"/>
      <c r="J749" s="1234"/>
      <c r="K749" s="1234"/>
      <c r="L749" s="1234"/>
      <c r="M749" s="1234"/>
      <c r="N749" s="1234"/>
      <c r="O749" s="1234"/>
      <c r="P749" s="1234"/>
      <c r="Q749" s="1234"/>
      <c r="R749" s="1234"/>
      <c r="S749" s="1234"/>
      <c r="T749" s="1234"/>
      <c r="U749" s="1234"/>
      <c r="V749" s="1234"/>
      <c r="W749" s="1234"/>
      <c r="X749" s="1234"/>
      <c r="Y749" s="1234"/>
      <c r="Z749" s="1234"/>
    </row>
    <row r="750" spans="1:26" ht="14.5">
      <c r="A750" s="1234"/>
      <c r="B750" s="1234"/>
      <c r="C750" s="1234"/>
      <c r="D750" s="1234"/>
      <c r="E750" s="1234"/>
      <c r="F750" s="1234"/>
      <c r="G750" s="1234"/>
      <c r="H750" s="1234"/>
      <c r="I750" s="1234"/>
      <c r="J750" s="1234"/>
      <c r="K750" s="1234"/>
      <c r="L750" s="1234"/>
      <c r="M750" s="1234"/>
      <c r="N750" s="1234"/>
      <c r="O750" s="1234"/>
      <c r="P750" s="1234"/>
      <c r="Q750" s="1234"/>
      <c r="R750" s="1234"/>
      <c r="S750" s="1234"/>
      <c r="T750" s="1234"/>
      <c r="U750" s="1234"/>
      <c r="V750" s="1234"/>
      <c r="W750" s="1234"/>
      <c r="X750" s="1234"/>
      <c r="Y750" s="1234"/>
      <c r="Z750" s="1234"/>
    </row>
    <row r="751" spans="1:26" ht="14.5">
      <c r="A751" s="1234"/>
      <c r="B751" s="1234"/>
      <c r="C751" s="1234"/>
      <c r="D751" s="1234"/>
      <c r="E751" s="1234"/>
      <c r="F751" s="1234"/>
      <c r="G751" s="1234"/>
      <c r="H751" s="1234"/>
      <c r="I751" s="1234"/>
      <c r="J751" s="1234"/>
      <c r="K751" s="1234"/>
      <c r="L751" s="1234"/>
      <c r="M751" s="1234"/>
      <c r="N751" s="1234"/>
      <c r="O751" s="1234"/>
      <c r="P751" s="1234"/>
      <c r="Q751" s="1234"/>
      <c r="R751" s="1234"/>
      <c r="S751" s="1234"/>
      <c r="T751" s="1234"/>
      <c r="U751" s="1234"/>
      <c r="V751" s="1234"/>
      <c r="W751" s="1234"/>
      <c r="X751" s="1234"/>
      <c r="Y751" s="1234"/>
      <c r="Z751" s="1234"/>
    </row>
    <row r="752" spans="1:26" ht="14.5">
      <c r="A752" s="1234"/>
      <c r="B752" s="1234"/>
      <c r="C752" s="1234"/>
      <c r="D752" s="1234"/>
      <c r="E752" s="1234"/>
      <c r="F752" s="1234"/>
      <c r="G752" s="1234"/>
      <c r="H752" s="1234"/>
      <c r="I752" s="1234"/>
      <c r="J752" s="1234"/>
      <c r="K752" s="1234"/>
      <c r="L752" s="1234"/>
      <c r="M752" s="1234"/>
      <c r="N752" s="1234"/>
      <c r="O752" s="1234"/>
      <c r="P752" s="1234"/>
      <c r="Q752" s="1234"/>
      <c r="R752" s="1234"/>
      <c r="S752" s="1234"/>
      <c r="T752" s="1234"/>
      <c r="U752" s="1234"/>
      <c r="V752" s="1234"/>
      <c r="W752" s="1234"/>
      <c r="X752" s="1234"/>
      <c r="Y752" s="1234"/>
      <c r="Z752" s="1234"/>
    </row>
    <row r="753" spans="1:26" ht="14.5">
      <c r="A753" s="1234"/>
      <c r="B753" s="1234"/>
      <c r="C753" s="1234"/>
      <c r="D753" s="1234"/>
      <c r="E753" s="1234"/>
      <c r="F753" s="1234"/>
      <c r="G753" s="1234"/>
      <c r="H753" s="1234"/>
      <c r="I753" s="1234"/>
      <c r="J753" s="1234"/>
      <c r="K753" s="1234"/>
      <c r="L753" s="1234"/>
      <c r="M753" s="1234"/>
      <c r="N753" s="1234"/>
      <c r="O753" s="1234"/>
      <c r="P753" s="1234"/>
      <c r="Q753" s="1234"/>
      <c r="R753" s="1234"/>
      <c r="S753" s="1234"/>
      <c r="T753" s="1234"/>
      <c r="U753" s="1234"/>
      <c r="V753" s="1234"/>
      <c r="W753" s="1234"/>
      <c r="X753" s="1234"/>
      <c r="Y753" s="1234"/>
      <c r="Z753" s="1234"/>
    </row>
    <row r="754" spans="1:26" ht="14.5">
      <c r="A754" s="1234"/>
      <c r="B754" s="1234"/>
      <c r="C754" s="1234"/>
      <c r="D754" s="1234"/>
      <c r="E754" s="1234"/>
      <c r="F754" s="1234"/>
      <c r="G754" s="1234"/>
      <c r="H754" s="1234"/>
      <c r="I754" s="1234"/>
      <c r="J754" s="1234"/>
      <c r="K754" s="1234"/>
      <c r="L754" s="1234"/>
      <c r="M754" s="1234"/>
      <c r="N754" s="1234"/>
      <c r="O754" s="1234"/>
      <c r="P754" s="1234"/>
      <c r="Q754" s="1234"/>
      <c r="R754" s="1234"/>
      <c r="S754" s="1234"/>
      <c r="T754" s="1234"/>
      <c r="U754" s="1234"/>
      <c r="V754" s="1234"/>
      <c r="W754" s="1234"/>
      <c r="X754" s="1234"/>
      <c r="Y754" s="1234"/>
      <c r="Z754" s="1234"/>
    </row>
    <row r="755" spans="1:26" ht="14.5">
      <c r="A755" s="1234"/>
      <c r="B755" s="1234"/>
      <c r="C755" s="1234"/>
      <c r="D755" s="1234"/>
      <c r="E755" s="1234"/>
      <c r="F755" s="1234"/>
      <c r="G755" s="1234"/>
      <c r="H755" s="1234"/>
      <c r="I755" s="1234"/>
      <c r="J755" s="1234"/>
      <c r="K755" s="1234"/>
      <c r="L755" s="1234"/>
      <c r="M755" s="1234"/>
      <c r="N755" s="1234"/>
      <c r="O755" s="1234"/>
      <c r="P755" s="1234"/>
      <c r="Q755" s="1234"/>
      <c r="R755" s="1234"/>
      <c r="S755" s="1234"/>
      <c r="T755" s="1234"/>
      <c r="U755" s="1234"/>
      <c r="V755" s="1234"/>
      <c r="W755" s="1234"/>
      <c r="X755" s="1234"/>
      <c r="Y755" s="1234"/>
      <c r="Z755" s="1234"/>
    </row>
    <row r="756" spans="1:26" ht="14.5">
      <c r="A756" s="1234"/>
      <c r="B756" s="1234"/>
      <c r="C756" s="1234"/>
      <c r="D756" s="1234"/>
      <c r="E756" s="1234"/>
      <c r="F756" s="1234"/>
      <c r="G756" s="1234"/>
      <c r="H756" s="1234"/>
      <c r="I756" s="1234"/>
      <c r="J756" s="1234"/>
      <c r="K756" s="1234"/>
      <c r="L756" s="1234"/>
      <c r="M756" s="1234"/>
      <c r="N756" s="1234"/>
      <c r="O756" s="1234"/>
      <c r="P756" s="1234"/>
      <c r="Q756" s="1234"/>
      <c r="R756" s="1234"/>
      <c r="S756" s="1234"/>
      <c r="T756" s="1234"/>
      <c r="U756" s="1234"/>
      <c r="V756" s="1234"/>
      <c r="W756" s="1234"/>
      <c r="X756" s="1234"/>
      <c r="Y756" s="1234"/>
      <c r="Z756" s="1234"/>
    </row>
    <row r="757" spans="1:26" ht="14.5">
      <c r="A757" s="1234"/>
      <c r="B757" s="1234"/>
      <c r="C757" s="1234"/>
      <c r="D757" s="1234"/>
      <c r="E757" s="1234"/>
      <c r="F757" s="1234"/>
      <c r="G757" s="1234"/>
      <c r="H757" s="1234"/>
      <c r="I757" s="1234"/>
      <c r="J757" s="1234"/>
      <c r="K757" s="1234"/>
      <c r="L757" s="1234"/>
      <c r="M757" s="1234"/>
      <c r="N757" s="1234"/>
      <c r="O757" s="1234"/>
      <c r="P757" s="1234"/>
      <c r="Q757" s="1234"/>
      <c r="R757" s="1234"/>
      <c r="S757" s="1234"/>
      <c r="T757" s="1234"/>
      <c r="U757" s="1234"/>
      <c r="V757" s="1234"/>
      <c r="W757" s="1234"/>
      <c r="X757" s="1234"/>
      <c r="Y757" s="1234"/>
      <c r="Z757" s="1234"/>
    </row>
    <row r="758" spans="1:26" ht="14.5">
      <c r="A758" s="1234"/>
      <c r="B758" s="1234"/>
      <c r="C758" s="1234"/>
      <c r="D758" s="1234"/>
      <c r="E758" s="1234"/>
      <c r="F758" s="1234"/>
      <c r="G758" s="1234"/>
      <c r="H758" s="1234"/>
      <c r="I758" s="1234"/>
      <c r="J758" s="1234"/>
      <c r="K758" s="1234"/>
      <c r="L758" s="1234"/>
      <c r="M758" s="1234"/>
      <c r="N758" s="1234"/>
      <c r="O758" s="1234"/>
      <c r="P758" s="1234"/>
      <c r="Q758" s="1234"/>
      <c r="R758" s="1234"/>
      <c r="S758" s="1234"/>
      <c r="T758" s="1234"/>
      <c r="U758" s="1234"/>
      <c r="V758" s="1234"/>
      <c r="W758" s="1234"/>
      <c r="X758" s="1234"/>
      <c r="Y758" s="1234"/>
      <c r="Z758" s="1234"/>
    </row>
    <row r="759" spans="1:26" ht="14.5">
      <c r="A759" s="1234"/>
      <c r="B759" s="1234"/>
      <c r="C759" s="1234"/>
      <c r="D759" s="1234"/>
      <c r="E759" s="1234"/>
      <c r="F759" s="1234"/>
      <c r="G759" s="1234"/>
      <c r="H759" s="1234"/>
      <c r="I759" s="1234"/>
      <c r="J759" s="1234"/>
      <c r="K759" s="1234"/>
      <c r="L759" s="1234"/>
      <c r="M759" s="1234"/>
      <c r="N759" s="1234"/>
      <c r="O759" s="1234"/>
      <c r="P759" s="1234"/>
      <c r="Q759" s="1234"/>
      <c r="R759" s="1234"/>
      <c r="S759" s="1234"/>
      <c r="T759" s="1234"/>
      <c r="U759" s="1234"/>
      <c r="V759" s="1234"/>
      <c r="W759" s="1234"/>
      <c r="X759" s="1234"/>
      <c r="Y759" s="1234"/>
      <c r="Z759" s="1234"/>
    </row>
    <row r="760" spans="1:26" ht="14.5">
      <c r="A760" s="1234"/>
      <c r="B760" s="1234"/>
      <c r="C760" s="1234"/>
      <c r="D760" s="1234"/>
      <c r="E760" s="1234"/>
      <c r="F760" s="1234"/>
      <c r="G760" s="1234"/>
      <c r="H760" s="1234"/>
      <c r="I760" s="1234"/>
      <c r="J760" s="1234"/>
      <c r="K760" s="1234"/>
      <c r="L760" s="1234"/>
      <c r="M760" s="1234"/>
      <c r="N760" s="1234"/>
      <c r="O760" s="1234"/>
      <c r="P760" s="1234"/>
      <c r="Q760" s="1234"/>
      <c r="R760" s="1234"/>
      <c r="S760" s="1234"/>
      <c r="T760" s="1234"/>
      <c r="U760" s="1234"/>
      <c r="V760" s="1234"/>
      <c r="W760" s="1234"/>
      <c r="X760" s="1234"/>
      <c r="Y760" s="1234"/>
      <c r="Z760" s="1234"/>
    </row>
    <row r="761" spans="1:26" ht="14.5">
      <c r="A761" s="1234"/>
      <c r="B761" s="1234"/>
      <c r="C761" s="1234"/>
      <c r="D761" s="1234"/>
      <c r="E761" s="1234"/>
      <c r="F761" s="1234"/>
      <c r="G761" s="1234"/>
      <c r="H761" s="1234"/>
      <c r="I761" s="1234"/>
      <c r="J761" s="1234"/>
      <c r="K761" s="1234"/>
      <c r="L761" s="1234"/>
      <c r="M761" s="1234"/>
      <c r="N761" s="1234"/>
      <c r="O761" s="1234"/>
      <c r="P761" s="1234"/>
      <c r="Q761" s="1234"/>
      <c r="R761" s="1234"/>
      <c r="S761" s="1234"/>
      <c r="T761" s="1234"/>
      <c r="U761" s="1234"/>
      <c r="V761" s="1234"/>
      <c r="W761" s="1234"/>
      <c r="X761" s="1234"/>
      <c r="Y761" s="1234"/>
      <c r="Z761" s="1234"/>
    </row>
    <row r="762" spans="1:26" ht="14.5">
      <c r="A762" s="1234"/>
      <c r="B762" s="1234"/>
      <c r="C762" s="1234"/>
      <c r="D762" s="1234"/>
      <c r="E762" s="1234"/>
      <c r="F762" s="1234"/>
      <c r="G762" s="1234"/>
      <c r="H762" s="1234"/>
      <c r="I762" s="1234"/>
      <c r="J762" s="1234"/>
      <c r="K762" s="1234"/>
      <c r="L762" s="1234"/>
      <c r="M762" s="1234"/>
      <c r="N762" s="1234"/>
      <c r="O762" s="1234"/>
      <c r="P762" s="1234"/>
      <c r="Q762" s="1234"/>
      <c r="R762" s="1234"/>
      <c r="S762" s="1234"/>
      <c r="T762" s="1234"/>
      <c r="U762" s="1234"/>
      <c r="V762" s="1234"/>
      <c r="W762" s="1234"/>
      <c r="X762" s="1234"/>
      <c r="Y762" s="1234"/>
      <c r="Z762" s="1234"/>
    </row>
    <row r="763" spans="1:26" ht="14.5">
      <c r="A763" s="1234"/>
      <c r="B763" s="1234"/>
      <c r="C763" s="1234"/>
      <c r="D763" s="1234"/>
      <c r="E763" s="1234"/>
      <c r="F763" s="1234"/>
      <c r="G763" s="1234"/>
      <c r="H763" s="1234"/>
      <c r="I763" s="1234"/>
      <c r="J763" s="1234"/>
      <c r="K763" s="1234"/>
      <c r="L763" s="1234"/>
      <c r="M763" s="1234"/>
      <c r="N763" s="1234"/>
      <c r="O763" s="1234"/>
      <c r="P763" s="1234"/>
      <c r="Q763" s="1234"/>
      <c r="R763" s="1234"/>
      <c r="S763" s="1234"/>
      <c r="T763" s="1234"/>
      <c r="U763" s="1234"/>
      <c r="V763" s="1234"/>
      <c r="W763" s="1234"/>
      <c r="X763" s="1234"/>
      <c r="Y763" s="1234"/>
      <c r="Z763" s="1234"/>
    </row>
    <row r="764" spans="1:26" ht="14.5">
      <c r="A764" s="1234"/>
      <c r="B764" s="1234"/>
      <c r="C764" s="1234"/>
      <c r="D764" s="1234"/>
      <c r="E764" s="1234"/>
      <c r="F764" s="1234"/>
      <c r="G764" s="1234"/>
      <c r="H764" s="1234"/>
      <c r="I764" s="1234"/>
      <c r="J764" s="1234"/>
      <c r="K764" s="1234"/>
      <c r="L764" s="1234"/>
      <c r="M764" s="1234"/>
      <c r="N764" s="1234"/>
      <c r="O764" s="1234"/>
      <c r="P764" s="1234"/>
      <c r="Q764" s="1234"/>
      <c r="R764" s="1234"/>
      <c r="S764" s="1234"/>
      <c r="T764" s="1234"/>
      <c r="U764" s="1234"/>
      <c r="V764" s="1234"/>
      <c r="W764" s="1234"/>
      <c r="X764" s="1234"/>
      <c r="Y764" s="1234"/>
      <c r="Z764" s="1234"/>
    </row>
    <row r="765" spans="1:26" ht="14.5">
      <c r="A765" s="1234"/>
      <c r="B765" s="1234"/>
      <c r="C765" s="1234"/>
      <c r="D765" s="1234"/>
      <c r="E765" s="1234"/>
      <c r="F765" s="1234"/>
      <c r="G765" s="1234"/>
      <c r="H765" s="1234"/>
      <c r="I765" s="1234"/>
      <c r="J765" s="1234"/>
      <c r="K765" s="1234"/>
      <c r="L765" s="1234"/>
      <c r="M765" s="1234"/>
      <c r="N765" s="1234"/>
      <c r="O765" s="1234"/>
      <c r="P765" s="1234"/>
      <c r="Q765" s="1234"/>
      <c r="R765" s="1234"/>
      <c r="S765" s="1234"/>
      <c r="T765" s="1234"/>
      <c r="U765" s="1234"/>
      <c r="V765" s="1234"/>
      <c r="W765" s="1234"/>
      <c r="X765" s="1234"/>
      <c r="Y765" s="1234"/>
      <c r="Z765" s="1234"/>
    </row>
    <row r="766" spans="1:26" ht="14.5">
      <c r="A766" s="1234"/>
      <c r="B766" s="1234"/>
      <c r="C766" s="1234"/>
      <c r="D766" s="1234"/>
      <c r="E766" s="1234"/>
      <c r="F766" s="1234"/>
      <c r="G766" s="1234"/>
      <c r="H766" s="1234"/>
      <c r="I766" s="1234"/>
      <c r="J766" s="1234"/>
      <c r="K766" s="1234"/>
      <c r="L766" s="1234"/>
      <c r="M766" s="1234"/>
      <c r="N766" s="1234"/>
      <c r="O766" s="1234"/>
      <c r="P766" s="1234"/>
      <c r="Q766" s="1234"/>
      <c r="R766" s="1234"/>
      <c r="S766" s="1234"/>
      <c r="T766" s="1234"/>
      <c r="U766" s="1234"/>
      <c r="V766" s="1234"/>
      <c r="W766" s="1234"/>
      <c r="X766" s="1234"/>
      <c r="Y766" s="1234"/>
      <c r="Z766" s="1234"/>
    </row>
    <row r="767" spans="1:26" ht="14.5">
      <c r="A767" s="1234"/>
      <c r="B767" s="1234"/>
      <c r="C767" s="1234"/>
      <c r="D767" s="1234"/>
      <c r="E767" s="1234"/>
      <c r="F767" s="1234"/>
      <c r="G767" s="1234"/>
      <c r="H767" s="1234"/>
      <c r="I767" s="1234"/>
      <c r="J767" s="1234"/>
      <c r="K767" s="1234"/>
      <c r="L767" s="1234"/>
      <c r="M767" s="1234"/>
      <c r="N767" s="1234"/>
      <c r="O767" s="1234"/>
      <c r="P767" s="1234"/>
      <c r="Q767" s="1234"/>
      <c r="R767" s="1234"/>
      <c r="S767" s="1234"/>
      <c r="T767" s="1234"/>
      <c r="U767" s="1234"/>
      <c r="V767" s="1234"/>
      <c r="W767" s="1234"/>
      <c r="X767" s="1234"/>
      <c r="Y767" s="1234"/>
      <c r="Z767" s="1234"/>
    </row>
    <row r="768" spans="1:26" ht="14.5">
      <c r="A768" s="1234"/>
      <c r="B768" s="1234"/>
      <c r="C768" s="1234"/>
      <c r="D768" s="1234"/>
      <c r="E768" s="1234"/>
      <c r="F768" s="1234"/>
      <c r="G768" s="1234"/>
      <c r="H768" s="1234"/>
      <c r="I768" s="1234"/>
      <c r="J768" s="1234"/>
      <c r="K768" s="1234"/>
      <c r="L768" s="1234"/>
      <c r="M768" s="1234"/>
      <c r="N768" s="1234"/>
      <c r="O768" s="1234"/>
      <c r="P768" s="1234"/>
      <c r="Q768" s="1234"/>
      <c r="R768" s="1234"/>
      <c r="S768" s="1234"/>
      <c r="T768" s="1234"/>
      <c r="U768" s="1234"/>
      <c r="V768" s="1234"/>
      <c r="W768" s="1234"/>
      <c r="X768" s="1234"/>
      <c r="Y768" s="1234"/>
      <c r="Z768" s="1234"/>
    </row>
    <row r="769" spans="1:26" ht="14.5">
      <c r="A769" s="1234"/>
      <c r="B769" s="1234"/>
      <c r="C769" s="1234"/>
      <c r="D769" s="1234"/>
      <c r="E769" s="1234"/>
      <c r="F769" s="1234"/>
      <c r="G769" s="1234"/>
      <c r="H769" s="1234"/>
      <c r="I769" s="1234"/>
      <c r="J769" s="1234"/>
      <c r="K769" s="1234"/>
      <c r="L769" s="1234"/>
      <c r="M769" s="1234"/>
      <c r="N769" s="1234"/>
      <c r="O769" s="1234"/>
      <c r="P769" s="1234"/>
      <c r="Q769" s="1234"/>
      <c r="R769" s="1234"/>
      <c r="S769" s="1234"/>
      <c r="T769" s="1234"/>
      <c r="U769" s="1234"/>
      <c r="V769" s="1234"/>
      <c r="W769" s="1234"/>
      <c r="X769" s="1234"/>
      <c r="Y769" s="1234"/>
      <c r="Z769" s="1234"/>
    </row>
    <row r="770" spans="1:26" ht="14.5">
      <c r="A770" s="1234"/>
      <c r="B770" s="1234"/>
      <c r="C770" s="1234"/>
      <c r="D770" s="1234"/>
      <c r="E770" s="1234"/>
      <c r="F770" s="1234"/>
      <c r="G770" s="1234"/>
      <c r="H770" s="1234"/>
      <c r="I770" s="1234"/>
      <c r="J770" s="1234"/>
      <c r="K770" s="1234"/>
      <c r="L770" s="1234"/>
      <c r="M770" s="1234"/>
      <c r="N770" s="1234"/>
      <c r="O770" s="1234"/>
      <c r="P770" s="1234"/>
      <c r="Q770" s="1234"/>
      <c r="R770" s="1234"/>
      <c r="S770" s="1234"/>
      <c r="T770" s="1234"/>
      <c r="U770" s="1234"/>
      <c r="V770" s="1234"/>
      <c r="W770" s="1234"/>
      <c r="X770" s="1234"/>
      <c r="Y770" s="1234"/>
      <c r="Z770" s="1234"/>
    </row>
    <row r="771" spans="1:26" ht="14.5">
      <c r="A771" s="1234"/>
      <c r="B771" s="1234"/>
      <c r="C771" s="1234"/>
      <c r="D771" s="1234"/>
      <c r="E771" s="1234"/>
      <c r="F771" s="1234"/>
      <c r="G771" s="1234"/>
      <c r="H771" s="1234"/>
      <c r="I771" s="1234"/>
      <c r="J771" s="1234"/>
      <c r="K771" s="1234"/>
      <c r="L771" s="1234"/>
      <c r="M771" s="1234"/>
      <c r="N771" s="1234"/>
      <c r="O771" s="1234"/>
      <c r="P771" s="1234"/>
      <c r="Q771" s="1234"/>
      <c r="R771" s="1234"/>
      <c r="S771" s="1234"/>
      <c r="T771" s="1234"/>
      <c r="U771" s="1234"/>
      <c r="V771" s="1234"/>
      <c r="W771" s="1234"/>
      <c r="X771" s="1234"/>
      <c r="Y771" s="1234"/>
      <c r="Z771" s="1234"/>
    </row>
    <row r="772" spans="1:26" ht="14.5">
      <c r="A772" s="1234"/>
      <c r="B772" s="1234"/>
      <c r="C772" s="1234"/>
      <c r="D772" s="1234"/>
      <c r="E772" s="1234"/>
      <c r="F772" s="1234"/>
      <c r="G772" s="1234"/>
      <c r="H772" s="1234"/>
      <c r="I772" s="1234"/>
      <c r="J772" s="1234"/>
      <c r="K772" s="1234"/>
      <c r="L772" s="1234"/>
      <c r="M772" s="1234"/>
      <c r="N772" s="1234"/>
      <c r="O772" s="1234"/>
      <c r="P772" s="1234"/>
      <c r="Q772" s="1234"/>
      <c r="R772" s="1234"/>
      <c r="S772" s="1234"/>
      <c r="T772" s="1234"/>
      <c r="U772" s="1234"/>
      <c r="V772" s="1234"/>
      <c r="W772" s="1234"/>
      <c r="X772" s="1234"/>
      <c r="Y772" s="1234"/>
      <c r="Z772" s="1234"/>
    </row>
    <row r="773" spans="1:26" ht="14.5">
      <c r="A773" s="1234"/>
      <c r="B773" s="1234"/>
      <c r="C773" s="1234"/>
      <c r="D773" s="1234"/>
      <c r="E773" s="1234"/>
      <c r="F773" s="1234"/>
      <c r="G773" s="1234"/>
      <c r="H773" s="1234"/>
      <c r="I773" s="1234"/>
      <c r="J773" s="1234"/>
      <c r="K773" s="1234"/>
      <c r="L773" s="1234"/>
      <c r="M773" s="1234"/>
      <c r="N773" s="1234"/>
      <c r="O773" s="1234"/>
      <c r="P773" s="1234"/>
      <c r="Q773" s="1234"/>
      <c r="R773" s="1234"/>
      <c r="S773" s="1234"/>
      <c r="T773" s="1234"/>
      <c r="U773" s="1234"/>
      <c r="V773" s="1234"/>
      <c r="W773" s="1234"/>
      <c r="X773" s="1234"/>
      <c r="Y773" s="1234"/>
      <c r="Z773" s="1234"/>
    </row>
    <row r="774" spans="1:26" ht="14.5">
      <c r="A774" s="1234"/>
      <c r="B774" s="1234"/>
      <c r="C774" s="1234"/>
      <c r="D774" s="1234"/>
      <c r="E774" s="1234"/>
      <c r="F774" s="1234"/>
      <c r="G774" s="1234"/>
      <c r="H774" s="1234"/>
      <c r="I774" s="1234"/>
      <c r="J774" s="1234"/>
      <c r="K774" s="1234"/>
      <c r="L774" s="1234"/>
      <c r="M774" s="1234"/>
      <c r="N774" s="1234"/>
      <c r="O774" s="1234"/>
      <c r="P774" s="1234"/>
      <c r="Q774" s="1234"/>
      <c r="R774" s="1234"/>
      <c r="S774" s="1234"/>
      <c r="T774" s="1234"/>
      <c r="U774" s="1234"/>
      <c r="V774" s="1234"/>
      <c r="W774" s="1234"/>
      <c r="X774" s="1234"/>
      <c r="Y774" s="1234"/>
      <c r="Z774" s="1234"/>
    </row>
    <row r="775" spans="1:26" ht="14.5">
      <c r="A775" s="1234"/>
      <c r="B775" s="1234"/>
      <c r="C775" s="1234"/>
      <c r="D775" s="1234"/>
      <c r="E775" s="1234"/>
      <c r="F775" s="1234"/>
      <c r="G775" s="1234"/>
      <c r="H775" s="1234"/>
      <c r="I775" s="1234"/>
      <c r="J775" s="1234"/>
      <c r="K775" s="1234"/>
      <c r="L775" s="1234"/>
      <c r="M775" s="1234"/>
      <c r="N775" s="1234"/>
      <c r="O775" s="1234"/>
      <c r="P775" s="1234"/>
      <c r="Q775" s="1234"/>
      <c r="R775" s="1234"/>
      <c r="S775" s="1234"/>
      <c r="T775" s="1234"/>
      <c r="U775" s="1234"/>
      <c r="V775" s="1234"/>
      <c r="W775" s="1234"/>
      <c r="X775" s="1234"/>
      <c r="Y775" s="1234"/>
      <c r="Z775" s="1234"/>
    </row>
    <row r="776" spans="1:26" ht="14.5">
      <c r="A776" s="1234"/>
      <c r="B776" s="1234"/>
      <c r="C776" s="1234"/>
      <c r="D776" s="1234"/>
      <c r="E776" s="1234"/>
      <c r="F776" s="1234"/>
      <c r="G776" s="1234"/>
      <c r="H776" s="1234"/>
      <c r="I776" s="1234"/>
      <c r="J776" s="1234"/>
      <c r="K776" s="1234"/>
      <c r="L776" s="1234"/>
      <c r="M776" s="1234"/>
      <c r="N776" s="1234"/>
      <c r="O776" s="1234"/>
      <c r="P776" s="1234"/>
      <c r="Q776" s="1234"/>
      <c r="R776" s="1234"/>
      <c r="S776" s="1234"/>
      <c r="T776" s="1234"/>
      <c r="U776" s="1234"/>
      <c r="V776" s="1234"/>
      <c r="W776" s="1234"/>
      <c r="X776" s="1234"/>
      <c r="Y776" s="1234"/>
      <c r="Z776" s="1234"/>
    </row>
    <row r="777" spans="1:26" ht="14.5">
      <c r="A777" s="1234"/>
      <c r="B777" s="1234"/>
      <c r="C777" s="1234"/>
      <c r="D777" s="1234"/>
      <c r="E777" s="1234"/>
      <c r="F777" s="1234"/>
      <c r="G777" s="1234"/>
      <c r="H777" s="1234"/>
      <c r="I777" s="1234"/>
      <c r="J777" s="1234"/>
      <c r="K777" s="1234"/>
      <c r="L777" s="1234"/>
      <c r="M777" s="1234"/>
      <c r="N777" s="1234"/>
      <c r="O777" s="1234"/>
      <c r="P777" s="1234"/>
      <c r="Q777" s="1234"/>
      <c r="R777" s="1234"/>
      <c r="S777" s="1234"/>
      <c r="T777" s="1234"/>
      <c r="U777" s="1234"/>
      <c r="V777" s="1234"/>
      <c r="W777" s="1234"/>
      <c r="X777" s="1234"/>
      <c r="Y777" s="1234"/>
      <c r="Z777" s="1234"/>
    </row>
    <row r="778" spans="1:26" ht="14.5">
      <c r="A778" s="1234"/>
      <c r="B778" s="1234"/>
      <c r="C778" s="1234"/>
      <c r="D778" s="1234"/>
      <c r="E778" s="1234"/>
      <c r="F778" s="1234"/>
      <c r="G778" s="1234"/>
      <c r="H778" s="1234"/>
      <c r="I778" s="1234"/>
      <c r="J778" s="1234"/>
      <c r="K778" s="1234"/>
      <c r="L778" s="1234"/>
      <c r="M778" s="1234"/>
      <c r="N778" s="1234"/>
      <c r="O778" s="1234"/>
      <c r="P778" s="1234"/>
      <c r="Q778" s="1234"/>
      <c r="R778" s="1234"/>
      <c r="S778" s="1234"/>
      <c r="T778" s="1234"/>
      <c r="U778" s="1234"/>
      <c r="V778" s="1234"/>
      <c r="W778" s="1234"/>
      <c r="X778" s="1234"/>
      <c r="Y778" s="1234"/>
      <c r="Z778" s="1234"/>
    </row>
    <row r="779" spans="1:26" ht="14.5">
      <c r="A779" s="1234"/>
      <c r="B779" s="1234"/>
      <c r="C779" s="1234"/>
      <c r="D779" s="1234"/>
      <c r="E779" s="1234"/>
      <c r="F779" s="1234"/>
      <c r="G779" s="1234"/>
      <c r="H779" s="1234"/>
      <c r="I779" s="1234"/>
      <c r="J779" s="1234"/>
      <c r="K779" s="1234"/>
      <c r="L779" s="1234"/>
      <c r="M779" s="1234"/>
      <c r="N779" s="1234"/>
      <c r="O779" s="1234"/>
      <c r="P779" s="1234"/>
      <c r="Q779" s="1234"/>
      <c r="R779" s="1234"/>
      <c r="S779" s="1234"/>
      <c r="T779" s="1234"/>
      <c r="U779" s="1234"/>
      <c r="V779" s="1234"/>
      <c r="W779" s="1234"/>
      <c r="X779" s="1234"/>
      <c r="Y779" s="1234"/>
      <c r="Z779" s="1234"/>
    </row>
    <row r="780" spans="1:26" ht="14.5">
      <c r="A780" s="1234"/>
      <c r="B780" s="1234"/>
      <c r="C780" s="1234"/>
      <c r="D780" s="1234"/>
      <c r="E780" s="1234"/>
      <c r="F780" s="1234"/>
      <c r="G780" s="1234"/>
      <c r="H780" s="1234"/>
      <c r="I780" s="1234"/>
      <c r="J780" s="1234"/>
      <c r="K780" s="1234"/>
      <c r="L780" s="1234"/>
      <c r="M780" s="1234"/>
      <c r="N780" s="1234"/>
      <c r="O780" s="1234"/>
      <c r="P780" s="1234"/>
      <c r="Q780" s="1234"/>
      <c r="R780" s="1234"/>
      <c r="S780" s="1234"/>
      <c r="T780" s="1234"/>
      <c r="U780" s="1234"/>
      <c r="V780" s="1234"/>
      <c r="W780" s="1234"/>
      <c r="X780" s="1234"/>
      <c r="Y780" s="1234"/>
      <c r="Z780" s="1234"/>
    </row>
    <row r="781" spans="1:26" ht="14.5">
      <c r="A781" s="1234"/>
      <c r="B781" s="1234"/>
      <c r="C781" s="1234"/>
      <c r="D781" s="1234"/>
      <c r="E781" s="1234"/>
      <c r="F781" s="1234"/>
      <c r="G781" s="1234"/>
      <c r="H781" s="1234"/>
      <c r="I781" s="1234"/>
      <c r="J781" s="1234"/>
      <c r="K781" s="1234"/>
      <c r="L781" s="1234"/>
      <c r="M781" s="1234"/>
      <c r="N781" s="1234"/>
      <c r="O781" s="1234"/>
      <c r="P781" s="1234"/>
      <c r="Q781" s="1234"/>
      <c r="R781" s="1234"/>
      <c r="S781" s="1234"/>
      <c r="T781" s="1234"/>
      <c r="U781" s="1234"/>
      <c r="V781" s="1234"/>
      <c r="W781" s="1234"/>
      <c r="X781" s="1234"/>
      <c r="Y781" s="1234"/>
      <c r="Z781" s="1234"/>
    </row>
    <row r="782" spans="1:26" ht="14.5">
      <c r="A782" s="1234"/>
      <c r="B782" s="1234"/>
      <c r="C782" s="1234"/>
      <c r="D782" s="1234"/>
      <c r="E782" s="1234"/>
      <c r="F782" s="1234"/>
      <c r="G782" s="1234"/>
      <c r="H782" s="1234"/>
      <c r="I782" s="1234"/>
      <c r="J782" s="1234"/>
      <c r="K782" s="1234"/>
      <c r="L782" s="1234"/>
      <c r="M782" s="1234"/>
      <c r="N782" s="1234"/>
      <c r="O782" s="1234"/>
      <c r="P782" s="1234"/>
      <c r="Q782" s="1234"/>
      <c r="R782" s="1234"/>
      <c r="S782" s="1234"/>
      <c r="T782" s="1234"/>
      <c r="U782" s="1234"/>
      <c r="V782" s="1234"/>
      <c r="W782" s="1234"/>
      <c r="X782" s="1234"/>
      <c r="Y782" s="1234"/>
      <c r="Z782" s="1234"/>
    </row>
    <row r="783" spans="1:26" ht="14.5">
      <c r="A783" s="1234"/>
      <c r="B783" s="1234"/>
      <c r="C783" s="1234"/>
      <c r="D783" s="1234"/>
      <c r="E783" s="1234"/>
      <c r="F783" s="1234"/>
      <c r="G783" s="1234"/>
      <c r="H783" s="1234"/>
      <c r="I783" s="1234"/>
      <c r="J783" s="1234"/>
      <c r="K783" s="1234"/>
      <c r="L783" s="1234"/>
      <c r="M783" s="1234"/>
      <c r="N783" s="1234"/>
      <c r="O783" s="1234"/>
      <c r="P783" s="1234"/>
      <c r="Q783" s="1234"/>
      <c r="R783" s="1234"/>
      <c r="S783" s="1234"/>
      <c r="T783" s="1234"/>
      <c r="U783" s="1234"/>
      <c r="V783" s="1234"/>
      <c r="W783" s="1234"/>
      <c r="X783" s="1234"/>
      <c r="Y783" s="1234"/>
      <c r="Z783" s="1234"/>
    </row>
    <row r="784" spans="1:26" ht="14.5">
      <c r="A784" s="1234"/>
      <c r="B784" s="1234"/>
      <c r="C784" s="1234"/>
      <c r="D784" s="1234"/>
      <c r="E784" s="1234"/>
      <c r="F784" s="1234"/>
      <c r="G784" s="1234"/>
      <c r="H784" s="1234"/>
      <c r="I784" s="1234"/>
      <c r="J784" s="1234"/>
      <c r="K784" s="1234"/>
      <c r="L784" s="1234"/>
      <c r="M784" s="1234"/>
      <c r="N784" s="1234"/>
      <c r="O784" s="1234"/>
      <c r="P784" s="1234"/>
      <c r="Q784" s="1234"/>
      <c r="R784" s="1234"/>
      <c r="S784" s="1234"/>
      <c r="T784" s="1234"/>
      <c r="U784" s="1234"/>
      <c r="V784" s="1234"/>
      <c r="W784" s="1234"/>
      <c r="X784" s="1234"/>
      <c r="Y784" s="1234"/>
      <c r="Z784" s="1234"/>
    </row>
    <row r="785" spans="1:26" ht="14.5">
      <c r="A785" s="1234"/>
      <c r="B785" s="1234"/>
      <c r="C785" s="1234"/>
      <c r="D785" s="1234"/>
      <c r="E785" s="1234"/>
      <c r="F785" s="1234"/>
      <c r="G785" s="1234"/>
      <c r="H785" s="1234"/>
      <c r="I785" s="1234"/>
      <c r="J785" s="1234"/>
      <c r="K785" s="1234"/>
      <c r="L785" s="1234"/>
      <c r="M785" s="1234"/>
      <c r="N785" s="1234"/>
      <c r="O785" s="1234"/>
      <c r="P785" s="1234"/>
      <c r="Q785" s="1234"/>
      <c r="R785" s="1234"/>
      <c r="S785" s="1234"/>
      <c r="T785" s="1234"/>
      <c r="U785" s="1234"/>
      <c r="V785" s="1234"/>
      <c r="W785" s="1234"/>
      <c r="X785" s="1234"/>
      <c r="Y785" s="1234"/>
      <c r="Z785" s="1234"/>
    </row>
    <row r="786" spans="1:26" ht="14.5">
      <c r="A786" s="1234"/>
      <c r="B786" s="1234"/>
      <c r="C786" s="1234"/>
      <c r="D786" s="1234"/>
      <c r="E786" s="1234"/>
      <c r="F786" s="1234"/>
      <c r="G786" s="1234"/>
      <c r="H786" s="1234"/>
      <c r="I786" s="1234"/>
      <c r="J786" s="1234"/>
      <c r="K786" s="1234"/>
      <c r="L786" s="1234"/>
      <c r="M786" s="1234"/>
      <c r="N786" s="1234"/>
      <c r="O786" s="1234"/>
      <c r="P786" s="1234"/>
      <c r="Q786" s="1234"/>
      <c r="R786" s="1234"/>
      <c r="S786" s="1234"/>
      <c r="T786" s="1234"/>
      <c r="U786" s="1234"/>
      <c r="V786" s="1234"/>
      <c r="W786" s="1234"/>
      <c r="X786" s="1234"/>
      <c r="Y786" s="1234"/>
      <c r="Z786" s="1234"/>
    </row>
    <row r="787" spans="1:26" ht="14.5">
      <c r="A787" s="1234"/>
      <c r="B787" s="1234"/>
      <c r="C787" s="1234"/>
      <c r="D787" s="1234"/>
      <c r="E787" s="1234"/>
      <c r="F787" s="1234"/>
      <c r="G787" s="1234"/>
      <c r="H787" s="1234"/>
      <c r="I787" s="1234"/>
      <c r="J787" s="1234"/>
      <c r="K787" s="1234"/>
      <c r="L787" s="1234"/>
      <c r="M787" s="1234"/>
      <c r="N787" s="1234"/>
      <c r="O787" s="1234"/>
      <c r="P787" s="1234"/>
      <c r="Q787" s="1234"/>
      <c r="R787" s="1234"/>
      <c r="S787" s="1234"/>
      <c r="T787" s="1234"/>
      <c r="U787" s="1234"/>
      <c r="V787" s="1234"/>
      <c r="W787" s="1234"/>
      <c r="X787" s="1234"/>
      <c r="Y787" s="1234"/>
      <c r="Z787" s="1234"/>
    </row>
    <row r="788" spans="1:26" ht="14.5">
      <c r="A788" s="1234"/>
      <c r="B788" s="1234"/>
      <c r="C788" s="1234"/>
      <c r="D788" s="1234"/>
      <c r="E788" s="1234"/>
      <c r="F788" s="1234"/>
      <c r="G788" s="1234"/>
      <c r="H788" s="1234"/>
      <c r="I788" s="1234"/>
      <c r="J788" s="1234"/>
      <c r="K788" s="1234"/>
      <c r="L788" s="1234"/>
      <c r="M788" s="1234"/>
      <c r="N788" s="1234"/>
      <c r="O788" s="1234"/>
      <c r="P788" s="1234"/>
      <c r="Q788" s="1234"/>
      <c r="R788" s="1234"/>
      <c r="S788" s="1234"/>
      <c r="T788" s="1234"/>
      <c r="U788" s="1234"/>
      <c r="V788" s="1234"/>
      <c r="W788" s="1234"/>
      <c r="X788" s="1234"/>
      <c r="Y788" s="1234"/>
      <c r="Z788" s="1234"/>
    </row>
    <row r="789" spans="1:26" ht="14.5">
      <c r="A789" s="1234"/>
      <c r="B789" s="1234"/>
      <c r="C789" s="1234"/>
      <c r="D789" s="1234"/>
      <c r="E789" s="1234"/>
      <c r="F789" s="1234"/>
      <c r="G789" s="1234"/>
      <c r="H789" s="1234"/>
      <c r="I789" s="1234"/>
      <c r="J789" s="1234"/>
      <c r="K789" s="1234"/>
      <c r="L789" s="1234"/>
      <c r="M789" s="1234"/>
      <c r="N789" s="1234"/>
      <c r="O789" s="1234"/>
      <c r="P789" s="1234"/>
      <c r="Q789" s="1234"/>
      <c r="R789" s="1234"/>
      <c r="S789" s="1234"/>
      <c r="T789" s="1234"/>
      <c r="U789" s="1234"/>
      <c r="V789" s="1234"/>
      <c r="W789" s="1234"/>
      <c r="X789" s="1234"/>
      <c r="Y789" s="1234"/>
      <c r="Z789" s="1234"/>
    </row>
    <row r="790" spans="1:26" ht="14.5">
      <c r="A790" s="1234"/>
      <c r="B790" s="1234"/>
      <c r="C790" s="1234"/>
      <c r="D790" s="1234"/>
      <c r="E790" s="1234"/>
      <c r="F790" s="1234"/>
      <c r="G790" s="1234"/>
      <c r="H790" s="1234"/>
      <c r="I790" s="1234"/>
      <c r="J790" s="1234"/>
      <c r="K790" s="1234"/>
      <c r="L790" s="1234"/>
      <c r="M790" s="1234"/>
      <c r="N790" s="1234"/>
      <c r="O790" s="1234"/>
      <c r="P790" s="1234"/>
      <c r="Q790" s="1234"/>
      <c r="R790" s="1234"/>
      <c r="S790" s="1234"/>
      <c r="T790" s="1234"/>
      <c r="U790" s="1234"/>
      <c r="V790" s="1234"/>
      <c r="W790" s="1234"/>
      <c r="X790" s="1234"/>
      <c r="Y790" s="1234"/>
      <c r="Z790" s="1234"/>
    </row>
    <row r="791" spans="1:26" ht="14.5">
      <c r="A791" s="1234"/>
      <c r="B791" s="1234"/>
      <c r="C791" s="1234"/>
      <c r="D791" s="1234"/>
      <c r="E791" s="1234"/>
      <c r="F791" s="1234"/>
      <c r="G791" s="1234"/>
      <c r="H791" s="1234"/>
      <c r="I791" s="1234"/>
      <c r="J791" s="1234"/>
      <c r="K791" s="1234"/>
      <c r="L791" s="1234"/>
      <c r="M791" s="1234"/>
      <c r="N791" s="1234"/>
      <c r="O791" s="1234"/>
      <c r="P791" s="1234"/>
      <c r="Q791" s="1234"/>
      <c r="R791" s="1234"/>
      <c r="S791" s="1234"/>
      <c r="T791" s="1234"/>
      <c r="U791" s="1234"/>
      <c r="V791" s="1234"/>
      <c r="W791" s="1234"/>
      <c r="X791" s="1234"/>
      <c r="Y791" s="1234"/>
      <c r="Z791" s="1234"/>
    </row>
    <row r="792" spans="1:26" ht="14.5">
      <c r="A792" s="1234"/>
      <c r="B792" s="1234"/>
      <c r="C792" s="1234"/>
      <c r="D792" s="1234"/>
      <c r="E792" s="1234"/>
      <c r="F792" s="1234"/>
      <c r="G792" s="1234"/>
      <c r="H792" s="1234"/>
      <c r="I792" s="1234"/>
      <c r="J792" s="1234"/>
      <c r="K792" s="1234"/>
      <c r="L792" s="1234"/>
      <c r="M792" s="1234"/>
      <c r="N792" s="1234"/>
      <c r="O792" s="1234"/>
      <c r="P792" s="1234"/>
      <c r="Q792" s="1234"/>
      <c r="R792" s="1234"/>
      <c r="S792" s="1234"/>
      <c r="T792" s="1234"/>
      <c r="U792" s="1234"/>
      <c r="V792" s="1234"/>
      <c r="W792" s="1234"/>
      <c r="X792" s="1234"/>
      <c r="Y792" s="1234"/>
      <c r="Z792" s="1234"/>
    </row>
    <row r="793" spans="1:26" ht="14.5">
      <c r="A793" s="1234"/>
      <c r="B793" s="1234"/>
      <c r="C793" s="1234"/>
      <c r="D793" s="1234"/>
      <c r="E793" s="1234"/>
      <c r="F793" s="1234"/>
      <c r="G793" s="1234"/>
      <c r="H793" s="1234"/>
      <c r="I793" s="1234"/>
      <c r="J793" s="1234"/>
      <c r="K793" s="1234"/>
      <c r="L793" s="1234"/>
      <c r="M793" s="1234"/>
      <c r="N793" s="1234"/>
      <c r="O793" s="1234"/>
      <c r="P793" s="1234"/>
      <c r="Q793" s="1234"/>
      <c r="R793" s="1234"/>
      <c r="S793" s="1234"/>
      <c r="T793" s="1234"/>
      <c r="U793" s="1234"/>
      <c r="V793" s="1234"/>
      <c r="W793" s="1234"/>
      <c r="X793" s="1234"/>
      <c r="Y793" s="1234"/>
      <c r="Z793" s="1234"/>
    </row>
    <row r="794" spans="1:26" ht="14.5">
      <c r="A794" s="1234"/>
      <c r="B794" s="1234"/>
      <c r="C794" s="1234"/>
      <c r="D794" s="1234"/>
      <c r="E794" s="1234"/>
      <c r="F794" s="1234"/>
      <c r="G794" s="1234"/>
      <c r="H794" s="1234"/>
      <c r="I794" s="1234"/>
      <c r="J794" s="1234"/>
      <c r="K794" s="1234"/>
      <c r="L794" s="1234"/>
      <c r="M794" s="1234"/>
      <c r="N794" s="1234"/>
      <c r="O794" s="1234"/>
      <c r="P794" s="1234"/>
      <c r="Q794" s="1234"/>
      <c r="R794" s="1234"/>
      <c r="S794" s="1234"/>
      <c r="T794" s="1234"/>
      <c r="U794" s="1234"/>
      <c r="V794" s="1234"/>
      <c r="W794" s="1234"/>
      <c r="X794" s="1234"/>
      <c r="Y794" s="1234"/>
      <c r="Z794" s="1234"/>
    </row>
    <row r="795" spans="1:26" ht="14.5">
      <c r="A795" s="1234"/>
      <c r="B795" s="1234"/>
      <c r="C795" s="1234"/>
      <c r="D795" s="1234"/>
      <c r="E795" s="1234"/>
      <c r="F795" s="1234"/>
      <c r="G795" s="1234"/>
      <c r="H795" s="1234"/>
      <c r="I795" s="1234"/>
      <c r="J795" s="1234"/>
      <c r="K795" s="1234"/>
      <c r="L795" s="1234"/>
      <c r="M795" s="1234"/>
      <c r="N795" s="1234"/>
      <c r="O795" s="1234"/>
      <c r="P795" s="1234"/>
      <c r="Q795" s="1234"/>
      <c r="R795" s="1234"/>
      <c r="S795" s="1234"/>
      <c r="T795" s="1234"/>
      <c r="U795" s="1234"/>
      <c r="V795" s="1234"/>
      <c r="W795" s="1234"/>
      <c r="X795" s="1234"/>
      <c r="Y795" s="1234"/>
      <c r="Z795" s="1234"/>
    </row>
    <row r="796" spans="1:26" ht="14.5">
      <c r="A796" s="1234"/>
      <c r="B796" s="1234"/>
      <c r="C796" s="1234"/>
      <c r="D796" s="1234"/>
      <c r="E796" s="1234"/>
      <c r="F796" s="1234"/>
      <c r="G796" s="1234"/>
      <c r="H796" s="1234"/>
      <c r="I796" s="1234"/>
      <c r="J796" s="1234"/>
      <c r="K796" s="1234"/>
      <c r="L796" s="1234"/>
      <c r="M796" s="1234"/>
      <c r="N796" s="1234"/>
      <c r="O796" s="1234"/>
      <c r="P796" s="1234"/>
      <c r="Q796" s="1234"/>
      <c r="R796" s="1234"/>
      <c r="S796" s="1234"/>
      <c r="T796" s="1234"/>
      <c r="U796" s="1234"/>
      <c r="V796" s="1234"/>
      <c r="W796" s="1234"/>
      <c r="X796" s="1234"/>
      <c r="Y796" s="1234"/>
      <c r="Z796" s="1234"/>
    </row>
    <row r="797" spans="1:26" ht="14.5">
      <c r="A797" s="1234"/>
      <c r="B797" s="1234"/>
      <c r="C797" s="1234"/>
      <c r="D797" s="1234"/>
      <c r="E797" s="1234"/>
      <c r="F797" s="1234"/>
      <c r="G797" s="1234"/>
      <c r="H797" s="1234"/>
      <c r="I797" s="1234"/>
      <c r="J797" s="1234"/>
      <c r="K797" s="1234"/>
      <c r="L797" s="1234"/>
      <c r="M797" s="1234"/>
      <c r="N797" s="1234"/>
      <c r="O797" s="1234"/>
      <c r="P797" s="1234"/>
      <c r="Q797" s="1234"/>
      <c r="R797" s="1234"/>
      <c r="S797" s="1234"/>
      <c r="T797" s="1234"/>
      <c r="U797" s="1234"/>
      <c r="V797" s="1234"/>
      <c r="W797" s="1234"/>
      <c r="X797" s="1234"/>
      <c r="Y797" s="1234"/>
      <c r="Z797" s="1234"/>
    </row>
    <row r="798" spans="1:26" ht="14.5">
      <c r="A798" s="1234"/>
      <c r="B798" s="1234"/>
      <c r="C798" s="1234"/>
      <c r="D798" s="1234"/>
      <c r="E798" s="1234"/>
      <c r="F798" s="1234"/>
      <c r="G798" s="1234"/>
      <c r="H798" s="1234"/>
      <c r="I798" s="1234"/>
      <c r="J798" s="1234"/>
      <c r="K798" s="1234"/>
      <c r="L798" s="1234"/>
      <c r="M798" s="1234"/>
      <c r="N798" s="1234"/>
      <c r="O798" s="1234"/>
      <c r="P798" s="1234"/>
      <c r="Q798" s="1234"/>
      <c r="R798" s="1234"/>
      <c r="S798" s="1234"/>
      <c r="T798" s="1234"/>
      <c r="U798" s="1234"/>
      <c r="V798" s="1234"/>
      <c r="W798" s="1234"/>
      <c r="X798" s="1234"/>
      <c r="Y798" s="1234"/>
      <c r="Z798" s="1234"/>
    </row>
    <row r="799" spans="1:26" ht="14.5">
      <c r="A799" s="1234"/>
      <c r="B799" s="1234"/>
      <c r="C799" s="1234"/>
      <c r="D799" s="1234"/>
      <c r="E799" s="1234"/>
      <c r="F799" s="1234"/>
      <c r="G799" s="1234"/>
      <c r="H799" s="1234"/>
      <c r="I799" s="1234"/>
      <c r="J799" s="1234"/>
      <c r="K799" s="1234"/>
      <c r="L799" s="1234"/>
      <c r="M799" s="1234"/>
      <c r="N799" s="1234"/>
      <c r="O799" s="1234"/>
      <c r="P799" s="1234"/>
      <c r="Q799" s="1234"/>
      <c r="R799" s="1234"/>
      <c r="S799" s="1234"/>
      <c r="T799" s="1234"/>
      <c r="U799" s="1234"/>
      <c r="V799" s="1234"/>
      <c r="W799" s="1234"/>
      <c r="X799" s="1234"/>
      <c r="Y799" s="1234"/>
      <c r="Z799" s="1234"/>
    </row>
    <row r="800" spans="1:26" ht="14.5">
      <c r="A800" s="1234"/>
      <c r="B800" s="1234"/>
      <c r="C800" s="1234"/>
      <c r="D800" s="1234"/>
      <c r="E800" s="1234"/>
      <c r="F800" s="1234"/>
      <c r="G800" s="1234"/>
      <c r="H800" s="1234"/>
      <c r="I800" s="1234"/>
      <c r="J800" s="1234"/>
      <c r="K800" s="1234"/>
      <c r="L800" s="1234"/>
      <c r="M800" s="1234"/>
      <c r="N800" s="1234"/>
      <c r="O800" s="1234"/>
      <c r="P800" s="1234"/>
      <c r="Q800" s="1234"/>
      <c r="R800" s="1234"/>
      <c r="S800" s="1234"/>
      <c r="T800" s="1234"/>
      <c r="U800" s="1234"/>
      <c r="V800" s="1234"/>
      <c r="W800" s="1234"/>
      <c r="X800" s="1234"/>
      <c r="Y800" s="1234"/>
      <c r="Z800" s="1234"/>
    </row>
    <row r="801" spans="1:26" ht="14.5">
      <c r="A801" s="1234"/>
      <c r="B801" s="1234"/>
      <c r="C801" s="1234"/>
      <c r="D801" s="1234"/>
      <c r="E801" s="1234"/>
      <c r="F801" s="1234"/>
      <c r="G801" s="1234"/>
      <c r="H801" s="1234"/>
      <c r="I801" s="1234"/>
      <c r="J801" s="1234"/>
      <c r="K801" s="1234"/>
      <c r="L801" s="1234"/>
      <c r="M801" s="1234"/>
      <c r="N801" s="1234"/>
      <c r="O801" s="1234"/>
      <c r="P801" s="1234"/>
      <c r="Q801" s="1234"/>
      <c r="R801" s="1234"/>
      <c r="S801" s="1234"/>
      <c r="T801" s="1234"/>
      <c r="U801" s="1234"/>
      <c r="V801" s="1234"/>
      <c r="W801" s="1234"/>
      <c r="X801" s="1234"/>
      <c r="Y801" s="1234"/>
      <c r="Z801" s="1234"/>
    </row>
    <row r="802" spans="1:26" ht="14.5">
      <c r="A802" s="1234"/>
      <c r="B802" s="1234"/>
      <c r="C802" s="1234"/>
      <c r="D802" s="1234"/>
      <c r="E802" s="1234"/>
      <c r="F802" s="1234"/>
      <c r="G802" s="1234"/>
      <c r="H802" s="1234"/>
      <c r="I802" s="1234"/>
      <c r="J802" s="1234"/>
      <c r="K802" s="1234"/>
      <c r="L802" s="1234"/>
      <c r="M802" s="1234"/>
      <c r="N802" s="1234"/>
      <c r="O802" s="1234"/>
      <c r="P802" s="1234"/>
      <c r="Q802" s="1234"/>
      <c r="R802" s="1234"/>
      <c r="S802" s="1234"/>
      <c r="T802" s="1234"/>
      <c r="U802" s="1234"/>
      <c r="V802" s="1234"/>
      <c r="W802" s="1234"/>
      <c r="X802" s="1234"/>
      <c r="Y802" s="1234"/>
      <c r="Z802" s="1234"/>
    </row>
    <row r="803" spans="1:26" ht="14.5">
      <c r="A803" s="1234"/>
      <c r="B803" s="1234"/>
      <c r="C803" s="1234"/>
      <c r="D803" s="1234"/>
      <c r="E803" s="1234"/>
      <c r="F803" s="1234"/>
      <c r="G803" s="1234"/>
      <c r="H803" s="1234"/>
      <c r="I803" s="1234"/>
      <c r="J803" s="1234"/>
      <c r="K803" s="1234"/>
      <c r="L803" s="1234"/>
      <c r="M803" s="1234"/>
      <c r="N803" s="1234"/>
      <c r="O803" s="1234"/>
      <c r="P803" s="1234"/>
      <c r="Q803" s="1234"/>
      <c r="R803" s="1234"/>
      <c r="S803" s="1234"/>
      <c r="T803" s="1234"/>
      <c r="U803" s="1234"/>
      <c r="V803" s="1234"/>
      <c r="W803" s="1234"/>
      <c r="X803" s="1234"/>
      <c r="Y803" s="1234"/>
      <c r="Z803" s="1234"/>
    </row>
    <row r="804" spans="1:26" ht="14.5">
      <c r="A804" s="1234"/>
      <c r="B804" s="1234"/>
      <c r="C804" s="1234"/>
      <c r="D804" s="1234"/>
      <c r="E804" s="1234"/>
      <c r="F804" s="1234"/>
      <c r="G804" s="1234"/>
      <c r="H804" s="1234"/>
      <c r="I804" s="1234"/>
      <c r="J804" s="1234"/>
      <c r="K804" s="1234"/>
      <c r="L804" s="1234"/>
      <c r="M804" s="1234"/>
      <c r="N804" s="1234"/>
      <c r="O804" s="1234"/>
      <c r="P804" s="1234"/>
      <c r="Q804" s="1234"/>
      <c r="R804" s="1234"/>
      <c r="S804" s="1234"/>
      <c r="T804" s="1234"/>
      <c r="U804" s="1234"/>
      <c r="V804" s="1234"/>
      <c r="W804" s="1234"/>
      <c r="X804" s="1234"/>
      <c r="Y804" s="1234"/>
      <c r="Z804" s="1234"/>
    </row>
    <row r="805" spans="1:26" ht="14.5">
      <c r="A805" s="1234"/>
      <c r="B805" s="1234"/>
      <c r="C805" s="1234"/>
      <c r="D805" s="1234"/>
      <c r="E805" s="1234"/>
      <c r="F805" s="1234"/>
      <c r="G805" s="1234"/>
      <c r="H805" s="1234"/>
      <c r="I805" s="1234"/>
      <c r="J805" s="1234"/>
      <c r="K805" s="1234"/>
      <c r="L805" s="1234"/>
      <c r="M805" s="1234"/>
      <c r="N805" s="1234"/>
      <c r="O805" s="1234"/>
      <c r="P805" s="1234"/>
      <c r="Q805" s="1234"/>
      <c r="R805" s="1234"/>
      <c r="S805" s="1234"/>
      <c r="T805" s="1234"/>
      <c r="U805" s="1234"/>
      <c r="V805" s="1234"/>
      <c r="W805" s="1234"/>
      <c r="X805" s="1234"/>
      <c r="Y805" s="1234"/>
      <c r="Z805" s="1234"/>
    </row>
    <row r="806" spans="1:26" ht="14.5">
      <c r="A806" s="1234"/>
      <c r="B806" s="1234"/>
      <c r="C806" s="1234"/>
      <c r="D806" s="1234"/>
      <c r="E806" s="1234"/>
      <c r="F806" s="1234"/>
      <c r="G806" s="1234"/>
      <c r="H806" s="1234"/>
      <c r="I806" s="1234"/>
      <c r="J806" s="1234"/>
      <c r="K806" s="1234"/>
      <c r="L806" s="1234"/>
      <c r="M806" s="1234"/>
      <c r="N806" s="1234"/>
      <c r="O806" s="1234"/>
      <c r="P806" s="1234"/>
      <c r="Q806" s="1234"/>
      <c r="R806" s="1234"/>
      <c r="S806" s="1234"/>
      <c r="T806" s="1234"/>
      <c r="U806" s="1234"/>
      <c r="V806" s="1234"/>
      <c r="W806" s="1234"/>
      <c r="X806" s="1234"/>
      <c r="Y806" s="1234"/>
      <c r="Z806" s="1234"/>
    </row>
    <row r="807" spans="1:26" ht="14.5">
      <c r="A807" s="1234"/>
      <c r="B807" s="1234"/>
      <c r="C807" s="1234"/>
      <c r="D807" s="1234"/>
      <c r="E807" s="1234"/>
      <c r="F807" s="1234"/>
      <c r="G807" s="1234"/>
      <c r="H807" s="1234"/>
      <c r="I807" s="1234"/>
      <c r="J807" s="1234"/>
      <c r="K807" s="1234"/>
      <c r="L807" s="1234"/>
      <c r="M807" s="1234"/>
      <c r="N807" s="1234"/>
      <c r="O807" s="1234"/>
      <c r="P807" s="1234"/>
      <c r="Q807" s="1234"/>
      <c r="R807" s="1234"/>
      <c r="S807" s="1234"/>
      <c r="T807" s="1234"/>
      <c r="U807" s="1234"/>
      <c r="V807" s="1234"/>
      <c r="W807" s="1234"/>
      <c r="X807" s="1234"/>
      <c r="Y807" s="1234"/>
      <c r="Z807" s="1234"/>
    </row>
    <row r="808" spans="1:26" ht="14.5">
      <c r="A808" s="1234"/>
      <c r="B808" s="1234"/>
      <c r="C808" s="1234"/>
      <c r="D808" s="1234"/>
      <c r="E808" s="1234"/>
      <c r="F808" s="1234"/>
      <c r="G808" s="1234"/>
      <c r="H808" s="1234"/>
      <c r="I808" s="1234"/>
      <c r="J808" s="1234"/>
      <c r="K808" s="1234"/>
      <c r="L808" s="1234"/>
      <c r="M808" s="1234"/>
      <c r="N808" s="1234"/>
      <c r="O808" s="1234"/>
      <c r="P808" s="1234"/>
      <c r="Q808" s="1234"/>
      <c r="R808" s="1234"/>
      <c r="S808" s="1234"/>
      <c r="T808" s="1234"/>
      <c r="U808" s="1234"/>
      <c r="V808" s="1234"/>
      <c r="W808" s="1234"/>
      <c r="X808" s="1234"/>
      <c r="Y808" s="1234"/>
      <c r="Z808" s="1234"/>
    </row>
    <row r="809" spans="1:26" ht="14.5">
      <c r="A809" s="1234"/>
      <c r="B809" s="1234"/>
      <c r="C809" s="1234"/>
      <c r="D809" s="1234"/>
      <c r="E809" s="1234"/>
      <c r="F809" s="1234"/>
      <c r="G809" s="1234"/>
      <c r="H809" s="1234"/>
      <c r="I809" s="1234"/>
      <c r="J809" s="1234"/>
      <c r="K809" s="1234"/>
      <c r="L809" s="1234"/>
      <c r="M809" s="1234"/>
      <c r="N809" s="1234"/>
      <c r="O809" s="1234"/>
      <c r="P809" s="1234"/>
      <c r="Q809" s="1234"/>
      <c r="R809" s="1234"/>
      <c r="S809" s="1234"/>
      <c r="T809" s="1234"/>
      <c r="U809" s="1234"/>
      <c r="V809" s="1234"/>
      <c r="W809" s="1234"/>
      <c r="X809" s="1234"/>
      <c r="Y809" s="1234"/>
      <c r="Z809" s="1234"/>
    </row>
    <row r="810" spans="1:26" ht="14.5">
      <c r="A810" s="1234"/>
      <c r="B810" s="1234"/>
      <c r="C810" s="1234"/>
      <c r="D810" s="1234"/>
      <c r="E810" s="1234"/>
      <c r="F810" s="1234"/>
      <c r="G810" s="1234"/>
      <c r="H810" s="1234"/>
      <c r="I810" s="1234"/>
      <c r="J810" s="1234"/>
      <c r="K810" s="1234"/>
      <c r="L810" s="1234"/>
      <c r="M810" s="1234"/>
      <c r="N810" s="1234"/>
      <c r="O810" s="1234"/>
      <c r="P810" s="1234"/>
      <c r="Q810" s="1234"/>
      <c r="R810" s="1234"/>
      <c r="S810" s="1234"/>
      <c r="T810" s="1234"/>
      <c r="U810" s="1234"/>
      <c r="V810" s="1234"/>
      <c r="W810" s="1234"/>
      <c r="X810" s="1234"/>
      <c r="Y810" s="1234"/>
      <c r="Z810" s="1234"/>
    </row>
    <row r="811" spans="1:26" ht="14.5">
      <c r="A811" s="1234"/>
      <c r="B811" s="1234"/>
      <c r="C811" s="1234"/>
      <c r="D811" s="1234"/>
      <c r="E811" s="1234"/>
      <c r="F811" s="1234"/>
      <c r="G811" s="1234"/>
      <c r="H811" s="1234"/>
      <c r="I811" s="1234"/>
      <c r="J811" s="1234"/>
      <c r="K811" s="1234"/>
      <c r="L811" s="1234"/>
      <c r="M811" s="1234"/>
      <c r="N811" s="1234"/>
      <c r="O811" s="1234"/>
      <c r="P811" s="1234"/>
      <c r="Q811" s="1234"/>
      <c r="R811" s="1234"/>
      <c r="S811" s="1234"/>
      <c r="T811" s="1234"/>
      <c r="U811" s="1234"/>
      <c r="V811" s="1234"/>
      <c r="W811" s="1234"/>
      <c r="X811" s="1234"/>
      <c r="Y811" s="1234"/>
      <c r="Z811" s="1234"/>
    </row>
    <row r="812" spans="1:26" ht="14.5">
      <c r="A812" s="1234"/>
      <c r="B812" s="1234"/>
      <c r="C812" s="1234"/>
      <c r="D812" s="1234"/>
      <c r="E812" s="1234"/>
      <c r="F812" s="1234"/>
      <c r="G812" s="1234"/>
      <c r="H812" s="1234"/>
      <c r="I812" s="1234"/>
      <c r="J812" s="1234"/>
      <c r="K812" s="1234"/>
      <c r="L812" s="1234"/>
      <c r="M812" s="1234"/>
      <c r="N812" s="1234"/>
      <c r="O812" s="1234"/>
      <c r="P812" s="1234"/>
      <c r="Q812" s="1234"/>
      <c r="R812" s="1234"/>
      <c r="S812" s="1234"/>
      <c r="T812" s="1234"/>
      <c r="U812" s="1234"/>
      <c r="V812" s="1234"/>
      <c r="W812" s="1234"/>
      <c r="X812" s="1234"/>
      <c r="Y812" s="1234"/>
      <c r="Z812" s="1234"/>
    </row>
    <row r="813" spans="1:26" ht="14.5">
      <c r="A813" s="1234"/>
      <c r="B813" s="1234"/>
      <c r="C813" s="1234"/>
      <c r="D813" s="1234"/>
      <c r="E813" s="1234"/>
      <c r="F813" s="1234"/>
      <c r="G813" s="1234"/>
      <c r="H813" s="1234"/>
      <c r="I813" s="1234"/>
      <c r="J813" s="1234"/>
      <c r="K813" s="1234"/>
      <c r="L813" s="1234"/>
      <c r="M813" s="1234"/>
      <c r="N813" s="1234"/>
      <c r="O813" s="1234"/>
      <c r="P813" s="1234"/>
      <c r="Q813" s="1234"/>
      <c r="R813" s="1234"/>
      <c r="S813" s="1234"/>
      <c r="T813" s="1234"/>
      <c r="U813" s="1234"/>
      <c r="V813" s="1234"/>
      <c r="W813" s="1234"/>
      <c r="X813" s="1234"/>
      <c r="Y813" s="1234"/>
      <c r="Z813" s="1234"/>
    </row>
    <row r="814" spans="1:26" ht="14.5">
      <c r="A814" s="1234"/>
      <c r="B814" s="1234"/>
      <c r="C814" s="1234"/>
      <c r="D814" s="1234"/>
      <c r="E814" s="1234"/>
      <c r="F814" s="1234"/>
      <c r="G814" s="1234"/>
      <c r="H814" s="1234"/>
      <c r="I814" s="1234"/>
      <c r="J814" s="1234"/>
      <c r="K814" s="1234"/>
      <c r="L814" s="1234"/>
      <c r="M814" s="1234"/>
      <c r="N814" s="1234"/>
      <c r="O814" s="1234"/>
      <c r="P814" s="1234"/>
      <c r="Q814" s="1234"/>
      <c r="R814" s="1234"/>
      <c r="S814" s="1234"/>
      <c r="T814" s="1234"/>
      <c r="U814" s="1234"/>
      <c r="V814" s="1234"/>
      <c r="W814" s="1234"/>
      <c r="X814" s="1234"/>
      <c r="Y814" s="1234"/>
      <c r="Z814" s="1234"/>
    </row>
    <row r="815" spans="1:26" ht="14.5">
      <c r="A815" s="1234"/>
      <c r="B815" s="1234"/>
      <c r="C815" s="1234"/>
      <c r="D815" s="1234"/>
      <c r="E815" s="1234"/>
      <c r="F815" s="1234"/>
      <c r="G815" s="1234"/>
      <c r="H815" s="1234"/>
      <c r="I815" s="1234"/>
      <c r="J815" s="1234"/>
      <c r="K815" s="1234"/>
      <c r="L815" s="1234"/>
      <c r="M815" s="1234"/>
      <c r="N815" s="1234"/>
      <c r="O815" s="1234"/>
      <c r="P815" s="1234"/>
      <c r="Q815" s="1234"/>
      <c r="R815" s="1234"/>
      <c r="S815" s="1234"/>
      <c r="T815" s="1234"/>
      <c r="U815" s="1234"/>
      <c r="V815" s="1234"/>
      <c r="W815" s="1234"/>
      <c r="X815" s="1234"/>
      <c r="Y815" s="1234"/>
      <c r="Z815" s="1234"/>
    </row>
    <row r="816" spans="1:26" ht="14.5">
      <c r="A816" s="1234"/>
      <c r="B816" s="1234"/>
      <c r="C816" s="1234"/>
      <c r="D816" s="1234"/>
      <c r="E816" s="1234"/>
      <c r="F816" s="1234"/>
      <c r="G816" s="1234"/>
      <c r="H816" s="1234"/>
      <c r="I816" s="1234"/>
      <c r="J816" s="1234"/>
      <c r="K816" s="1234"/>
      <c r="L816" s="1234"/>
      <c r="M816" s="1234"/>
      <c r="N816" s="1234"/>
      <c r="O816" s="1234"/>
      <c r="P816" s="1234"/>
      <c r="Q816" s="1234"/>
      <c r="R816" s="1234"/>
      <c r="S816" s="1234"/>
      <c r="T816" s="1234"/>
      <c r="U816" s="1234"/>
      <c r="V816" s="1234"/>
      <c r="W816" s="1234"/>
      <c r="X816" s="1234"/>
      <c r="Y816" s="1234"/>
      <c r="Z816" s="1234"/>
    </row>
    <row r="817" spans="1:26" ht="14.5">
      <c r="A817" s="1234"/>
      <c r="B817" s="1234"/>
      <c r="C817" s="1234"/>
      <c r="D817" s="1234"/>
      <c r="E817" s="1234"/>
      <c r="F817" s="1234"/>
      <c r="G817" s="1234"/>
      <c r="H817" s="1234"/>
      <c r="I817" s="1234"/>
      <c r="J817" s="1234"/>
      <c r="K817" s="1234"/>
      <c r="L817" s="1234"/>
      <c r="M817" s="1234"/>
      <c r="N817" s="1234"/>
      <c r="O817" s="1234"/>
      <c r="P817" s="1234"/>
      <c r="Q817" s="1234"/>
      <c r="R817" s="1234"/>
      <c r="S817" s="1234"/>
      <c r="T817" s="1234"/>
      <c r="U817" s="1234"/>
      <c r="V817" s="1234"/>
      <c r="W817" s="1234"/>
      <c r="X817" s="1234"/>
      <c r="Y817" s="1234"/>
      <c r="Z817" s="1234"/>
    </row>
    <row r="818" spans="1:26" ht="14.5">
      <c r="A818" s="1234"/>
      <c r="B818" s="1234"/>
      <c r="C818" s="1234"/>
      <c r="D818" s="1234"/>
      <c r="E818" s="1234"/>
      <c r="F818" s="1234"/>
      <c r="G818" s="1234"/>
      <c r="H818" s="1234"/>
      <c r="I818" s="1234"/>
      <c r="J818" s="1234"/>
      <c r="K818" s="1234"/>
      <c r="L818" s="1234"/>
      <c r="M818" s="1234"/>
      <c r="N818" s="1234"/>
      <c r="O818" s="1234"/>
      <c r="P818" s="1234"/>
      <c r="Q818" s="1234"/>
      <c r="R818" s="1234"/>
      <c r="S818" s="1234"/>
      <c r="T818" s="1234"/>
      <c r="U818" s="1234"/>
      <c r="V818" s="1234"/>
      <c r="W818" s="1234"/>
      <c r="X818" s="1234"/>
      <c r="Y818" s="1234"/>
      <c r="Z818" s="1234"/>
    </row>
    <row r="819" spans="1:26" ht="14.5">
      <c r="A819" s="1234"/>
      <c r="B819" s="1234"/>
      <c r="C819" s="1234"/>
      <c r="D819" s="1234"/>
      <c r="E819" s="1234"/>
      <c r="F819" s="1234"/>
      <c r="G819" s="1234"/>
      <c r="H819" s="1234"/>
      <c r="I819" s="1234"/>
      <c r="J819" s="1234"/>
      <c r="K819" s="1234"/>
      <c r="L819" s="1234"/>
      <c r="M819" s="1234"/>
      <c r="N819" s="1234"/>
      <c r="O819" s="1234"/>
      <c r="P819" s="1234"/>
      <c r="Q819" s="1234"/>
      <c r="R819" s="1234"/>
      <c r="S819" s="1234"/>
      <c r="T819" s="1234"/>
      <c r="U819" s="1234"/>
      <c r="V819" s="1234"/>
      <c r="W819" s="1234"/>
      <c r="X819" s="1234"/>
      <c r="Y819" s="1234"/>
      <c r="Z819" s="1234"/>
    </row>
    <row r="820" spans="1:26" ht="14.5">
      <c r="A820" s="1234"/>
      <c r="B820" s="1234"/>
      <c r="C820" s="1234"/>
      <c r="D820" s="1234"/>
      <c r="E820" s="1234"/>
      <c r="F820" s="1234"/>
      <c r="G820" s="1234"/>
      <c r="H820" s="1234"/>
      <c r="I820" s="1234"/>
      <c r="J820" s="1234"/>
      <c r="K820" s="1234"/>
      <c r="L820" s="1234"/>
      <c r="M820" s="1234"/>
      <c r="N820" s="1234"/>
      <c r="O820" s="1234"/>
      <c r="P820" s="1234"/>
      <c r="Q820" s="1234"/>
      <c r="R820" s="1234"/>
      <c r="S820" s="1234"/>
      <c r="T820" s="1234"/>
      <c r="U820" s="1234"/>
      <c r="V820" s="1234"/>
      <c r="W820" s="1234"/>
      <c r="X820" s="1234"/>
      <c r="Y820" s="1234"/>
      <c r="Z820" s="1234"/>
    </row>
    <row r="821" spans="1:26" ht="14.5">
      <c r="A821" s="1234"/>
      <c r="B821" s="1234"/>
      <c r="C821" s="1234"/>
      <c r="D821" s="1234"/>
      <c r="E821" s="1234"/>
      <c r="F821" s="1234"/>
      <c r="G821" s="1234"/>
      <c r="H821" s="1234"/>
      <c r="I821" s="1234"/>
      <c r="J821" s="1234"/>
      <c r="K821" s="1234"/>
      <c r="L821" s="1234"/>
      <c r="M821" s="1234"/>
      <c r="N821" s="1234"/>
      <c r="O821" s="1234"/>
      <c r="P821" s="1234"/>
      <c r="Q821" s="1234"/>
      <c r="R821" s="1234"/>
      <c r="S821" s="1234"/>
      <c r="T821" s="1234"/>
      <c r="U821" s="1234"/>
      <c r="V821" s="1234"/>
      <c r="W821" s="1234"/>
      <c r="X821" s="1234"/>
      <c r="Y821" s="1234"/>
      <c r="Z821" s="1234"/>
    </row>
    <row r="822" spans="1:26" ht="14.5">
      <c r="A822" s="1234"/>
      <c r="B822" s="1234"/>
      <c r="C822" s="1234"/>
      <c r="D822" s="1234"/>
      <c r="E822" s="1234"/>
      <c r="F822" s="1234"/>
      <c r="G822" s="1234"/>
      <c r="H822" s="1234"/>
      <c r="I822" s="1234"/>
      <c r="J822" s="1234"/>
      <c r="K822" s="1234"/>
      <c r="L822" s="1234"/>
      <c r="M822" s="1234"/>
      <c r="N822" s="1234"/>
      <c r="O822" s="1234"/>
      <c r="P822" s="1234"/>
      <c r="Q822" s="1234"/>
      <c r="R822" s="1234"/>
      <c r="S822" s="1234"/>
      <c r="T822" s="1234"/>
      <c r="U822" s="1234"/>
      <c r="V822" s="1234"/>
      <c r="W822" s="1234"/>
      <c r="X822" s="1234"/>
      <c r="Y822" s="1234"/>
      <c r="Z822" s="1234"/>
    </row>
    <row r="823" spans="1:26" ht="14.5">
      <c r="A823" s="1234"/>
      <c r="B823" s="1234"/>
      <c r="C823" s="1234"/>
      <c r="D823" s="1234"/>
      <c r="E823" s="1234"/>
      <c r="F823" s="1234"/>
      <c r="G823" s="1234"/>
      <c r="H823" s="1234"/>
      <c r="I823" s="1234"/>
      <c r="J823" s="1234"/>
      <c r="K823" s="1234"/>
      <c r="L823" s="1234"/>
      <c r="M823" s="1234"/>
      <c r="N823" s="1234"/>
      <c r="O823" s="1234"/>
      <c r="P823" s="1234"/>
      <c r="Q823" s="1234"/>
      <c r="R823" s="1234"/>
      <c r="S823" s="1234"/>
      <c r="T823" s="1234"/>
      <c r="U823" s="1234"/>
      <c r="V823" s="1234"/>
      <c r="W823" s="1234"/>
      <c r="X823" s="1234"/>
      <c r="Y823" s="1234"/>
      <c r="Z823" s="1234"/>
    </row>
    <row r="824" spans="1:26" ht="14.5">
      <c r="A824" s="1234"/>
      <c r="B824" s="1234"/>
      <c r="C824" s="1234"/>
      <c r="D824" s="1234"/>
      <c r="E824" s="1234"/>
      <c r="F824" s="1234"/>
      <c r="G824" s="1234"/>
      <c r="H824" s="1234"/>
      <c r="I824" s="1234"/>
      <c r="J824" s="1234"/>
      <c r="K824" s="1234"/>
      <c r="L824" s="1234"/>
      <c r="M824" s="1234"/>
      <c r="N824" s="1234"/>
      <c r="O824" s="1234"/>
      <c r="P824" s="1234"/>
      <c r="Q824" s="1234"/>
      <c r="R824" s="1234"/>
      <c r="S824" s="1234"/>
      <c r="T824" s="1234"/>
      <c r="U824" s="1234"/>
      <c r="V824" s="1234"/>
      <c r="W824" s="1234"/>
      <c r="X824" s="1234"/>
      <c r="Y824" s="1234"/>
      <c r="Z824" s="1234"/>
    </row>
    <row r="825" spans="1:26" ht="14.5">
      <c r="A825" s="1234"/>
      <c r="B825" s="1234"/>
      <c r="C825" s="1234"/>
      <c r="D825" s="1234"/>
      <c r="E825" s="1234"/>
      <c r="F825" s="1234"/>
      <c r="G825" s="1234"/>
      <c r="H825" s="1234"/>
      <c r="I825" s="1234"/>
      <c r="J825" s="1234"/>
      <c r="K825" s="1234"/>
      <c r="L825" s="1234"/>
      <c r="M825" s="1234"/>
      <c r="N825" s="1234"/>
      <c r="O825" s="1234"/>
      <c r="P825" s="1234"/>
      <c r="Q825" s="1234"/>
      <c r="R825" s="1234"/>
      <c r="S825" s="1234"/>
      <c r="T825" s="1234"/>
      <c r="U825" s="1234"/>
      <c r="V825" s="1234"/>
      <c r="W825" s="1234"/>
      <c r="X825" s="1234"/>
      <c r="Y825" s="1234"/>
      <c r="Z825" s="1234"/>
    </row>
    <row r="826" spans="1:26" ht="14.5">
      <c r="A826" s="1234"/>
      <c r="B826" s="1234"/>
      <c r="C826" s="1234"/>
      <c r="D826" s="1234"/>
      <c r="E826" s="1234"/>
      <c r="F826" s="1234"/>
      <c r="G826" s="1234"/>
      <c r="H826" s="1234"/>
      <c r="I826" s="1234"/>
      <c r="J826" s="1234"/>
      <c r="K826" s="1234"/>
      <c r="L826" s="1234"/>
      <c r="M826" s="1234"/>
      <c r="N826" s="1234"/>
      <c r="O826" s="1234"/>
      <c r="P826" s="1234"/>
      <c r="Q826" s="1234"/>
      <c r="R826" s="1234"/>
      <c r="S826" s="1234"/>
      <c r="T826" s="1234"/>
      <c r="U826" s="1234"/>
      <c r="V826" s="1234"/>
      <c r="W826" s="1234"/>
      <c r="X826" s="1234"/>
      <c r="Y826" s="1234"/>
      <c r="Z826" s="1234"/>
    </row>
    <row r="827" spans="1:26" ht="14.5">
      <c r="A827" s="1234"/>
      <c r="B827" s="1234"/>
      <c r="C827" s="1234"/>
      <c r="D827" s="1234"/>
      <c r="E827" s="1234"/>
      <c r="F827" s="1234"/>
      <c r="G827" s="1234"/>
      <c r="H827" s="1234"/>
      <c r="I827" s="1234"/>
      <c r="J827" s="1234"/>
      <c r="K827" s="1234"/>
      <c r="L827" s="1234"/>
      <c r="M827" s="1234"/>
      <c r="N827" s="1234"/>
      <c r="O827" s="1234"/>
      <c r="P827" s="1234"/>
      <c r="Q827" s="1234"/>
      <c r="R827" s="1234"/>
      <c r="S827" s="1234"/>
      <c r="T827" s="1234"/>
      <c r="U827" s="1234"/>
      <c r="V827" s="1234"/>
      <c r="W827" s="1234"/>
      <c r="X827" s="1234"/>
      <c r="Y827" s="1234"/>
      <c r="Z827" s="1234"/>
    </row>
    <row r="828" spans="1:26" ht="14.5">
      <c r="A828" s="1234"/>
      <c r="B828" s="1234"/>
      <c r="C828" s="1234"/>
      <c r="D828" s="1234"/>
      <c r="E828" s="1234"/>
      <c r="F828" s="1234"/>
      <c r="G828" s="1234"/>
      <c r="H828" s="1234"/>
      <c r="I828" s="1234"/>
      <c r="J828" s="1234"/>
      <c r="K828" s="1234"/>
      <c r="L828" s="1234"/>
      <c r="M828" s="1234"/>
      <c r="N828" s="1234"/>
      <c r="O828" s="1234"/>
      <c r="P828" s="1234"/>
      <c r="Q828" s="1234"/>
      <c r="R828" s="1234"/>
      <c r="S828" s="1234"/>
      <c r="T828" s="1234"/>
      <c r="U828" s="1234"/>
      <c r="V828" s="1234"/>
      <c r="W828" s="1234"/>
      <c r="X828" s="1234"/>
      <c r="Y828" s="1234"/>
      <c r="Z828" s="1234"/>
    </row>
    <row r="829" spans="1:26" ht="14.5">
      <c r="A829" s="1234"/>
      <c r="B829" s="1234"/>
      <c r="C829" s="1234"/>
      <c r="D829" s="1234"/>
      <c r="E829" s="1234"/>
      <c r="F829" s="1234"/>
      <c r="G829" s="1234"/>
      <c r="H829" s="1234"/>
      <c r="I829" s="1234"/>
      <c r="J829" s="1234"/>
      <c r="K829" s="1234"/>
      <c r="L829" s="1234"/>
      <c r="M829" s="1234"/>
      <c r="N829" s="1234"/>
      <c r="O829" s="1234"/>
      <c r="P829" s="1234"/>
      <c r="Q829" s="1234"/>
      <c r="R829" s="1234"/>
      <c r="S829" s="1234"/>
      <c r="T829" s="1234"/>
      <c r="U829" s="1234"/>
      <c r="V829" s="1234"/>
      <c r="W829" s="1234"/>
      <c r="X829" s="1234"/>
      <c r="Y829" s="1234"/>
      <c r="Z829" s="1234"/>
    </row>
    <row r="830" spans="1:26" ht="14.5">
      <c r="A830" s="1234"/>
      <c r="B830" s="1234"/>
      <c r="C830" s="1234"/>
      <c r="D830" s="1234"/>
      <c r="E830" s="1234"/>
      <c r="F830" s="1234"/>
      <c r="G830" s="1234"/>
      <c r="H830" s="1234"/>
      <c r="I830" s="1234"/>
      <c r="J830" s="1234"/>
      <c r="K830" s="1234"/>
      <c r="L830" s="1234"/>
      <c r="M830" s="1234"/>
      <c r="N830" s="1234"/>
      <c r="O830" s="1234"/>
      <c r="P830" s="1234"/>
      <c r="Q830" s="1234"/>
      <c r="R830" s="1234"/>
      <c r="S830" s="1234"/>
      <c r="T830" s="1234"/>
      <c r="U830" s="1234"/>
      <c r="V830" s="1234"/>
      <c r="W830" s="1234"/>
      <c r="X830" s="1234"/>
      <c r="Y830" s="1234"/>
      <c r="Z830" s="1234"/>
    </row>
    <row r="831" spans="1:26" ht="14.5">
      <c r="A831" s="1234"/>
      <c r="B831" s="1234"/>
      <c r="C831" s="1234"/>
      <c r="D831" s="1234"/>
      <c r="E831" s="1234"/>
      <c r="F831" s="1234"/>
      <c r="G831" s="1234"/>
      <c r="H831" s="1234"/>
      <c r="I831" s="1234"/>
      <c r="J831" s="1234"/>
      <c r="K831" s="1234"/>
      <c r="L831" s="1234"/>
      <c r="M831" s="1234"/>
      <c r="N831" s="1234"/>
      <c r="O831" s="1234"/>
      <c r="P831" s="1234"/>
      <c r="Q831" s="1234"/>
      <c r="R831" s="1234"/>
      <c r="S831" s="1234"/>
      <c r="T831" s="1234"/>
      <c r="U831" s="1234"/>
      <c r="V831" s="1234"/>
      <c r="W831" s="1234"/>
      <c r="X831" s="1234"/>
      <c r="Y831" s="1234"/>
      <c r="Z831" s="1234"/>
    </row>
    <row r="832" spans="1:26" ht="14.5">
      <c r="A832" s="1234"/>
      <c r="B832" s="1234"/>
      <c r="C832" s="1234"/>
      <c r="D832" s="1234"/>
      <c r="E832" s="1234"/>
      <c r="F832" s="1234"/>
      <c r="G832" s="1234"/>
      <c r="H832" s="1234"/>
      <c r="I832" s="1234"/>
      <c r="J832" s="1234"/>
      <c r="K832" s="1234"/>
      <c r="L832" s="1234"/>
      <c r="M832" s="1234"/>
      <c r="N832" s="1234"/>
      <c r="O832" s="1234"/>
      <c r="P832" s="1234"/>
      <c r="Q832" s="1234"/>
      <c r="R832" s="1234"/>
      <c r="S832" s="1234"/>
      <c r="T832" s="1234"/>
      <c r="U832" s="1234"/>
      <c r="V832" s="1234"/>
      <c r="W832" s="1234"/>
      <c r="X832" s="1234"/>
      <c r="Y832" s="1234"/>
      <c r="Z832" s="1234"/>
    </row>
    <row r="833" spans="1:26" ht="14.5">
      <c r="A833" s="1234"/>
      <c r="B833" s="1234"/>
      <c r="C833" s="1234"/>
      <c r="D833" s="1234"/>
      <c r="E833" s="1234"/>
      <c r="F833" s="1234"/>
      <c r="G833" s="1234"/>
      <c r="H833" s="1234"/>
      <c r="I833" s="1234"/>
      <c r="J833" s="1234"/>
      <c r="K833" s="1234"/>
      <c r="L833" s="1234"/>
      <c r="M833" s="1234"/>
      <c r="N833" s="1234"/>
      <c r="O833" s="1234"/>
      <c r="P833" s="1234"/>
      <c r="Q833" s="1234"/>
      <c r="R833" s="1234"/>
      <c r="S833" s="1234"/>
      <c r="T833" s="1234"/>
      <c r="U833" s="1234"/>
      <c r="V833" s="1234"/>
      <c r="W833" s="1234"/>
      <c r="X833" s="1234"/>
      <c r="Y833" s="1234"/>
      <c r="Z833" s="1234"/>
    </row>
    <row r="834" spans="1:26" ht="14.5">
      <c r="A834" s="1234"/>
      <c r="B834" s="1234"/>
      <c r="C834" s="1234"/>
      <c r="D834" s="1234"/>
      <c r="E834" s="1234"/>
      <c r="F834" s="1234"/>
      <c r="G834" s="1234"/>
      <c r="H834" s="1234"/>
      <c r="I834" s="1234"/>
      <c r="J834" s="1234"/>
      <c r="K834" s="1234"/>
      <c r="L834" s="1234"/>
      <c r="M834" s="1234"/>
      <c r="N834" s="1234"/>
      <c r="O834" s="1234"/>
      <c r="P834" s="1234"/>
      <c r="Q834" s="1234"/>
      <c r="R834" s="1234"/>
      <c r="S834" s="1234"/>
      <c r="T834" s="1234"/>
      <c r="U834" s="1234"/>
      <c r="V834" s="1234"/>
      <c r="W834" s="1234"/>
      <c r="X834" s="1234"/>
      <c r="Y834" s="1234"/>
      <c r="Z834" s="1234"/>
    </row>
    <row r="835" spans="1:26" ht="14.5">
      <c r="A835" s="1234"/>
      <c r="B835" s="1234"/>
      <c r="C835" s="1234"/>
      <c r="D835" s="1234"/>
      <c r="E835" s="1234"/>
      <c r="F835" s="1234"/>
      <c r="G835" s="1234"/>
      <c r="H835" s="1234"/>
      <c r="I835" s="1234"/>
      <c r="J835" s="1234"/>
      <c r="K835" s="1234"/>
      <c r="L835" s="1234"/>
      <c r="M835" s="1234"/>
      <c r="N835" s="1234"/>
      <c r="O835" s="1234"/>
      <c r="P835" s="1234"/>
      <c r="Q835" s="1234"/>
      <c r="R835" s="1234"/>
      <c r="S835" s="1234"/>
      <c r="T835" s="1234"/>
      <c r="U835" s="1234"/>
      <c r="V835" s="1234"/>
      <c r="W835" s="1234"/>
      <c r="X835" s="1234"/>
      <c r="Y835" s="1234"/>
      <c r="Z835" s="1234"/>
    </row>
    <row r="836" spans="1:26" ht="14.5">
      <c r="A836" s="1234"/>
      <c r="B836" s="1234"/>
      <c r="C836" s="1234"/>
      <c r="D836" s="1234"/>
      <c r="E836" s="1234"/>
      <c r="F836" s="1234"/>
      <c r="G836" s="1234"/>
      <c r="H836" s="1234"/>
      <c r="I836" s="1234"/>
      <c r="J836" s="1234"/>
      <c r="K836" s="1234"/>
      <c r="L836" s="1234"/>
      <c r="M836" s="1234"/>
      <c r="N836" s="1234"/>
      <c r="O836" s="1234"/>
      <c r="P836" s="1234"/>
      <c r="Q836" s="1234"/>
      <c r="R836" s="1234"/>
      <c r="S836" s="1234"/>
      <c r="T836" s="1234"/>
      <c r="U836" s="1234"/>
      <c r="V836" s="1234"/>
      <c r="W836" s="1234"/>
      <c r="X836" s="1234"/>
      <c r="Y836" s="1234"/>
      <c r="Z836" s="1234"/>
    </row>
    <row r="837" spans="1:26" ht="14.5">
      <c r="A837" s="1234"/>
      <c r="B837" s="1234"/>
      <c r="C837" s="1234"/>
      <c r="D837" s="1234"/>
      <c r="E837" s="1234"/>
      <c r="F837" s="1234"/>
      <c r="G837" s="1234"/>
      <c r="H837" s="1234"/>
      <c r="I837" s="1234"/>
      <c r="J837" s="1234"/>
      <c r="K837" s="1234"/>
      <c r="L837" s="1234"/>
      <c r="M837" s="1234"/>
      <c r="N837" s="1234"/>
      <c r="O837" s="1234"/>
      <c r="P837" s="1234"/>
      <c r="Q837" s="1234"/>
      <c r="R837" s="1234"/>
      <c r="S837" s="1234"/>
      <c r="T837" s="1234"/>
      <c r="U837" s="1234"/>
      <c r="V837" s="1234"/>
      <c r="W837" s="1234"/>
      <c r="X837" s="1234"/>
      <c r="Y837" s="1234"/>
      <c r="Z837" s="1234"/>
    </row>
    <row r="838" spans="1:26" ht="14.5">
      <c r="A838" s="1234"/>
      <c r="B838" s="1234"/>
      <c r="C838" s="1234"/>
      <c r="D838" s="1234"/>
      <c r="E838" s="1234"/>
      <c r="F838" s="1234"/>
      <c r="G838" s="1234"/>
      <c r="H838" s="1234"/>
      <c r="I838" s="1234"/>
      <c r="J838" s="1234"/>
      <c r="K838" s="1234"/>
      <c r="L838" s="1234"/>
      <c r="M838" s="1234"/>
      <c r="N838" s="1234"/>
      <c r="O838" s="1234"/>
      <c r="P838" s="1234"/>
      <c r="Q838" s="1234"/>
      <c r="R838" s="1234"/>
      <c r="S838" s="1234"/>
      <c r="T838" s="1234"/>
      <c r="U838" s="1234"/>
      <c r="V838" s="1234"/>
      <c r="W838" s="1234"/>
      <c r="X838" s="1234"/>
      <c r="Y838" s="1234"/>
      <c r="Z838" s="1234"/>
    </row>
    <row r="839" spans="1:26" ht="14.5">
      <c r="A839" s="1234"/>
      <c r="B839" s="1234"/>
      <c r="C839" s="1234"/>
      <c r="D839" s="1234"/>
      <c r="E839" s="1234"/>
      <c r="F839" s="1234"/>
      <c r="G839" s="1234"/>
      <c r="H839" s="1234"/>
      <c r="I839" s="1234"/>
      <c r="J839" s="1234"/>
      <c r="K839" s="1234"/>
      <c r="L839" s="1234"/>
      <c r="M839" s="1234"/>
      <c r="N839" s="1234"/>
      <c r="O839" s="1234"/>
      <c r="P839" s="1234"/>
      <c r="Q839" s="1234"/>
      <c r="R839" s="1234"/>
      <c r="S839" s="1234"/>
      <c r="T839" s="1234"/>
      <c r="U839" s="1234"/>
      <c r="V839" s="1234"/>
      <c r="W839" s="1234"/>
      <c r="X839" s="1234"/>
      <c r="Y839" s="1234"/>
      <c r="Z839" s="1234"/>
    </row>
    <row r="840" spans="1:26" ht="14.5">
      <c r="A840" s="1234"/>
      <c r="B840" s="1234"/>
      <c r="C840" s="1234"/>
      <c r="D840" s="1234"/>
      <c r="E840" s="1234"/>
      <c r="F840" s="1234"/>
      <c r="G840" s="1234"/>
      <c r="H840" s="1234"/>
      <c r="I840" s="1234"/>
      <c r="J840" s="1234"/>
      <c r="K840" s="1234"/>
      <c r="L840" s="1234"/>
      <c r="M840" s="1234"/>
      <c r="N840" s="1234"/>
      <c r="O840" s="1234"/>
      <c r="P840" s="1234"/>
      <c r="Q840" s="1234"/>
      <c r="R840" s="1234"/>
      <c r="S840" s="1234"/>
      <c r="T840" s="1234"/>
      <c r="U840" s="1234"/>
      <c r="V840" s="1234"/>
      <c r="W840" s="1234"/>
      <c r="X840" s="1234"/>
      <c r="Y840" s="1234"/>
      <c r="Z840" s="1234"/>
    </row>
    <row r="841" spans="1:26" ht="14.5">
      <c r="A841" s="1234"/>
      <c r="B841" s="1234"/>
      <c r="C841" s="1234"/>
      <c r="D841" s="1234"/>
      <c r="E841" s="1234"/>
      <c r="F841" s="1234"/>
      <c r="G841" s="1234"/>
      <c r="H841" s="1234"/>
      <c r="I841" s="1234"/>
      <c r="J841" s="1234"/>
      <c r="K841" s="1234"/>
      <c r="L841" s="1234"/>
      <c r="M841" s="1234"/>
      <c r="N841" s="1234"/>
      <c r="O841" s="1234"/>
      <c r="P841" s="1234"/>
      <c r="Q841" s="1234"/>
      <c r="R841" s="1234"/>
      <c r="S841" s="1234"/>
      <c r="T841" s="1234"/>
      <c r="U841" s="1234"/>
      <c r="V841" s="1234"/>
      <c r="W841" s="1234"/>
      <c r="X841" s="1234"/>
      <c r="Y841" s="1234"/>
      <c r="Z841" s="1234"/>
    </row>
    <row r="842" spans="1:26" ht="14.5">
      <c r="A842" s="1234"/>
      <c r="B842" s="1234"/>
      <c r="C842" s="1234"/>
      <c r="D842" s="1234"/>
      <c r="E842" s="1234"/>
      <c r="F842" s="1234"/>
      <c r="G842" s="1234"/>
      <c r="H842" s="1234"/>
      <c r="I842" s="1234"/>
      <c r="J842" s="1234"/>
      <c r="K842" s="1234"/>
      <c r="L842" s="1234"/>
      <c r="M842" s="1234"/>
      <c r="N842" s="1234"/>
      <c r="O842" s="1234"/>
      <c r="P842" s="1234"/>
      <c r="Q842" s="1234"/>
      <c r="R842" s="1234"/>
      <c r="S842" s="1234"/>
      <c r="T842" s="1234"/>
      <c r="U842" s="1234"/>
      <c r="V842" s="1234"/>
      <c r="W842" s="1234"/>
      <c r="X842" s="1234"/>
      <c r="Y842" s="1234"/>
      <c r="Z842" s="1234"/>
    </row>
    <row r="843" spans="1:26" ht="14.5">
      <c r="A843" s="1234"/>
      <c r="B843" s="1234"/>
      <c r="C843" s="1234"/>
      <c r="D843" s="1234"/>
      <c r="E843" s="1234"/>
      <c r="F843" s="1234"/>
      <c r="G843" s="1234"/>
      <c r="H843" s="1234"/>
      <c r="I843" s="1234"/>
      <c r="J843" s="1234"/>
      <c r="K843" s="1234"/>
      <c r="L843" s="1234"/>
      <c r="M843" s="1234"/>
      <c r="N843" s="1234"/>
      <c r="O843" s="1234"/>
      <c r="P843" s="1234"/>
      <c r="Q843" s="1234"/>
      <c r="R843" s="1234"/>
      <c r="S843" s="1234"/>
      <c r="T843" s="1234"/>
      <c r="U843" s="1234"/>
      <c r="V843" s="1234"/>
      <c r="W843" s="1234"/>
      <c r="X843" s="1234"/>
      <c r="Y843" s="1234"/>
      <c r="Z843" s="1234"/>
    </row>
    <row r="844" spans="1:26" ht="14.5">
      <c r="A844" s="1234"/>
      <c r="B844" s="1234"/>
      <c r="C844" s="1234"/>
      <c r="D844" s="1234"/>
      <c r="E844" s="1234"/>
      <c r="F844" s="1234"/>
      <c r="G844" s="1234"/>
      <c r="H844" s="1234"/>
      <c r="I844" s="1234"/>
      <c r="J844" s="1234"/>
      <c r="K844" s="1234"/>
      <c r="L844" s="1234"/>
      <c r="M844" s="1234"/>
      <c r="N844" s="1234"/>
      <c r="O844" s="1234"/>
      <c r="P844" s="1234"/>
      <c r="Q844" s="1234"/>
      <c r="R844" s="1234"/>
      <c r="S844" s="1234"/>
      <c r="T844" s="1234"/>
      <c r="U844" s="1234"/>
      <c r="V844" s="1234"/>
      <c r="W844" s="1234"/>
      <c r="X844" s="1234"/>
      <c r="Y844" s="1234"/>
      <c r="Z844" s="1234"/>
    </row>
    <row r="845" spans="1:26" ht="14.5">
      <c r="A845" s="1234"/>
      <c r="B845" s="1234"/>
      <c r="C845" s="1234"/>
      <c r="D845" s="1234"/>
      <c r="E845" s="1234"/>
      <c r="F845" s="1234"/>
      <c r="G845" s="1234"/>
      <c r="H845" s="1234"/>
      <c r="I845" s="1234"/>
      <c r="J845" s="1234"/>
      <c r="K845" s="1234"/>
      <c r="L845" s="1234"/>
      <c r="M845" s="1234"/>
      <c r="N845" s="1234"/>
      <c r="O845" s="1234"/>
      <c r="P845" s="1234"/>
      <c r="Q845" s="1234"/>
      <c r="R845" s="1234"/>
      <c r="S845" s="1234"/>
      <c r="T845" s="1234"/>
      <c r="U845" s="1234"/>
      <c r="V845" s="1234"/>
      <c r="W845" s="1234"/>
      <c r="X845" s="1234"/>
      <c r="Y845" s="1234"/>
      <c r="Z845" s="1234"/>
    </row>
    <row r="846" spans="1:26" ht="14.5">
      <c r="A846" s="1234"/>
      <c r="B846" s="1234"/>
      <c r="C846" s="1234"/>
      <c r="D846" s="1234"/>
      <c r="E846" s="1234"/>
      <c r="F846" s="1234"/>
      <c r="G846" s="1234"/>
      <c r="H846" s="1234"/>
      <c r="I846" s="1234"/>
      <c r="J846" s="1234"/>
      <c r="K846" s="1234"/>
      <c r="L846" s="1234"/>
      <c r="M846" s="1234"/>
      <c r="N846" s="1234"/>
      <c r="O846" s="1234"/>
      <c r="P846" s="1234"/>
      <c r="Q846" s="1234"/>
      <c r="R846" s="1234"/>
      <c r="S846" s="1234"/>
      <c r="T846" s="1234"/>
      <c r="U846" s="1234"/>
      <c r="V846" s="1234"/>
      <c r="W846" s="1234"/>
      <c r="X846" s="1234"/>
      <c r="Y846" s="1234"/>
      <c r="Z846" s="1234"/>
    </row>
    <row r="847" spans="1:26" ht="14.5">
      <c r="A847" s="1234"/>
      <c r="B847" s="1234"/>
      <c r="C847" s="1234"/>
      <c r="D847" s="1234"/>
      <c r="E847" s="1234"/>
      <c r="F847" s="1234"/>
      <c r="G847" s="1234"/>
      <c r="H847" s="1234"/>
      <c r="I847" s="1234"/>
      <c r="J847" s="1234"/>
      <c r="K847" s="1234"/>
      <c r="L847" s="1234"/>
      <c r="M847" s="1234"/>
      <c r="N847" s="1234"/>
      <c r="O847" s="1234"/>
      <c r="P847" s="1234"/>
      <c r="Q847" s="1234"/>
      <c r="R847" s="1234"/>
      <c r="S847" s="1234"/>
      <c r="T847" s="1234"/>
      <c r="U847" s="1234"/>
      <c r="V847" s="1234"/>
      <c r="W847" s="1234"/>
      <c r="X847" s="1234"/>
      <c r="Y847" s="1234"/>
      <c r="Z847" s="1234"/>
    </row>
    <row r="848" spans="1:26" ht="14.5">
      <c r="A848" s="1234"/>
      <c r="B848" s="1234"/>
      <c r="C848" s="1234"/>
      <c r="D848" s="1234"/>
      <c r="E848" s="1234"/>
      <c r="F848" s="1234"/>
      <c r="G848" s="1234"/>
      <c r="H848" s="1234"/>
      <c r="I848" s="1234"/>
      <c r="J848" s="1234"/>
      <c r="K848" s="1234"/>
      <c r="L848" s="1234"/>
      <c r="M848" s="1234"/>
      <c r="N848" s="1234"/>
      <c r="O848" s="1234"/>
      <c r="P848" s="1234"/>
      <c r="Q848" s="1234"/>
      <c r="R848" s="1234"/>
      <c r="S848" s="1234"/>
      <c r="T848" s="1234"/>
      <c r="U848" s="1234"/>
      <c r="V848" s="1234"/>
      <c r="W848" s="1234"/>
      <c r="X848" s="1234"/>
      <c r="Y848" s="1234"/>
      <c r="Z848" s="1234"/>
    </row>
    <row r="849" spans="1:26" ht="14.5">
      <c r="A849" s="1234"/>
      <c r="B849" s="1234"/>
      <c r="C849" s="1234"/>
      <c r="D849" s="1234"/>
      <c r="E849" s="1234"/>
      <c r="F849" s="1234"/>
      <c r="G849" s="1234"/>
      <c r="H849" s="1234"/>
      <c r="I849" s="1234"/>
      <c r="J849" s="1234"/>
      <c r="K849" s="1234"/>
      <c r="L849" s="1234"/>
      <c r="M849" s="1234"/>
      <c r="N849" s="1234"/>
      <c r="O849" s="1234"/>
      <c r="P849" s="1234"/>
      <c r="Q849" s="1234"/>
      <c r="R849" s="1234"/>
      <c r="S849" s="1234"/>
      <c r="T849" s="1234"/>
      <c r="U849" s="1234"/>
      <c r="V849" s="1234"/>
      <c r="W849" s="1234"/>
      <c r="X849" s="1234"/>
      <c r="Y849" s="1234"/>
      <c r="Z849" s="1234"/>
    </row>
    <row r="850" spans="1:26" ht="14.5">
      <c r="A850" s="1234"/>
      <c r="B850" s="1234"/>
      <c r="C850" s="1234"/>
      <c r="D850" s="1234"/>
      <c r="E850" s="1234"/>
      <c r="F850" s="1234"/>
      <c r="G850" s="1234"/>
      <c r="H850" s="1234"/>
      <c r="I850" s="1234"/>
      <c r="J850" s="1234"/>
      <c r="K850" s="1234"/>
      <c r="L850" s="1234"/>
      <c r="M850" s="1234"/>
      <c r="N850" s="1234"/>
      <c r="O850" s="1234"/>
      <c r="P850" s="1234"/>
      <c r="Q850" s="1234"/>
      <c r="R850" s="1234"/>
      <c r="S850" s="1234"/>
      <c r="T850" s="1234"/>
      <c r="U850" s="1234"/>
      <c r="V850" s="1234"/>
      <c r="W850" s="1234"/>
      <c r="X850" s="1234"/>
      <c r="Y850" s="1234"/>
      <c r="Z850" s="1234"/>
    </row>
    <row r="851" spans="1:26" ht="14.5">
      <c r="A851" s="1234"/>
      <c r="B851" s="1234"/>
      <c r="C851" s="1234"/>
      <c r="D851" s="1234"/>
      <c r="E851" s="1234"/>
      <c r="F851" s="1234"/>
      <c r="G851" s="1234"/>
      <c r="H851" s="1234"/>
      <c r="I851" s="1234"/>
      <c r="J851" s="1234"/>
      <c r="K851" s="1234"/>
      <c r="L851" s="1234"/>
      <c r="M851" s="1234"/>
      <c r="N851" s="1234"/>
      <c r="O851" s="1234"/>
      <c r="P851" s="1234"/>
      <c r="Q851" s="1234"/>
      <c r="R851" s="1234"/>
      <c r="S851" s="1234"/>
      <c r="T851" s="1234"/>
      <c r="U851" s="1234"/>
      <c r="V851" s="1234"/>
      <c r="W851" s="1234"/>
      <c r="X851" s="1234"/>
      <c r="Y851" s="1234"/>
      <c r="Z851" s="1234"/>
    </row>
    <row r="852" spans="1:26" ht="14.5">
      <c r="A852" s="1234"/>
      <c r="B852" s="1234"/>
      <c r="C852" s="1234"/>
      <c r="D852" s="1234"/>
      <c r="E852" s="1234"/>
      <c r="F852" s="1234"/>
      <c r="G852" s="1234"/>
      <c r="H852" s="1234"/>
      <c r="I852" s="1234"/>
      <c r="J852" s="1234"/>
      <c r="K852" s="1234"/>
      <c r="L852" s="1234"/>
      <c r="M852" s="1234"/>
      <c r="N852" s="1234"/>
      <c r="O852" s="1234"/>
      <c r="P852" s="1234"/>
      <c r="Q852" s="1234"/>
      <c r="R852" s="1234"/>
      <c r="S852" s="1234"/>
      <c r="T852" s="1234"/>
      <c r="U852" s="1234"/>
      <c r="V852" s="1234"/>
      <c r="W852" s="1234"/>
      <c r="X852" s="1234"/>
      <c r="Y852" s="1234"/>
      <c r="Z852" s="1234"/>
    </row>
    <row r="853" spans="1:26" ht="14.5">
      <c r="A853" s="1234"/>
      <c r="B853" s="1234"/>
      <c r="C853" s="1234"/>
      <c r="D853" s="1234"/>
      <c r="E853" s="1234"/>
      <c r="F853" s="1234"/>
      <c r="G853" s="1234"/>
      <c r="H853" s="1234"/>
      <c r="I853" s="1234"/>
      <c r="J853" s="1234"/>
      <c r="K853" s="1234"/>
      <c r="L853" s="1234"/>
      <c r="M853" s="1234"/>
      <c r="N853" s="1234"/>
      <c r="O853" s="1234"/>
      <c r="P853" s="1234"/>
      <c r="Q853" s="1234"/>
      <c r="R853" s="1234"/>
      <c r="S853" s="1234"/>
      <c r="T853" s="1234"/>
      <c r="U853" s="1234"/>
      <c r="V853" s="1234"/>
      <c r="W853" s="1234"/>
      <c r="X853" s="1234"/>
      <c r="Y853" s="1234"/>
      <c r="Z853" s="1234"/>
    </row>
    <row r="854" spans="1:26" ht="14.5">
      <c r="A854" s="1234"/>
      <c r="B854" s="1234"/>
      <c r="C854" s="1234"/>
      <c r="D854" s="1234"/>
      <c r="E854" s="1234"/>
      <c r="F854" s="1234"/>
      <c r="G854" s="1234"/>
      <c r="H854" s="1234"/>
      <c r="I854" s="1234"/>
      <c r="J854" s="1234"/>
      <c r="K854" s="1234"/>
      <c r="L854" s="1234"/>
      <c r="M854" s="1234"/>
      <c r="N854" s="1234"/>
      <c r="O854" s="1234"/>
      <c r="P854" s="1234"/>
      <c r="Q854" s="1234"/>
      <c r="R854" s="1234"/>
      <c r="S854" s="1234"/>
      <c r="T854" s="1234"/>
      <c r="U854" s="1234"/>
      <c r="V854" s="1234"/>
      <c r="W854" s="1234"/>
      <c r="X854" s="1234"/>
      <c r="Y854" s="1234"/>
      <c r="Z854" s="1234"/>
    </row>
    <row r="855" spans="1:26" ht="14.5">
      <c r="A855" s="1234"/>
      <c r="B855" s="1234"/>
      <c r="C855" s="1234"/>
      <c r="D855" s="1234"/>
      <c r="E855" s="1234"/>
      <c r="F855" s="1234"/>
      <c r="G855" s="1234"/>
      <c r="H855" s="1234"/>
      <c r="I855" s="1234"/>
      <c r="J855" s="1234"/>
      <c r="K855" s="1234"/>
      <c r="L855" s="1234"/>
      <c r="M855" s="1234"/>
      <c r="N855" s="1234"/>
      <c r="O855" s="1234"/>
      <c r="P855" s="1234"/>
      <c r="Q855" s="1234"/>
      <c r="R855" s="1234"/>
      <c r="S855" s="1234"/>
      <c r="T855" s="1234"/>
      <c r="U855" s="1234"/>
      <c r="V855" s="1234"/>
      <c r="W855" s="1234"/>
      <c r="X855" s="1234"/>
      <c r="Y855" s="1234"/>
      <c r="Z855" s="1234"/>
    </row>
    <row r="856" spans="1:26" ht="14.5">
      <c r="A856" s="1234"/>
      <c r="B856" s="1234"/>
      <c r="C856" s="1234"/>
      <c r="D856" s="1234"/>
      <c r="E856" s="1234"/>
      <c r="F856" s="1234"/>
      <c r="G856" s="1234"/>
      <c r="H856" s="1234"/>
      <c r="I856" s="1234"/>
      <c r="J856" s="1234"/>
      <c r="K856" s="1234"/>
      <c r="L856" s="1234"/>
      <c r="M856" s="1234"/>
      <c r="N856" s="1234"/>
      <c r="O856" s="1234"/>
      <c r="P856" s="1234"/>
      <c r="Q856" s="1234"/>
      <c r="R856" s="1234"/>
      <c r="S856" s="1234"/>
      <c r="T856" s="1234"/>
      <c r="U856" s="1234"/>
      <c r="V856" s="1234"/>
      <c r="W856" s="1234"/>
      <c r="X856" s="1234"/>
      <c r="Y856" s="1234"/>
      <c r="Z856" s="1234"/>
    </row>
    <row r="857" spans="1:26" ht="14.5">
      <c r="A857" s="1234"/>
      <c r="B857" s="1234"/>
      <c r="C857" s="1234"/>
      <c r="D857" s="1234"/>
      <c r="E857" s="1234"/>
      <c r="F857" s="1234"/>
      <c r="G857" s="1234"/>
      <c r="H857" s="1234"/>
      <c r="I857" s="1234"/>
      <c r="J857" s="1234"/>
      <c r="K857" s="1234"/>
      <c r="L857" s="1234"/>
      <c r="M857" s="1234"/>
      <c r="N857" s="1234"/>
      <c r="O857" s="1234"/>
      <c r="P857" s="1234"/>
      <c r="Q857" s="1234"/>
      <c r="R857" s="1234"/>
      <c r="S857" s="1234"/>
      <c r="T857" s="1234"/>
      <c r="U857" s="1234"/>
      <c r="V857" s="1234"/>
      <c r="W857" s="1234"/>
      <c r="X857" s="1234"/>
      <c r="Y857" s="1234"/>
      <c r="Z857" s="1234"/>
    </row>
    <row r="858" spans="1:26" ht="14.5">
      <c r="A858" s="1234"/>
      <c r="B858" s="1234"/>
      <c r="C858" s="1234"/>
      <c r="D858" s="1234"/>
      <c r="E858" s="1234"/>
      <c r="F858" s="1234"/>
      <c r="G858" s="1234"/>
      <c r="H858" s="1234"/>
      <c r="I858" s="1234"/>
      <c r="J858" s="1234"/>
      <c r="K858" s="1234"/>
      <c r="L858" s="1234"/>
      <c r="M858" s="1234"/>
      <c r="N858" s="1234"/>
      <c r="O858" s="1234"/>
      <c r="P858" s="1234"/>
      <c r="Q858" s="1234"/>
      <c r="R858" s="1234"/>
      <c r="S858" s="1234"/>
      <c r="T858" s="1234"/>
      <c r="U858" s="1234"/>
      <c r="V858" s="1234"/>
      <c r="W858" s="1234"/>
      <c r="X858" s="1234"/>
      <c r="Y858" s="1234"/>
      <c r="Z858" s="1234"/>
    </row>
    <row r="859" spans="1:26" ht="14.5">
      <c r="A859" s="1234"/>
      <c r="B859" s="1234"/>
      <c r="C859" s="1234"/>
      <c r="D859" s="1234"/>
      <c r="E859" s="1234"/>
      <c r="F859" s="1234"/>
      <c r="G859" s="1234"/>
      <c r="H859" s="1234"/>
      <c r="I859" s="1234"/>
      <c r="J859" s="1234"/>
      <c r="K859" s="1234"/>
      <c r="L859" s="1234"/>
      <c r="M859" s="1234"/>
      <c r="N859" s="1234"/>
      <c r="O859" s="1234"/>
      <c r="P859" s="1234"/>
      <c r="Q859" s="1234"/>
      <c r="R859" s="1234"/>
      <c r="S859" s="1234"/>
      <c r="T859" s="1234"/>
      <c r="U859" s="1234"/>
      <c r="V859" s="1234"/>
      <c r="W859" s="1234"/>
      <c r="X859" s="1234"/>
      <c r="Y859" s="1234"/>
      <c r="Z859" s="1234"/>
    </row>
    <row r="860" spans="1:26" ht="14.5">
      <c r="A860" s="1234"/>
      <c r="B860" s="1234"/>
      <c r="C860" s="1234"/>
      <c r="D860" s="1234"/>
      <c r="E860" s="1234"/>
      <c r="F860" s="1234"/>
      <c r="G860" s="1234"/>
      <c r="H860" s="1234"/>
      <c r="I860" s="1234"/>
      <c r="J860" s="1234"/>
      <c r="K860" s="1234"/>
      <c r="L860" s="1234"/>
      <c r="M860" s="1234"/>
      <c r="N860" s="1234"/>
      <c r="O860" s="1234"/>
      <c r="P860" s="1234"/>
      <c r="Q860" s="1234"/>
      <c r="R860" s="1234"/>
      <c r="S860" s="1234"/>
      <c r="T860" s="1234"/>
      <c r="U860" s="1234"/>
      <c r="V860" s="1234"/>
      <c r="W860" s="1234"/>
      <c r="X860" s="1234"/>
      <c r="Y860" s="1234"/>
      <c r="Z860" s="1234"/>
    </row>
    <row r="861" spans="1:26" ht="14.5">
      <c r="A861" s="1234"/>
      <c r="B861" s="1234"/>
      <c r="C861" s="1234"/>
      <c r="D861" s="1234"/>
      <c r="E861" s="1234"/>
      <c r="F861" s="1234"/>
      <c r="G861" s="1234"/>
      <c r="H861" s="1234"/>
      <c r="I861" s="1234"/>
      <c r="J861" s="1234"/>
      <c r="K861" s="1234"/>
      <c r="L861" s="1234"/>
      <c r="M861" s="1234"/>
      <c r="N861" s="1234"/>
      <c r="O861" s="1234"/>
      <c r="P861" s="1234"/>
      <c r="Q861" s="1234"/>
      <c r="R861" s="1234"/>
      <c r="S861" s="1234"/>
      <c r="T861" s="1234"/>
      <c r="U861" s="1234"/>
      <c r="V861" s="1234"/>
      <c r="W861" s="1234"/>
      <c r="X861" s="1234"/>
      <c r="Y861" s="1234"/>
      <c r="Z861" s="1234"/>
    </row>
    <row r="862" spans="1:26" ht="14.5">
      <c r="A862" s="1234"/>
      <c r="B862" s="1234"/>
      <c r="C862" s="1234"/>
      <c r="D862" s="1234"/>
      <c r="E862" s="1234"/>
      <c r="F862" s="1234"/>
      <c r="G862" s="1234"/>
      <c r="H862" s="1234"/>
      <c r="I862" s="1234"/>
      <c r="J862" s="1234"/>
      <c r="K862" s="1234"/>
      <c r="L862" s="1234"/>
      <c r="M862" s="1234"/>
      <c r="N862" s="1234"/>
      <c r="O862" s="1234"/>
      <c r="P862" s="1234"/>
      <c r="Q862" s="1234"/>
      <c r="R862" s="1234"/>
      <c r="S862" s="1234"/>
      <c r="T862" s="1234"/>
      <c r="U862" s="1234"/>
      <c r="V862" s="1234"/>
      <c r="W862" s="1234"/>
      <c r="X862" s="1234"/>
      <c r="Y862" s="1234"/>
      <c r="Z862" s="1234"/>
    </row>
    <row r="863" spans="1:26" ht="14.5">
      <c r="A863" s="1234"/>
      <c r="B863" s="1234"/>
      <c r="C863" s="1234"/>
      <c r="D863" s="1234"/>
      <c r="E863" s="1234"/>
      <c r="F863" s="1234"/>
      <c r="G863" s="1234"/>
      <c r="H863" s="1234"/>
      <c r="I863" s="1234"/>
      <c r="J863" s="1234"/>
      <c r="K863" s="1234"/>
      <c r="L863" s="1234"/>
      <c r="M863" s="1234"/>
      <c r="N863" s="1234"/>
      <c r="O863" s="1234"/>
      <c r="P863" s="1234"/>
      <c r="Q863" s="1234"/>
      <c r="R863" s="1234"/>
      <c r="S863" s="1234"/>
      <c r="T863" s="1234"/>
      <c r="U863" s="1234"/>
      <c r="V863" s="1234"/>
      <c r="W863" s="1234"/>
      <c r="X863" s="1234"/>
      <c r="Y863" s="1234"/>
      <c r="Z863" s="1234"/>
    </row>
    <row r="864" spans="1:26" ht="14.5">
      <c r="A864" s="1234"/>
      <c r="B864" s="1234"/>
      <c r="C864" s="1234"/>
      <c r="D864" s="1234"/>
      <c r="E864" s="1234"/>
      <c r="F864" s="1234"/>
      <c r="G864" s="1234"/>
      <c r="H864" s="1234"/>
      <c r="I864" s="1234"/>
      <c r="J864" s="1234"/>
      <c r="K864" s="1234"/>
      <c r="L864" s="1234"/>
      <c r="M864" s="1234"/>
      <c r="N864" s="1234"/>
      <c r="O864" s="1234"/>
      <c r="P864" s="1234"/>
      <c r="Q864" s="1234"/>
      <c r="R864" s="1234"/>
      <c r="S864" s="1234"/>
      <c r="T864" s="1234"/>
      <c r="U864" s="1234"/>
      <c r="V864" s="1234"/>
      <c r="W864" s="1234"/>
      <c r="X864" s="1234"/>
      <c r="Y864" s="1234"/>
      <c r="Z864" s="1234"/>
    </row>
    <row r="865" spans="1:26" ht="14.5">
      <c r="A865" s="1234"/>
      <c r="B865" s="1234"/>
      <c r="C865" s="1234"/>
      <c r="D865" s="1234"/>
      <c r="E865" s="1234"/>
      <c r="F865" s="1234"/>
      <c r="G865" s="1234"/>
      <c r="H865" s="1234"/>
      <c r="I865" s="1234"/>
      <c r="J865" s="1234"/>
      <c r="K865" s="1234"/>
      <c r="L865" s="1234"/>
      <c r="M865" s="1234"/>
      <c r="N865" s="1234"/>
      <c r="O865" s="1234"/>
      <c r="P865" s="1234"/>
      <c r="Q865" s="1234"/>
      <c r="R865" s="1234"/>
      <c r="S865" s="1234"/>
      <c r="T865" s="1234"/>
      <c r="U865" s="1234"/>
      <c r="V865" s="1234"/>
      <c r="W865" s="1234"/>
      <c r="X865" s="1234"/>
      <c r="Y865" s="1234"/>
      <c r="Z865" s="1234"/>
    </row>
    <row r="866" spans="1:26" ht="14.5">
      <c r="A866" s="1234"/>
      <c r="B866" s="1234"/>
      <c r="C866" s="1234"/>
      <c r="D866" s="1234"/>
      <c r="E866" s="1234"/>
      <c r="F866" s="1234"/>
      <c r="G866" s="1234"/>
      <c r="H866" s="1234"/>
      <c r="I866" s="1234"/>
      <c r="J866" s="1234"/>
      <c r="K866" s="1234"/>
      <c r="L866" s="1234"/>
      <c r="M866" s="1234"/>
      <c r="N866" s="1234"/>
      <c r="O866" s="1234"/>
      <c r="P866" s="1234"/>
      <c r="Q866" s="1234"/>
      <c r="R866" s="1234"/>
      <c r="S866" s="1234"/>
      <c r="T866" s="1234"/>
      <c r="U866" s="1234"/>
      <c r="V866" s="1234"/>
      <c r="W866" s="1234"/>
      <c r="X866" s="1234"/>
      <c r="Y866" s="1234"/>
      <c r="Z866" s="1234"/>
    </row>
    <row r="867" spans="1:26" ht="14.5">
      <c r="A867" s="1234"/>
      <c r="B867" s="1234"/>
      <c r="C867" s="1234"/>
      <c r="D867" s="1234"/>
      <c r="E867" s="1234"/>
      <c r="F867" s="1234"/>
      <c r="G867" s="1234"/>
      <c r="H867" s="1234"/>
      <c r="I867" s="1234"/>
      <c r="J867" s="1234"/>
      <c r="K867" s="1234"/>
      <c r="L867" s="1234"/>
      <c r="M867" s="1234"/>
      <c r="N867" s="1234"/>
      <c r="O867" s="1234"/>
      <c r="P867" s="1234"/>
      <c r="Q867" s="1234"/>
      <c r="R867" s="1234"/>
      <c r="S867" s="1234"/>
      <c r="T867" s="1234"/>
      <c r="U867" s="1234"/>
      <c r="V867" s="1234"/>
      <c r="W867" s="1234"/>
      <c r="X867" s="1234"/>
      <c r="Y867" s="1234"/>
      <c r="Z867" s="1234"/>
    </row>
    <row r="868" spans="1:26" ht="14.5">
      <c r="A868" s="1234"/>
      <c r="B868" s="1234"/>
      <c r="C868" s="1234"/>
      <c r="D868" s="1234"/>
      <c r="E868" s="1234"/>
      <c r="F868" s="1234"/>
      <c r="G868" s="1234"/>
      <c r="H868" s="1234"/>
      <c r="I868" s="1234"/>
      <c r="J868" s="1234"/>
      <c r="K868" s="1234"/>
      <c r="L868" s="1234"/>
      <c r="M868" s="1234"/>
      <c r="N868" s="1234"/>
      <c r="O868" s="1234"/>
      <c r="P868" s="1234"/>
      <c r="Q868" s="1234"/>
      <c r="R868" s="1234"/>
      <c r="S868" s="1234"/>
      <c r="T868" s="1234"/>
      <c r="U868" s="1234"/>
      <c r="V868" s="1234"/>
      <c r="W868" s="1234"/>
      <c r="X868" s="1234"/>
      <c r="Y868" s="1234"/>
      <c r="Z868" s="1234"/>
    </row>
    <row r="869" spans="1:26" ht="14.5">
      <c r="A869" s="1234"/>
      <c r="B869" s="1234"/>
      <c r="C869" s="1234"/>
      <c r="D869" s="1234"/>
      <c r="E869" s="1234"/>
      <c r="F869" s="1234"/>
      <c r="G869" s="1234"/>
      <c r="H869" s="1234"/>
      <c r="I869" s="1234"/>
      <c r="J869" s="1234"/>
      <c r="K869" s="1234"/>
      <c r="L869" s="1234"/>
      <c r="M869" s="1234"/>
      <c r="N869" s="1234"/>
      <c r="O869" s="1234"/>
      <c r="P869" s="1234"/>
      <c r="Q869" s="1234"/>
      <c r="R869" s="1234"/>
      <c r="S869" s="1234"/>
      <c r="T869" s="1234"/>
      <c r="U869" s="1234"/>
      <c r="V869" s="1234"/>
      <c r="W869" s="1234"/>
      <c r="X869" s="1234"/>
      <c r="Y869" s="1234"/>
      <c r="Z869" s="1234"/>
    </row>
    <row r="870" spans="1:26" ht="14.5">
      <c r="A870" s="1234"/>
      <c r="B870" s="1234"/>
      <c r="C870" s="1234"/>
      <c r="D870" s="1234"/>
      <c r="E870" s="1234"/>
      <c r="F870" s="1234"/>
      <c r="G870" s="1234"/>
      <c r="H870" s="1234"/>
      <c r="I870" s="1234"/>
      <c r="J870" s="1234"/>
      <c r="K870" s="1234"/>
      <c r="L870" s="1234"/>
      <c r="M870" s="1234"/>
      <c r="N870" s="1234"/>
      <c r="O870" s="1234"/>
      <c r="P870" s="1234"/>
      <c r="Q870" s="1234"/>
      <c r="R870" s="1234"/>
      <c r="S870" s="1234"/>
      <c r="T870" s="1234"/>
      <c r="U870" s="1234"/>
      <c r="V870" s="1234"/>
      <c r="W870" s="1234"/>
      <c r="X870" s="1234"/>
      <c r="Y870" s="1234"/>
      <c r="Z870" s="1234"/>
    </row>
    <row r="871" spans="1:26" ht="14.5">
      <c r="A871" s="1234"/>
      <c r="B871" s="1234"/>
      <c r="C871" s="1234"/>
      <c r="D871" s="1234"/>
      <c r="E871" s="1234"/>
      <c r="F871" s="1234"/>
      <c r="G871" s="1234"/>
      <c r="H871" s="1234"/>
      <c r="I871" s="1234"/>
      <c r="J871" s="1234"/>
      <c r="K871" s="1234"/>
      <c r="L871" s="1234"/>
      <c r="M871" s="1234"/>
      <c r="N871" s="1234"/>
      <c r="O871" s="1234"/>
      <c r="P871" s="1234"/>
      <c r="Q871" s="1234"/>
      <c r="R871" s="1234"/>
      <c r="S871" s="1234"/>
      <c r="T871" s="1234"/>
      <c r="U871" s="1234"/>
      <c r="V871" s="1234"/>
      <c r="W871" s="1234"/>
      <c r="X871" s="1234"/>
      <c r="Y871" s="1234"/>
      <c r="Z871" s="1234"/>
    </row>
    <row r="872" spans="1:26" ht="14.5">
      <c r="A872" s="1234"/>
      <c r="B872" s="1234"/>
      <c r="C872" s="1234"/>
      <c r="D872" s="1234"/>
      <c r="E872" s="1234"/>
      <c r="F872" s="1234"/>
      <c r="G872" s="1234"/>
      <c r="H872" s="1234"/>
      <c r="I872" s="1234"/>
      <c r="J872" s="1234"/>
      <c r="K872" s="1234"/>
      <c r="L872" s="1234"/>
      <c r="M872" s="1234"/>
      <c r="N872" s="1234"/>
      <c r="O872" s="1234"/>
      <c r="P872" s="1234"/>
      <c r="Q872" s="1234"/>
      <c r="R872" s="1234"/>
      <c r="S872" s="1234"/>
      <c r="T872" s="1234"/>
      <c r="U872" s="1234"/>
      <c r="V872" s="1234"/>
      <c r="W872" s="1234"/>
      <c r="X872" s="1234"/>
      <c r="Y872" s="1234"/>
      <c r="Z872" s="1234"/>
    </row>
    <row r="873" spans="1:26" ht="14.5">
      <c r="A873" s="1234"/>
      <c r="B873" s="1234"/>
      <c r="C873" s="1234"/>
      <c r="D873" s="1234"/>
      <c r="E873" s="1234"/>
      <c r="F873" s="1234"/>
      <c r="G873" s="1234"/>
      <c r="H873" s="1234"/>
      <c r="I873" s="1234"/>
      <c r="J873" s="1234"/>
      <c r="K873" s="1234"/>
      <c r="L873" s="1234"/>
      <c r="M873" s="1234"/>
      <c r="N873" s="1234"/>
      <c r="O873" s="1234"/>
      <c r="P873" s="1234"/>
      <c r="Q873" s="1234"/>
      <c r="R873" s="1234"/>
      <c r="S873" s="1234"/>
      <c r="T873" s="1234"/>
      <c r="U873" s="1234"/>
      <c r="V873" s="1234"/>
      <c r="W873" s="1234"/>
      <c r="X873" s="1234"/>
      <c r="Y873" s="1234"/>
      <c r="Z873" s="1234"/>
    </row>
    <row r="874" spans="1:26" ht="14.5">
      <c r="A874" s="1234"/>
      <c r="B874" s="1234"/>
      <c r="C874" s="1234"/>
      <c r="D874" s="1234"/>
      <c r="E874" s="1234"/>
      <c r="F874" s="1234"/>
      <c r="G874" s="1234"/>
      <c r="H874" s="1234"/>
      <c r="I874" s="1234"/>
      <c r="J874" s="1234"/>
      <c r="K874" s="1234"/>
      <c r="L874" s="1234"/>
      <c r="M874" s="1234"/>
      <c r="N874" s="1234"/>
      <c r="O874" s="1234"/>
      <c r="P874" s="1234"/>
      <c r="Q874" s="1234"/>
      <c r="R874" s="1234"/>
      <c r="S874" s="1234"/>
      <c r="T874" s="1234"/>
      <c r="U874" s="1234"/>
      <c r="V874" s="1234"/>
      <c r="W874" s="1234"/>
      <c r="X874" s="1234"/>
      <c r="Y874" s="1234"/>
      <c r="Z874" s="1234"/>
    </row>
    <row r="875" spans="1:26" ht="14.5">
      <c r="A875" s="1234"/>
      <c r="B875" s="1234"/>
      <c r="C875" s="1234"/>
      <c r="D875" s="1234"/>
      <c r="E875" s="1234"/>
      <c r="F875" s="1234"/>
      <c r="G875" s="1234"/>
      <c r="H875" s="1234"/>
      <c r="I875" s="1234"/>
      <c r="J875" s="1234"/>
      <c r="K875" s="1234"/>
      <c r="L875" s="1234"/>
      <c r="M875" s="1234"/>
      <c r="N875" s="1234"/>
      <c r="O875" s="1234"/>
      <c r="P875" s="1234"/>
      <c r="Q875" s="1234"/>
      <c r="R875" s="1234"/>
      <c r="S875" s="1234"/>
      <c r="T875" s="1234"/>
      <c r="U875" s="1234"/>
      <c r="V875" s="1234"/>
      <c r="W875" s="1234"/>
      <c r="X875" s="1234"/>
      <c r="Y875" s="1234"/>
      <c r="Z875" s="1234"/>
    </row>
    <row r="876" spans="1:26" ht="14.5">
      <c r="A876" s="1234"/>
      <c r="B876" s="1234"/>
      <c r="C876" s="1234"/>
      <c r="D876" s="1234"/>
      <c r="E876" s="1234"/>
      <c r="F876" s="1234"/>
      <c r="G876" s="1234"/>
      <c r="H876" s="1234"/>
      <c r="I876" s="1234"/>
      <c r="J876" s="1234"/>
      <c r="K876" s="1234"/>
      <c r="L876" s="1234"/>
      <c r="M876" s="1234"/>
      <c r="N876" s="1234"/>
      <c r="O876" s="1234"/>
      <c r="P876" s="1234"/>
      <c r="Q876" s="1234"/>
      <c r="R876" s="1234"/>
      <c r="S876" s="1234"/>
      <c r="T876" s="1234"/>
      <c r="U876" s="1234"/>
      <c r="V876" s="1234"/>
      <c r="W876" s="1234"/>
      <c r="X876" s="1234"/>
      <c r="Y876" s="1234"/>
      <c r="Z876" s="1234"/>
    </row>
    <row r="877" spans="1:26" ht="14.5">
      <c r="A877" s="1234"/>
      <c r="B877" s="1234"/>
      <c r="C877" s="1234"/>
      <c r="D877" s="1234"/>
      <c r="E877" s="1234"/>
      <c r="F877" s="1234"/>
      <c r="G877" s="1234"/>
      <c r="H877" s="1234"/>
      <c r="I877" s="1234"/>
      <c r="J877" s="1234"/>
      <c r="K877" s="1234"/>
      <c r="L877" s="1234"/>
      <c r="M877" s="1234"/>
      <c r="N877" s="1234"/>
      <c r="O877" s="1234"/>
      <c r="P877" s="1234"/>
      <c r="Q877" s="1234"/>
      <c r="R877" s="1234"/>
      <c r="S877" s="1234"/>
      <c r="T877" s="1234"/>
      <c r="U877" s="1234"/>
      <c r="V877" s="1234"/>
      <c r="W877" s="1234"/>
      <c r="X877" s="1234"/>
      <c r="Y877" s="1234"/>
      <c r="Z877" s="1234"/>
    </row>
    <row r="878" spans="1:26" ht="14.5">
      <c r="A878" s="1234"/>
      <c r="B878" s="1234"/>
      <c r="C878" s="1234"/>
      <c r="D878" s="1234"/>
      <c r="E878" s="1234"/>
      <c r="F878" s="1234"/>
      <c r="G878" s="1234"/>
      <c r="H878" s="1234"/>
      <c r="I878" s="1234"/>
      <c r="J878" s="1234"/>
      <c r="K878" s="1234"/>
      <c r="L878" s="1234"/>
      <c r="M878" s="1234"/>
      <c r="N878" s="1234"/>
      <c r="O878" s="1234"/>
      <c r="P878" s="1234"/>
      <c r="Q878" s="1234"/>
      <c r="R878" s="1234"/>
      <c r="S878" s="1234"/>
      <c r="T878" s="1234"/>
      <c r="U878" s="1234"/>
      <c r="V878" s="1234"/>
      <c r="W878" s="1234"/>
      <c r="X878" s="1234"/>
      <c r="Y878" s="1234"/>
      <c r="Z878" s="1234"/>
    </row>
    <row r="879" spans="1:26" ht="14.5">
      <c r="A879" s="1234"/>
      <c r="B879" s="1234"/>
      <c r="C879" s="1234"/>
      <c r="D879" s="1234"/>
      <c r="E879" s="1234"/>
      <c r="F879" s="1234"/>
      <c r="G879" s="1234"/>
      <c r="H879" s="1234"/>
      <c r="I879" s="1234"/>
      <c r="J879" s="1234"/>
      <c r="K879" s="1234"/>
      <c r="L879" s="1234"/>
      <c r="M879" s="1234"/>
      <c r="N879" s="1234"/>
      <c r="O879" s="1234"/>
      <c r="P879" s="1234"/>
      <c r="Q879" s="1234"/>
      <c r="R879" s="1234"/>
      <c r="S879" s="1234"/>
      <c r="T879" s="1234"/>
      <c r="U879" s="1234"/>
      <c r="V879" s="1234"/>
      <c r="W879" s="1234"/>
      <c r="X879" s="1234"/>
      <c r="Y879" s="1234"/>
      <c r="Z879" s="1234"/>
    </row>
    <row r="880" spans="1:26" ht="14.5">
      <c r="A880" s="1234"/>
      <c r="B880" s="1234"/>
      <c r="C880" s="1234"/>
      <c r="D880" s="1234"/>
      <c r="E880" s="1234"/>
      <c r="F880" s="1234"/>
      <c r="G880" s="1234"/>
      <c r="H880" s="1234"/>
      <c r="I880" s="1234"/>
      <c r="J880" s="1234"/>
      <c r="K880" s="1234"/>
      <c r="L880" s="1234"/>
      <c r="M880" s="1234"/>
      <c r="N880" s="1234"/>
      <c r="O880" s="1234"/>
      <c r="P880" s="1234"/>
      <c r="Q880" s="1234"/>
      <c r="R880" s="1234"/>
      <c r="S880" s="1234"/>
      <c r="T880" s="1234"/>
      <c r="U880" s="1234"/>
      <c r="V880" s="1234"/>
      <c r="W880" s="1234"/>
      <c r="X880" s="1234"/>
      <c r="Y880" s="1234"/>
      <c r="Z880" s="1234"/>
    </row>
    <row r="881" spans="1:26" ht="14.5">
      <c r="A881" s="1234"/>
      <c r="B881" s="1234"/>
      <c r="C881" s="1234"/>
      <c r="D881" s="1234"/>
      <c r="E881" s="1234"/>
      <c r="F881" s="1234"/>
      <c r="G881" s="1234"/>
      <c r="H881" s="1234"/>
      <c r="I881" s="1234"/>
      <c r="J881" s="1234"/>
      <c r="K881" s="1234"/>
      <c r="L881" s="1234"/>
      <c r="M881" s="1234"/>
      <c r="N881" s="1234"/>
      <c r="O881" s="1234"/>
      <c r="P881" s="1234"/>
      <c r="Q881" s="1234"/>
      <c r="R881" s="1234"/>
      <c r="S881" s="1234"/>
      <c r="T881" s="1234"/>
      <c r="U881" s="1234"/>
      <c r="V881" s="1234"/>
      <c r="W881" s="1234"/>
      <c r="X881" s="1234"/>
      <c r="Y881" s="1234"/>
      <c r="Z881" s="1234"/>
    </row>
    <row r="882" spans="1:26" ht="14.5">
      <c r="A882" s="1234"/>
      <c r="B882" s="1234"/>
      <c r="C882" s="1234"/>
      <c r="D882" s="1234"/>
      <c r="E882" s="1234"/>
      <c r="F882" s="1234"/>
      <c r="G882" s="1234"/>
      <c r="H882" s="1234"/>
      <c r="I882" s="1234"/>
      <c r="J882" s="1234"/>
      <c r="K882" s="1234"/>
      <c r="L882" s="1234"/>
      <c r="M882" s="1234"/>
      <c r="N882" s="1234"/>
      <c r="O882" s="1234"/>
      <c r="P882" s="1234"/>
      <c r="Q882" s="1234"/>
      <c r="R882" s="1234"/>
      <c r="S882" s="1234"/>
      <c r="T882" s="1234"/>
      <c r="U882" s="1234"/>
      <c r="V882" s="1234"/>
      <c r="W882" s="1234"/>
      <c r="X882" s="1234"/>
      <c r="Y882" s="1234"/>
      <c r="Z882" s="1234"/>
    </row>
    <row r="883" spans="1:26" ht="14.5">
      <c r="A883" s="1234"/>
      <c r="B883" s="1234"/>
      <c r="C883" s="1234"/>
      <c r="D883" s="1234"/>
      <c r="E883" s="1234"/>
      <c r="F883" s="1234"/>
      <c r="G883" s="1234"/>
      <c r="H883" s="1234"/>
      <c r="I883" s="1234"/>
      <c r="J883" s="1234"/>
      <c r="K883" s="1234"/>
      <c r="L883" s="1234"/>
      <c r="M883" s="1234"/>
      <c r="N883" s="1234"/>
      <c r="O883" s="1234"/>
      <c r="P883" s="1234"/>
      <c r="Q883" s="1234"/>
      <c r="R883" s="1234"/>
      <c r="S883" s="1234"/>
      <c r="T883" s="1234"/>
      <c r="U883" s="1234"/>
      <c r="V883" s="1234"/>
      <c r="W883" s="1234"/>
      <c r="X883" s="1234"/>
      <c r="Y883" s="1234"/>
      <c r="Z883" s="1234"/>
    </row>
    <row r="884" spans="1:26" ht="14.5">
      <c r="A884" s="1234"/>
      <c r="B884" s="1234"/>
      <c r="C884" s="1234"/>
      <c r="D884" s="1234"/>
      <c r="E884" s="1234"/>
      <c r="F884" s="1234"/>
      <c r="G884" s="1234"/>
      <c r="H884" s="1234"/>
      <c r="I884" s="1234"/>
      <c r="J884" s="1234"/>
      <c r="K884" s="1234"/>
      <c r="L884" s="1234"/>
      <c r="M884" s="1234"/>
      <c r="N884" s="1234"/>
      <c r="O884" s="1234"/>
      <c r="P884" s="1234"/>
      <c r="Q884" s="1234"/>
      <c r="R884" s="1234"/>
      <c r="S884" s="1234"/>
      <c r="T884" s="1234"/>
      <c r="U884" s="1234"/>
      <c r="V884" s="1234"/>
      <c r="W884" s="1234"/>
      <c r="X884" s="1234"/>
      <c r="Y884" s="1234"/>
      <c r="Z884" s="1234"/>
    </row>
    <row r="885" spans="1:26" ht="14.5">
      <c r="A885" s="1234"/>
      <c r="B885" s="1234"/>
      <c r="C885" s="1234"/>
      <c r="D885" s="1234"/>
      <c r="E885" s="1234"/>
      <c r="F885" s="1234"/>
      <c r="G885" s="1234"/>
      <c r="H885" s="1234"/>
      <c r="I885" s="1234"/>
      <c r="J885" s="1234"/>
      <c r="K885" s="1234"/>
      <c r="L885" s="1234"/>
      <c r="M885" s="1234"/>
      <c r="N885" s="1234"/>
      <c r="O885" s="1234"/>
      <c r="P885" s="1234"/>
      <c r="Q885" s="1234"/>
      <c r="R885" s="1234"/>
      <c r="S885" s="1234"/>
      <c r="T885" s="1234"/>
      <c r="U885" s="1234"/>
      <c r="V885" s="1234"/>
      <c r="W885" s="1234"/>
      <c r="X885" s="1234"/>
      <c r="Y885" s="1234"/>
      <c r="Z885" s="1234"/>
    </row>
    <row r="886" spans="1:26" ht="14.5">
      <c r="A886" s="1234"/>
      <c r="B886" s="1234"/>
      <c r="C886" s="1234"/>
      <c r="D886" s="1234"/>
      <c r="E886" s="1234"/>
      <c r="F886" s="1234"/>
      <c r="G886" s="1234"/>
      <c r="H886" s="1234"/>
      <c r="I886" s="1234"/>
      <c r="J886" s="1234"/>
      <c r="K886" s="1234"/>
      <c r="L886" s="1234"/>
      <c r="M886" s="1234"/>
      <c r="N886" s="1234"/>
      <c r="O886" s="1234"/>
      <c r="P886" s="1234"/>
      <c r="Q886" s="1234"/>
      <c r="R886" s="1234"/>
      <c r="S886" s="1234"/>
      <c r="T886" s="1234"/>
      <c r="U886" s="1234"/>
      <c r="V886" s="1234"/>
      <c r="W886" s="1234"/>
      <c r="X886" s="1234"/>
      <c r="Y886" s="1234"/>
      <c r="Z886" s="1234"/>
    </row>
    <row r="887" spans="1:26" ht="14.5">
      <c r="A887" s="1234"/>
      <c r="B887" s="1234"/>
      <c r="C887" s="1234"/>
      <c r="D887" s="1234"/>
      <c r="E887" s="1234"/>
      <c r="F887" s="1234"/>
      <c r="G887" s="1234"/>
      <c r="H887" s="1234"/>
      <c r="I887" s="1234"/>
      <c r="J887" s="1234"/>
      <c r="K887" s="1234"/>
      <c r="L887" s="1234"/>
      <c r="M887" s="1234"/>
      <c r="N887" s="1234"/>
      <c r="O887" s="1234"/>
      <c r="P887" s="1234"/>
      <c r="Q887" s="1234"/>
      <c r="R887" s="1234"/>
      <c r="S887" s="1234"/>
      <c r="T887" s="1234"/>
      <c r="U887" s="1234"/>
      <c r="V887" s="1234"/>
      <c r="W887" s="1234"/>
      <c r="X887" s="1234"/>
      <c r="Y887" s="1234"/>
      <c r="Z887" s="1234"/>
    </row>
    <row r="888" spans="1:26" ht="14.5">
      <c r="A888" s="1234"/>
      <c r="B888" s="1234"/>
      <c r="C888" s="1234"/>
      <c r="D888" s="1234"/>
      <c r="E888" s="1234"/>
      <c r="F888" s="1234"/>
      <c r="G888" s="1234"/>
      <c r="H888" s="1234"/>
      <c r="I888" s="1234"/>
      <c r="J888" s="1234"/>
      <c r="K888" s="1234"/>
      <c r="L888" s="1234"/>
      <c r="M888" s="1234"/>
      <c r="N888" s="1234"/>
      <c r="O888" s="1234"/>
      <c r="P888" s="1234"/>
      <c r="Q888" s="1234"/>
      <c r="R888" s="1234"/>
      <c r="S888" s="1234"/>
      <c r="T888" s="1234"/>
      <c r="U888" s="1234"/>
      <c r="V888" s="1234"/>
      <c r="W888" s="1234"/>
      <c r="X888" s="1234"/>
      <c r="Y888" s="1234"/>
      <c r="Z888" s="1234"/>
    </row>
    <row r="889" spans="1:26" ht="14.5">
      <c r="A889" s="1234"/>
      <c r="B889" s="1234"/>
      <c r="C889" s="1234"/>
      <c r="D889" s="1234"/>
      <c r="E889" s="1234"/>
      <c r="F889" s="1234"/>
      <c r="G889" s="1234"/>
      <c r="H889" s="1234"/>
      <c r="I889" s="1234"/>
      <c r="J889" s="1234"/>
      <c r="K889" s="1234"/>
      <c r="L889" s="1234"/>
      <c r="M889" s="1234"/>
      <c r="N889" s="1234"/>
      <c r="O889" s="1234"/>
      <c r="P889" s="1234"/>
      <c r="Q889" s="1234"/>
      <c r="R889" s="1234"/>
      <c r="S889" s="1234"/>
      <c r="T889" s="1234"/>
      <c r="U889" s="1234"/>
      <c r="V889" s="1234"/>
      <c r="W889" s="1234"/>
      <c r="X889" s="1234"/>
      <c r="Y889" s="1234"/>
      <c r="Z889" s="1234"/>
    </row>
    <row r="890" spans="1:26" ht="14.5">
      <c r="A890" s="1234"/>
      <c r="B890" s="1234"/>
      <c r="C890" s="1234"/>
      <c r="D890" s="1234"/>
      <c r="E890" s="1234"/>
      <c r="F890" s="1234"/>
      <c r="G890" s="1234"/>
      <c r="H890" s="1234"/>
      <c r="I890" s="1234"/>
      <c r="J890" s="1234"/>
      <c r="K890" s="1234"/>
      <c r="L890" s="1234"/>
      <c r="M890" s="1234"/>
      <c r="N890" s="1234"/>
      <c r="O890" s="1234"/>
      <c r="P890" s="1234"/>
      <c r="Q890" s="1234"/>
      <c r="R890" s="1234"/>
      <c r="S890" s="1234"/>
      <c r="T890" s="1234"/>
      <c r="U890" s="1234"/>
      <c r="V890" s="1234"/>
      <c r="W890" s="1234"/>
      <c r="X890" s="1234"/>
      <c r="Y890" s="1234"/>
      <c r="Z890" s="1234"/>
    </row>
    <row r="891" spans="1:26" ht="14.5">
      <c r="A891" s="1234"/>
      <c r="B891" s="1234"/>
      <c r="C891" s="1234"/>
      <c r="D891" s="1234"/>
      <c r="E891" s="1234"/>
      <c r="F891" s="1234"/>
      <c r="G891" s="1234"/>
      <c r="H891" s="1234"/>
      <c r="I891" s="1234"/>
      <c r="J891" s="1234"/>
      <c r="K891" s="1234"/>
      <c r="L891" s="1234"/>
      <c r="M891" s="1234"/>
      <c r="N891" s="1234"/>
      <c r="O891" s="1234"/>
      <c r="P891" s="1234"/>
      <c r="Q891" s="1234"/>
      <c r="R891" s="1234"/>
      <c r="S891" s="1234"/>
      <c r="T891" s="1234"/>
      <c r="U891" s="1234"/>
      <c r="V891" s="1234"/>
      <c r="W891" s="1234"/>
      <c r="X891" s="1234"/>
      <c r="Y891" s="1234"/>
      <c r="Z891" s="1234"/>
    </row>
    <row r="892" spans="1:26" ht="14.5">
      <c r="A892" s="1234"/>
      <c r="B892" s="1234"/>
      <c r="C892" s="1234"/>
      <c r="D892" s="1234"/>
      <c r="E892" s="1234"/>
      <c r="F892" s="1234"/>
      <c r="G892" s="1234"/>
      <c r="H892" s="1234"/>
      <c r="I892" s="1234"/>
      <c r="J892" s="1234"/>
      <c r="K892" s="1234"/>
      <c r="L892" s="1234"/>
      <c r="M892" s="1234"/>
      <c r="N892" s="1234"/>
      <c r="O892" s="1234"/>
      <c r="P892" s="1234"/>
      <c r="Q892" s="1234"/>
      <c r="R892" s="1234"/>
      <c r="S892" s="1234"/>
      <c r="T892" s="1234"/>
      <c r="U892" s="1234"/>
      <c r="V892" s="1234"/>
      <c r="W892" s="1234"/>
      <c r="X892" s="1234"/>
      <c r="Y892" s="1234"/>
      <c r="Z892" s="1234"/>
    </row>
    <row r="893" spans="1:26" ht="14.5">
      <c r="A893" s="1234"/>
      <c r="B893" s="1234"/>
      <c r="C893" s="1234"/>
      <c r="D893" s="1234"/>
      <c r="E893" s="1234"/>
      <c r="F893" s="1234"/>
      <c r="G893" s="1234"/>
      <c r="H893" s="1234"/>
      <c r="I893" s="1234"/>
      <c r="J893" s="1234"/>
      <c r="K893" s="1234"/>
      <c r="L893" s="1234"/>
      <c r="M893" s="1234"/>
      <c r="N893" s="1234"/>
      <c r="O893" s="1234"/>
      <c r="P893" s="1234"/>
      <c r="Q893" s="1234"/>
      <c r="R893" s="1234"/>
      <c r="S893" s="1234"/>
      <c r="T893" s="1234"/>
      <c r="U893" s="1234"/>
      <c r="V893" s="1234"/>
      <c r="W893" s="1234"/>
      <c r="X893" s="1234"/>
      <c r="Y893" s="1234"/>
      <c r="Z893" s="1234"/>
    </row>
    <row r="894" spans="1:26" ht="14.5">
      <c r="A894" s="1234"/>
      <c r="B894" s="1234"/>
      <c r="C894" s="1234"/>
      <c r="D894" s="1234"/>
      <c r="E894" s="1234"/>
      <c r="F894" s="1234"/>
      <c r="G894" s="1234"/>
      <c r="H894" s="1234"/>
      <c r="I894" s="1234"/>
      <c r="J894" s="1234"/>
      <c r="K894" s="1234"/>
      <c r="L894" s="1234"/>
      <c r="M894" s="1234"/>
      <c r="N894" s="1234"/>
      <c r="O894" s="1234"/>
      <c r="P894" s="1234"/>
      <c r="Q894" s="1234"/>
      <c r="R894" s="1234"/>
      <c r="S894" s="1234"/>
      <c r="T894" s="1234"/>
      <c r="U894" s="1234"/>
      <c r="V894" s="1234"/>
      <c r="W894" s="1234"/>
      <c r="X894" s="1234"/>
      <c r="Y894" s="1234"/>
      <c r="Z894" s="1234"/>
    </row>
    <row r="895" spans="1:26" ht="14.5">
      <c r="A895" s="1234"/>
      <c r="B895" s="1234"/>
      <c r="C895" s="1234"/>
      <c r="D895" s="1234"/>
      <c r="E895" s="1234"/>
      <c r="F895" s="1234"/>
      <c r="G895" s="1234"/>
      <c r="H895" s="1234"/>
      <c r="I895" s="1234"/>
      <c r="J895" s="1234"/>
      <c r="K895" s="1234"/>
      <c r="L895" s="1234"/>
      <c r="M895" s="1234"/>
      <c r="N895" s="1234"/>
      <c r="O895" s="1234"/>
      <c r="P895" s="1234"/>
      <c r="Q895" s="1234"/>
      <c r="R895" s="1234"/>
      <c r="S895" s="1234"/>
      <c r="T895" s="1234"/>
      <c r="U895" s="1234"/>
      <c r="V895" s="1234"/>
      <c r="W895" s="1234"/>
      <c r="X895" s="1234"/>
      <c r="Y895" s="1234"/>
      <c r="Z895" s="1234"/>
    </row>
    <row r="896" spans="1:26" ht="14.5">
      <c r="A896" s="1234"/>
      <c r="B896" s="1234"/>
      <c r="C896" s="1234"/>
      <c r="D896" s="1234"/>
      <c r="E896" s="1234"/>
      <c r="F896" s="1234"/>
      <c r="G896" s="1234"/>
      <c r="H896" s="1234"/>
      <c r="I896" s="1234"/>
      <c r="J896" s="1234"/>
      <c r="K896" s="1234"/>
      <c r="L896" s="1234"/>
      <c r="M896" s="1234"/>
      <c r="N896" s="1234"/>
      <c r="O896" s="1234"/>
      <c r="P896" s="1234"/>
      <c r="Q896" s="1234"/>
      <c r="R896" s="1234"/>
      <c r="S896" s="1234"/>
      <c r="T896" s="1234"/>
      <c r="U896" s="1234"/>
      <c r="V896" s="1234"/>
      <c r="W896" s="1234"/>
      <c r="X896" s="1234"/>
      <c r="Y896" s="1234"/>
      <c r="Z896" s="1234"/>
    </row>
    <row r="897" spans="1:26" ht="14.5">
      <c r="A897" s="1234"/>
      <c r="B897" s="1234"/>
      <c r="C897" s="1234"/>
      <c r="D897" s="1234"/>
      <c r="E897" s="1234"/>
      <c r="F897" s="1234"/>
      <c r="G897" s="1234"/>
      <c r="H897" s="1234"/>
      <c r="I897" s="1234"/>
      <c r="J897" s="1234"/>
      <c r="K897" s="1234"/>
      <c r="L897" s="1234"/>
      <c r="M897" s="1234"/>
      <c r="N897" s="1234"/>
      <c r="O897" s="1234"/>
      <c r="P897" s="1234"/>
      <c r="Q897" s="1234"/>
      <c r="R897" s="1234"/>
      <c r="S897" s="1234"/>
      <c r="T897" s="1234"/>
      <c r="U897" s="1234"/>
      <c r="V897" s="1234"/>
      <c r="W897" s="1234"/>
      <c r="X897" s="1234"/>
      <c r="Y897" s="1234"/>
      <c r="Z897" s="1234"/>
    </row>
    <row r="898" spans="1:26" ht="14.5">
      <c r="A898" s="1234"/>
      <c r="B898" s="1234"/>
      <c r="C898" s="1234"/>
      <c r="D898" s="1234"/>
      <c r="E898" s="1234"/>
      <c r="F898" s="1234"/>
      <c r="G898" s="1234"/>
      <c r="H898" s="1234"/>
      <c r="I898" s="1234"/>
      <c r="J898" s="1234"/>
      <c r="K898" s="1234"/>
      <c r="L898" s="1234"/>
      <c r="M898" s="1234"/>
      <c r="N898" s="1234"/>
      <c r="O898" s="1234"/>
      <c r="P898" s="1234"/>
      <c r="Q898" s="1234"/>
      <c r="R898" s="1234"/>
      <c r="S898" s="1234"/>
      <c r="T898" s="1234"/>
      <c r="U898" s="1234"/>
      <c r="V898" s="1234"/>
      <c r="W898" s="1234"/>
      <c r="X898" s="1234"/>
      <c r="Y898" s="1234"/>
      <c r="Z898" s="1234"/>
    </row>
    <row r="899" spans="1:26" ht="14.5">
      <c r="A899" s="1234"/>
      <c r="B899" s="1234"/>
      <c r="C899" s="1234"/>
      <c r="D899" s="1234"/>
      <c r="E899" s="1234"/>
      <c r="F899" s="1234"/>
      <c r="G899" s="1234"/>
      <c r="H899" s="1234"/>
      <c r="I899" s="1234"/>
      <c r="J899" s="1234"/>
      <c r="K899" s="1234"/>
      <c r="L899" s="1234"/>
      <c r="M899" s="1234"/>
      <c r="N899" s="1234"/>
      <c r="O899" s="1234"/>
      <c r="P899" s="1234"/>
      <c r="Q899" s="1234"/>
      <c r="R899" s="1234"/>
      <c r="S899" s="1234"/>
      <c r="T899" s="1234"/>
      <c r="U899" s="1234"/>
      <c r="V899" s="1234"/>
      <c r="W899" s="1234"/>
      <c r="X899" s="1234"/>
      <c r="Y899" s="1234"/>
      <c r="Z899" s="1234"/>
    </row>
    <row r="900" spans="1:26" ht="14.5">
      <c r="A900" s="1234"/>
      <c r="B900" s="1234"/>
      <c r="C900" s="1234"/>
      <c r="D900" s="1234"/>
      <c r="E900" s="1234"/>
      <c r="F900" s="1234"/>
      <c r="G900" s="1234"/>
      <c r="H900" s="1234"/>
      <c r="I900" s="1234"/>
      <c r="J900" s="1234"/>
      <c r="K900" s="1234"/>
      <c r="L900" s="1234"/>
      <c r="M900" s="1234"/>
      <c r="N900" s="1234"/>
      <c r="O900" s="1234"/>
      <c r="P900" s="1234"/>
      <c r="Q900" s="1234"/>
      <c r="R900" s="1234"/>
      <c r="S900" s="1234"/>
      <c r="T900" s="1234"/>
      <c r="U900" s="1234"/>
      <c r="V900" s="1234"/>
      <c r="W900" s="1234"/>
      <c r="X900" s="1234"/>
      <c r="Y900" s="1234"/>
      <c r="Z900" s="1234"/>
    </row>
    <row r="901" spans="1:26" ht="14.5">
      <c r="A901" s="1234"/>
      <c r="B901" s="1234"/>
      <c r="C901" s="1234"/>
      <c r="D901" s="1234"/>
      <c r="E901" s="1234"/>
      <c r="F901" s="1234"/>
      <c r="G901" s="1234"/>
      <c r="H901" s="1234"/>
      <c r="I901" s="1234"/>
      <c r="J901" s="1234"/>
      <c r="K901" s="1234"/>
      <c r="L901" s="1234"/>
      <c r="M901" s="1234"/>
      <c r="N901" s="1234"/>
      <c r="O901" s="1234"/>
      <c r="P901" s="1234"/>
      <c r="Q901" s="1234"/>
      <c r="R901" s="1234"/>
      <c r="S901" s="1234"/>
      <c r="T901" s="1234"/>
      <c r="U901" s="1234"/>
      <c r="V901" s="1234"/>
      <c r="W901" s="1234"/>
      <c r="X901" s="1234"/>
      <c r="Y901" s="1234"/>
      <c r="Z901" s="1234"/>
    </row>
    <row r="902" spans="1:26" ht="14.5">
      <c r="A902" s="1234"/>
      <c r="B902" s="1234"/>
      <c r="C902" s="1234"/>
      <c r="D902" s="1234"/>
      <c r="E902" s="1234"/>
      <c r="F902" s="1234"/>
      <c r="G902" s="1234"/>
      <c r="H902" s="1234"/>
      <c r="I902" s="1234"/>
      <c r="J902" s="1234"/>
      <c r="K902" s="1234"/>
      <c r="L902" s="1234"/>
      <c r="M902" s="1234"/>
      <c r="N902" s="1234"/>
      <c r="O902" s="1234"/>
      <c r="P902" s="1234"/>
      <c r="Q902" s="1234"/>
      <c r="R902" s="1234"/>
      <c r="S902" s="1234"/>
      <c r="T902" s="1234"/>
      <c r="U902" s="1234"/>
      <c r="V902" s="1234"/>
      <c r="W902" s="1234"/>
      <c r="X902" s="1234"/>
      <c r="Y902" s="1234"/>
      <c r="Z902" s="1234"/>
    </row>
    <row r="903" spans="1:26" ht="14.5">
      <c r="A903" s="1234"/>
      <c r="B903" s="1234"/>
      <c r="C903" s="1234"/>
      <c r="D903" s="1234"/>
      <c r="E903" s="1234"/>
      <c r="F903" s="1234"/>
      <c r="G903" s="1234"/>
      <c r="H903" s="1234"/>
      <c r="I903" s="1234"/>
      <c r="J903" s="1234"/>
      <c r="K903" s="1234"/>
      <c r="L903" s="1234"/>
      <c r="M903" s="1234"/>
      <c r="N903" s="1234"/>
      <c r="O903" s="1234"/>
      <c r="P903" s="1234"/>
      <c r="Q903" s="1234"/>
      <c r="R903" s="1234"/>
      <c r="S903" s="1234"/>
      <c r="T903" s="1234"/>
      <c r="U903" s="1234"/>
      <c r="V903" s="1234"/>
      <c r="W903" s="1234"/>
      <c r="X903" s="1234"/>
      <c r="Y903" s="1234"/>
      <c r="Z903" s="1234"/>
    </row>
    <row r="904" spans="1:26" ht="14.5">
      <c r="A904" s="1234"/>
      <c r="B904" s="1234"/>
      <c r="C904" s="1234"/>
      <c r="D904" s="1234"/>
      <c r="E904" s="1234"/>
      <c r="F904" s="1234"/>
      <c r="G904" s="1234"/>
      <c r="H904" s="1234"/>
      <c r="I904" s="1234"/>
      <c r="J904" s="1234"/>
      <c r="K904" s="1234"/>
      <c r="L904" s="1234"/>
      <c r="M904" s="1234"/>
      <c r="N904" s="1234"/>
      <c r="O904" s="1234"/>
      <c r="P904" s="1234"/>
      <c r="Q904" s="1234"/>
      <c r="R904" s="1234"/>
      <c r="S904" s="1234"/>
      <c r="T904" s="1234"/>
      <c r="U904" s="1234"/>
      <c r="V904" s="1234"/>
      <c r="W904" s="1234"/>
      <c r="X904" s="1234"/>
      <c r="Y904" s="1234"/>
      <c r="Z904" s="1234"/>
    </row>
    <row r="905" spans="1:26" ht="14.5">
      <c r="A905" s="1234"/>
      <c r="B905" s="1234"/>
      <c r="C905" s="1234"/>
      <c r="D905" s="1234"/>
      <c r="E905" s="1234"/>
      <c r="F905" s="1234"/>
      <c r="G905" s="1234"/>
      <c r="H905" s="1234"/>
      <c r="I905" s="1234"/>
      <c r="J905" s="1234"/>
      <c r="K905" s="1234"/>
      <c r="L905" s="1234"/>
      <c r="M905" s="1234"/>
      <c r="N905" s="1234"/>
      <c r="O905" s="1234"/>
      <c r="P905" s="1234"/>
      <c r="Q905" s="1234"/>
      <c r="R905" s="1234"/>
      <c r="S905" s="1234"/>
      <c r="T905" s="1234"/>
      <c r="U905" s="1234"/>
      <c r="V905" s="1234"/>
      <c r="W905" s="1234"/>
      <c r="X905" s="1234"/>
      <c r="Y905" s="1234"/>
      <c r="Z905" s="1234"/>
    </row>
    <row r="906" spans="1:26" ht="14.5">
      <c r="A906" s="1234"/>
      <c r="B906" s="1234"/>
      <c r="C906" s="1234"/>
      <c r="D906" s="1234"/>
      <c r="E906" s="1234"/>
      <c r="F906" s="1234"/>
      <c r="G906" s="1234"/>
      <c r="H906" s="1234"/>
      <c r="I906" s="1234"/>
      <c r="J906" s="1234"/>
      <c r="K906" s="1234"/>
      <c r="L906" s="1234"/>
      <c r="M906" s="1234"/>
      <c r="N906" s="1234"/>
      <c r="O906" s="1234"/>
      <c r="P906" s="1234"/>
      <c r="Q906" s="1234"/>
      <c r="R906" s="1234"/>
      <c r="S906" s="1234"/>
      <c r="T906" s="1234"/>
      <c r="U906" s="1234"/>
      <c r="V906" s="1234"/>
      <c r="W906" s="1234"/>
      <c r="X906" s="1234"/>
      <c r="Y906" s="1234"/>
      <c r="Z906" s="1234"/>
    </row>
    <row r="907" spans="1:26" ht="14.5">
      <c r="A907" s="1234"/>
      <c r="B907" s="1234"/>
      <c r="C907" s="1234"/>
      <c r="D907" s="1234"/>
      <c r="E907" s="1234"/>
      <c r="F907" s="1234"/>
      <c r="G907" s="1234"/>
      <c r="H907" s="1234"/>
      <c r="I907" s="1234"/>
      <c r="J907" s="1234"/>
      <c r="K907" s="1234"/>
      <c r="L907" s="1234"/>
      <c r="M907" s="1234"/>
      <c r="N907" s="1234"/>
      <c r="O907" s="1234"/>
      <c r="P907" s="1234"/>
      <c r="Q907" s="1234"/>
      <c r="R907" s="1234"/>
      <c r="S907" s="1234"/>
      <c r="T907" s="1234"/>
      <c r="U907" s="1234"/>
      <c r="V907" s="1234"/>
      <c r="W907" s="1234"/>
      <c r="X907" s="1234"/>
      <c r="Y907" s="1234"/>
      <c r="Z907" s="1234"/>
    </row>
    <row r="908" spans="1:26" ht="14.5">
      <c r="A908" s="1234"/>
      <c r="B908" s="1234"/>
      <c r="C908" s="1234"/>
      <c r="D908" s="1234"/>
      <c r="E908" s="1234"/>
      <c r="F908" s="1234"/>
      <c r="G908" s="1234"/>
      <c r="H908" s="1234"/>
      <c r="I908" s="1234"/>
      <c r="J908" s="1234"/>
      <c r="K908" s="1234"/>
      <c r="L908" s="1234"/>
      <c r="M908" s="1234"/>
      <c r="N908" s="1234"/>
      <c r="O908" s="1234"/>
      <c r="P908" s="1234"/>
      <c r="Q908" s="1234"/>
      <c r="R908" s="1234"/>
      <c r="S908" s="1234"/>
      <c r="T908" s="1234"/>
      <c r="U908" s="1234"/>
      <c r="V908" s="1234"/>
      <c r="W908" s="1234"/>
      <c r="X908" s="1234"/>
      <c r="Y908" s="1234"/>
      <c r="Z908" s="1234"/>
    </row>
    <row r="909" spans="1:26" ht="14.5">
      <c r="A909" s="1234"/>
      <c r="B909" s="1234"/>
      <c r="C909" s="1234"/>
      <c r="D909" s="1234"/>
      <c r="E909" s="1234"/>
      <c r="F909" s="1234"/>
      <c r="G909" s="1234"/>
      <c r="H909" s="1234"/>
      <c r="I909" s="1234"/>
      <c r="J909" s="1234"/>
      <c r="K909" s="1234"/>
      <c r="L909" s="1234"/>
      <c r="M909" s="1234"/>
      <c r="N909" s="1234"/>
      <c r="O909" s="1234"/>
      <c r="P909" s="1234"/>
      <c r="Q909" s="1234"/>
      <c r="R909" s="1234"/>
      <c r="S909" s="1234"/>
      <c r="T909" s="1234"/>
      <c r="U909" s="1234"/>
      <c r="V909" s="1234"/>
      <c r="W909" s="1234"/>
      <c r="X909" s="1234"/>
      <c r="Y909" s="1234"/>
      <c r="Z909" s="1234"/>
    </row>
    <row r="910" spans="1:26" ht="14.5">
      <c r="A910" s="1234"/>
      <c r="B910" s="1234"/>
      <c r="C910" s="1234"/>
      <c r="D910" s="1234"/>
      <c r="E910" s="1234"/>
      <c r="F910" s="1234"/>
      <c r="G910" s="1234"/>
      <c r="H910" s="1234"/>
      <c r="I910" s="1234"/>
      <c r="J910" s="1234"/>
      <c r="K910" s="1234"/>
      <c r="L910" s="1234"/>
      <c r="M910" s="1234"/>
      <c r="N910" s="1234"/>
      <c r="O910" s="1234"/>
      <c r="P910" s="1234"/>
      <c r="Q910" s="1234"/>
      <c r="R910" s="1234"/>
      <c r="S910" s="1234"/>
      <c r="T910" s="1234"/>
      <c r="U910" s="1234"/>
      <c r="V910" s="1234"/>
      <c r="W910" s="1234"/>
      <c r="X910" s="1234"/>
      <c r="Y910" s="1234"/>
      <c r="Z910" s="1234"/>
    </row>
    <row r="911" spans="1:26" ht="14.5">
      <c r="A911" s="1234"/>
      <c r="B911" s="1234"/>
      <c r="C911" s="1234"/>
      <c r="D911" s="1234"/>
      <c r="E911" s="1234"/>
      <c r="F911" s="1234"/>
      <c r="G911" s="1234"/>
      <c r="H911" s="1234"/>
      <c r="I911" s="1234"/>
      <c r="J911" s="1234"/>
      <c r="K911" s="1234"/>
      <c r="L911" s="1234"/>
      <c r="M911" s="1234"/>
      <c r="N911" s="1234"/>
      <c r="O911" s="1234"/>
      <c r="P911" s="1234"/>
      <c r="Q911" s="1234"/>
      <c r="R911" s="1234"/>
      <c r="S911" s="1234"/>
      <c r="T911" s="1234"/>
      <c r="U911" s="1234"/>
      <c r="V911" s="1234"/>
      <c r="W911" s="1234"/>
      <c r="X911" s="1234"/>
      <c r="Y911" s="1234"/>
      <c r="Z911" s="1234"/>
    </row>
    <row r="912" spans="1:26" ht="14.5">
      <c r="A912" s="1234"/>
      <c r="B912" s="1234"/>
      <c r="C912" s="1234"/>
      <c r="D912" s="1234"/>
      <c r="E912" s="1234"/>
      <c r="F912" s="1234"/>
      <c r="G912" s="1234"/>
      <c r="H912" s="1234"/>
      <c r="I912" s="1234"/>
      <c r="J912" s="1234"/>
      <c r="K912" s="1234"/>
      <c r="L912" s="1234"/>
      <c r="M912" s="1234"/>
      <c r="N912" s="1234"/>
      <c r="O912" s="1234"/>
      <c r="P912" s="1234"/>
      <c r="Q912" s="1234"/>
      <c r="R912" s="1234"/>
      <c r="S912" s="1234"/>
      <c r="T912" s="1234"/>
      <c r="U912" s="1234"/>
      <c r="V912" s="1234"/>
      <c r="W912" s="1234"/>
      <c r="X912" s="1234"/>
      <c r="Y912" s="1234"/>
      <c r="Z912" s="1234"/>
    </row>
    <row r="913" spans="1:26" ht="14.5">
      <c r="A913" s="1234"/>
      <c r="B913" s="1234"/>
      <c r="C913" s="1234"/>
      <c r="D913" s="1234"/>
      <c r="E913" s="1234"/>
      <c r="F913" s="1234"/>
      <c r="G913" s="1234"/>
      <c r="H913" s="1234"/>
      <c r="I913" s="1234"/>
      <c r="J913" s="1234"/>
      <c r="K913" s="1234"/>
      <c r="L913" s="1234"/>
      <c r="M913" s="1234"/>
      <c r="N913" s="1234"/>
      <c r="O913" s="1234"/>
      <c r="P913" s="1234"/>
      <c r="Q913" s="1234"/>
      <c r="R913" s="1234"/>
      <c r="S913" s="1234"/>
      <c r="T913" s="1234"/>
      <c r="U913" s="1234"/>
      <c r="V913" s="1234"/>
      <c r="W913" s="1234"/>
      <c r="X913" s="1234"/>
      <c r="Y913" s="1234"/>
      <c r="Z913" s="1234"/>
    </row>
    <row r="914" spans="1:26" ht="14.5">
      <c r="A914" s="1234"/>
      <c r="B914" s="1234"/>
      <c r="C914" s="1234"/>
      <c r="D914" s="1234"/>
      <c r="E914" s="1234"/>
      <c r="F914" s="1234"/>
      <c r="G914" s="1234"/>
      <c r="H914" s="1234"/>
      <c r="I914" s="1234"/>
      <c r="J914" s="1234"/>
      <c r="K914" s="1234"/>
      <c r="L914" s="1234"/>
      <c r="M914" s="1234"/>
      <c r="N914" s="1234"/>
      <c r="O914" s="1234"/>
      <c r="P914" s="1234"/>
      <c r="Q914" s="1234"/>
      <c r="R914" s="1234"/>
      <c r="S914" s="1234"/>
      <c r="T914" s="1234"/>
      <c r="U914" s="1234"/>
      <c r="V914" s="1234"/>
      <c r="W914" s="1234"/>
      <c r="X914" s="1234"/>
      <c r="Y914" s="1234"/>
      <c r="Z914" s="1234"/>
    </row>
    <row r="915" spans="1:26" ht="14.5">
      <c r="A915" s="1234"/>
      <c r="B915" s="1234"/>
      <c r="C915" s="1234"/>
      <c r="D915" s="1234"/>
      <c r="E915" s="1234"/>
      <c r="F915" s="1234"/>
      <c r="G915" s="1234"/>
      <c r="H915" s="1234"/>
      <c r="I915" s="1234"/>
      <c r="J915" s="1234"/>
      <c r="K915" s="1234"/>
      <c r="L915" s="1234"/>
      <c r="M915" s="1234"/>
      <c r="N915" s="1234"/>
      <c r="O915" s="1234"/>
      <c r="P915" s="1234"/>
      <c r="Q915" s="1234"/>
      <c r="R915" s="1234"/>
      <c r="S915" s="1234"/>
      <c r="T915" s="1234"/>
      <c r="U915" s="1234"/>
      <c r="V915" s="1234"/>
      <c r="W915" s="1234"/>
      <c r="X915" s="1234"/>
      <c r="Y915" s="1234"/>
      <c r="Z915" s="1234"/>
    </row>
    <row r="916" spans="1:26" ht="14.5">
      <c r="A916" s="1234"/>
      <c r="B916" s="1234"/>
      <c r="C916" s="1234"/>
      <c r="D916" s="1234"/>
      <c r="E916" s="1234"/>
      <c r="F916" s="1234"/>
      <c r="G916" s="1234"/>
      <c r="H916" s="1234"/>
      <c r="I916" s="1234"/>
      <c r="J916" s="1234"/>
      <c r="K916" s="1234"/>
      <c r="L916" s="1234"/>
      <c r="M916" s="1234"/>
      <c r="N916" s="1234"/>
      <c r="O916" s="1234"/>
      <c r="P916" s="1234"/>
      <c r="Q916" s="1234"/>
      <c r="R916" s="1234"/>
      <c r="S916" s="1234"/>
      <c r="T916" s="1234"/>
      <c r="U916" s="1234"/>
      <c r="V916" s="1234"/>
      <c r="W916" s="1234"/>
      <c r="X916" s="1234"/>
      <c r="Y916" s="1234"/>
      <c r="Z916" s="1234"/>
    </row>
    <row r="917" spans="1:26" ht="14.5">
      <c r="A917" s="1234"/>
      <c r="B917" s="1234"/>
      <c r="C917" s="1234"/>
      <c r="D917" s="1234"/>
      <c r="E917" s="1234"/>
      <c r="F917" s="1234"/>
      <c r="G917" s="1234"/>
      <c r="H917" s="1234"/>
      <c r="I917" s="1234"/>
      <c r="J917" s="1234"/>
      <c r="K917" s="1234"/>
      <c r="L917" s="1234"/>
      <c r="M917" s="1234"/>
      <c r="N917" s="1234"/>
      <c r="O917" s="1234"/>
      <c r="P917" s="1234"/>
      <c r="Q917" s="1234"/>
      <c r="R917" s="1234"/>
      <c r="S917" s="1234"/>
      <c r="T917" s="1234"/>
      <c r="U917" s="1234"/>
      <c r="V917" s="1234"/>
      <c r="W917" s="1234"/>
      <c r="X917" s="1234"/>
      <c r="Y917" s="1234"/>
      <c r="Z917" s="1234"/>
    </row>
    <row r="918" spans="1:26" ht="14.5">
      <c r="A918" s="1234"/>
      <c r="B918" s="1234"/>
      <c r="C918" s="1234"/>
      <c r="D918" s="1234"/>
      <c r="E918" s="1234"/>
      <c r="F918" s="1234"/>
      <c r="G918" s="1234"/>
      <c r="H918" s="1234"/>
      <c r="I918" s="1234"/>
      <c r="J918" s="1234"/>
      <c r="K918" s="1234"/>
      <c r="L918" s="1234"/>
      <c r="M918" s="1234"/>
      <c r="N918" s="1234"/>
      <c r="O918" s="1234"/>
      <c r="P918" s="1234"/>
      <c r="Q918" s="1234"/>
      <c r="R918" s="1234"/>
      <c r="S918" s="1234"/>
      <c r="T918" s="1234"/>
      <c r="U918" s="1234"/>
      <c r="V918" s="1234"/>
      <c r="W918" s="1234"/>
      <c r="X918" s="1234"/>
      <c r="Y918" s="1234"/>
      <c r="Z918" s="1234"/>
    </row>
    <row r="919" spans="1:26" ht="14.5">
      <c r="A919" s="1234"/>
      <c r="B919" s="1234"/>
      <c r="C919" s="1234"/>
      <c r="D919" s="1234"/>
      <c r="E919" s="1234"/>
      <c r="F919" s="1234"/>
      <c r="G919" s="1234"/>
      <c r="H919" s="1234"/>
      <c r="I919" s="1234"/>
      <c r="J919" s="1234"/>
      <c r="K919" s="1234"/>
      <c r="L919" s="1234"/>
      <c r="M919" s="1234"/>
      <c r="N919" s="1234"/>
      <c r="O919" s="1234"/>
      <c r="P919" s="1234"/>
      <c r="Q919" s="1234"/>
      <c r="R919" s="1234"/>
      <c r="S919" s="1234"/>
      <c r="T919" s="1234"/>
      <c r="U919" s="1234"/>
      <c r="V919" s="1234"/>
      <c r="W919" s="1234"/>
      <c r="X919" s="1234"/>
      <c r="Y919" s="1234"/>
      <c r="Z919" s="1234"/>
    </row>
    <row r="920" spans="1:26" ht="14.5">
      <c r="A920" s="1234"/>
      <c r="B920" s="1234"/>
      <c r="C920" s="1234"/>
      <c r="D920" s="1234"/>
      <c r="E920" s="1234"/>
      <c r="F920" s="1234"/>
      <c r="G920" s="1234"/>
      <c r="H920" s="1234"/>
      <c r="I920" s="1234"/>
      <c r="J920" s="1234"/>
      <c r="K920" s="1234"/>
      <c r="L920" s="1234"/>
      <c r="M920" s="1234"/>
      <c r="N920" s="1234"/>
      <c r="O920" s="1234"/>
      <c r="P920" s="1234"/>
      <c r="Q920" s="1234"/>
      <c r="R920" s="1234"/>
      <c r="S920" s="1234"/>
      <c r="T920" s="1234"/>
      <c r="U920" s="1234"/>
      <c r="V920" s="1234"/>
      <c r="W920" s="1234"/>
      <c r="X920" s="1234"/>
      <c r="Y920" s="1234"/>
      <c r="Z920" s="1234"/>
    </row>
    <row r="921" spans="1:26" ht="14.5">
      <c r="A921" s="1234"/>
      <c r="B921" s="1234"/>
      <c r="C921" s="1234"/>
      <c r="D921" s="1234"/>
      <c r="E921" s="1234"/>
      <c r="F921" s="1234"/>
      <c r="G921" s="1234"/>
      <c r="H921" s="1234"/>
      <c r="I921" s="1234"/>
      <c r="J921" s="1234"/>
      <c r="K921" s="1234"/>
      <c r="L921" s="1234"/>
      <c r="M921" s="1234"/>
      <c r="N921" s="1234"/>
      <c r="O921" s="1234"/>
      <c r="P921" s="1234"/>
      <c r="Q921" s="1234"/>
      <c r="R921" s="1234"/>
      <c r="S921" s="1234"/>
      <c r="T921" s="1234"/>
      <c r="U921" s="1234"/>
      <c r="V921" s="1234"/>
      <c r="W921" s="1234"/>
      <c r="X921" s="1234"/>
      <c r="Y921" s="1234"/>
      <c r="Z921" s="1234"/>
    </row>
    <row r="922" spans="1:26" ht="14.5">
      <c r="A922" s="1234"/>
      <c r="B922" s="1234"/>
      <c r="C922" s="1234"/>
      <c r="D922" s="1234"/>
      <c r="E922" s="1234"/>
      <c r="F922" s="1234"/>
      <c r="G922" s="1234"/>
      <c r="H922" s="1234"/>
      <c r="I922" s="1234"/>
      <c r="J922" s="1234"/>
      <c r="K922" s="1234"/>
      <c r="L922" s="1234"/>
      <c r="M922" s="1234"/>
      <c r="N922" s="1234"/>
      <c r="O922" s="1234"/>
      <c r="P922" s="1234"/>
      <c r="Q922" s="1234"/>
      <c r="R922" s="1234"/>
      <c r="S922" s="1234"/>
      <c r="T922" s="1234"/>
      <c r="U922" s="1234"/>
      <c r="V922" s="1234"/>
      <c r="W922" s="1234"/>
      <c r="X922" s="1234"/>
      <c r="Y922" s="1234"/>
      <c r="Z922" s="1234"/>
    </row>
    <row r="923" spans="1:26" ht="14.5">
      <c r="A923" s="1234"/>
      <c r="B923" s="1234"/>
      <c r="C923" s="1234"/>
      <c r="D923" s="1234"/>
      <c r="E923" s="1234"/>
      <c r="F923" s="1234"/>
      <c r="G923" s="1234"/>
      <c r="H923" s="1234"/>
      <c r="I923" s="1234"/>
      <c r="J923" s="1234"/>
      <c r="K923" s="1234"/>
      <c r="L923" s="1234"/>
      <c r="M923" s="1234"/>
      <c r="N923" s="1234"/>
      <c r="O923" s="1234"/>
      <c r="P923" s="1234"/>
      <c r="Q923" s="1234"/>
      <c r="R923" s="1234"/>
      <c r="S923" s="1234"/>
      <c r="T923" s="1234"/>
      <c r="U923" s="1234"/>
      <c r="V923" s="1234"/>
      <c r="W923" s="1234"/>
      <c r="X923" s="1234"/>
      <c r="Y923" s="1234"/>
      <c r="Z923" s="1234"/>
    </row>
    <row r="924" spans="1:26" ht="14.5">
      <c r="A924" s="1234"/>
      <c r="B924" s="1234"/>
      <c r="C924" s="1234"/>
      <c r="D924" s="1234"/>
      <c r="E924" s="1234"/>
      <c r="F924" s="1234"/>
      <c r="G924" s="1234"/>
      <c r="H924" s="1234"/>
      <c r="I924" s="1234"/>
      <c r="J924" s="1234"/>
      <c r="K924" s="1234"/>
      <c r="L924" s="1234"/>
      <c r="M924" s="1234"/>
      <c r="N924" s="1234"/>
      <c r="O924" s="1234"/>
      <c r="P924" s="1234"/>
      <c r="Q924" s="1234"/>
      <c r="R924" s="1234"/>
      <c r="S924" s="1234"/>
      <c r="T924" s="1234"/>
      <c r="U924" s="1234"/>
      <c r="V924" s="1234"/>
      <c r="W924" s="1234"/>
      <c r="X924" s="1234"/>
      <c r="Y924" s="1234"/>
      <c r="Z924" s="1234"/>
    </row>
    <row r="925" spans="1:26" ht="14.5">
      <c r="A925" s="1234"/>
      <c r="B925" s="1234"/>
      <c r="C925" s="1234"/>
      <c r="D925" s="1234"/>
      <c r="E925" s="1234"/>
      <c r="F925" s="1234"/>
      <c r="G925" s="1234"/>
      <c r="H925" s="1234"/>
      <c r="I925" s="1234"/>
      <c r="J925" s="1234"/>
      <c r="K925" s="1234"/>
      <c r="L925" s="1234"/>
      <c r="M925" s="1234"/>
      <c r="N925" s="1234"/>
      <c r="O925" s="1234"/>
      <c r="P925" s="1234"/>
      <c r="Q925" s="1234"/>
      <c r="R925" s="1234"/>
      <c r="S925" s="1234"/>
      <c r="T925" s="1234"/>
      <c r="U925" s="1234"/>
      <c r="V925" s="1234"/>
      <c r="W925" s="1234"/>
      <c r="X925" s="1234"/>
      <c r="Y925" s="1234"/>
      <c r="Z925" s="1234"/>
    </row>
    <row r="926" spans="1:26" ht="14.5">
      <c r="A926" s="1234"/>
      <c r="B926" s="1234"/>
      <c r="C926" s="1234"/>
      <c r="D926" s="1234"/>
      <c r="E926" s="1234"/>
      <c r="F926" s="1234"/>
      <c r="G926" s="1234"/>
      <c r="H926" s="1234"/>
      <c r="I926" s="1234"/>
      <c r="J926" s="1234"/>
      <c r="K926" s="1234"/>
      <c r="L926" s="1234"/>
      <c r="M926" s="1234"/>
      <c r="N926" s="1234"/>
      <c r="O926" s="1234"/>
      <c r="P926" s="1234"/>
      <c r="Q926" s="1234"/>
      <c r="R926" s="1234"/>
      <c r="S926" s="1234"/>
      <c r="T926" s="1234"/>
      <c r="U926" s="1234"/>
      <c r="V926" s="1234"/>
      <c r="W926" s="1234"/>
      <c r="X926" s="1234"/>
      <c r="Y926" s="1234"/>
      <c r="Z926" s="1234"/>
    </row>
    <row r="927" spans="1:26" ht="14.5">
      <c r="A927" s="1234"/>
      <c r="B927" s="1234"/>
      <c r="C927" s="1234"/>
      <c r="D927" s="1234"/>
      <c r="E927" s="1234"/>
      <c r="F927" s="1234"/>
      <c r="G927" s="1234"/>
      <c r="H927" s="1234"/>
      <c r="I927" s="1234"/>
      <c r="J927" s="1234"/>
      <c r="K927" s="1234"/>
      <c r="L927" s="1234"/>
      <c r="M927" s="1234"/>
      <c r="N927" s="1234"/>
      <c r="O927" s="1234"/>
      <c r="P927" s="1234"/>
      <c r="Q927" s="1234"/>
      <c r="R927" s="1234"/>
      <c r="S927" s="1234"/>
      <c r="T927" s="1234"/>
      <c r="U927" s="1234"/>
      <c r="V927" s="1234"/>
      <c r="W927" s="1234"/>
      <c r="X927" s="1234"/>
      <c r="Y927" s="1234"/>
      <c r="Z927" s="1234"/>
    </row>
    <row r="928" spans="1:26" ht="14.5">
      <c r="A928" s="1234"/>
      <c r="B928" s="1234"/>
      <c r="C928" s="1234"/>
      <c r="D928" s="1234"/>
      <c r="E928" s="1234"/>
      <c r="F928" s="1234"/>
      <c r="G928" s="1234"/>
      <c r="H928" s="1234"/>
      <c r="I928" s="1234"/>
      <c r="J928" s="1234"/>
      <c r="K928" s="1234"/>
      <c r="L928" s="1234"/>
      <c r="M928" s="1234"/>
      <c r="N928" s="1234"/>
      <c r="O928" s="1234"/>
      <c r="P928" s="1234"/>
      <c r="Q928" s="1234"/>
      <c r="R928" s="1234"/>
      <c r="S928" s="1234"/>
      <c r="T928" s="1234"/>
      <c r="U928" s="1234"/>
      <c r="V928" s="1234"/>
      <c r="W928" s="1234"/>
      <c r="X928" s="1234"/>
      <c r="Y928" s="1234"/>
      <c r="Z928" s="1234"/>
    </row>
    <row r="929" spans="1:26" ht="14.5">
      <c r="A929" s="1234"/>
      <c r="B929" s="1234"/>
      <c r="C929" s="1234"/>
      <c r="D929" s="1234"/>
      <c r="E929" s="1234"/>
      <c r="F929" s="1234"/>
      <c r="G929" s="1234"/>
      <c r="H929" s="1234"/>
      <c r="I929" s="1234"/>
      <c r="J929" s="1234"/>
      <c r="K929" s="1234"/>
      <c r="L929" s="1234"/>
      <c r="M929" s="1234"/>
      <c r="N929" s="1234"/>
      <c r="O929" s="1234"/>
      <c r="P929" s="1234"/>
      <c r="Q929" s="1234"/>
      <c r="R929" s="1234"/>
      <c r="S929" s="1234"/>
      <c r="T929" s="1234"/>
      <c r="U929" s="1234"/>
      <c r="V929" s="1234"/>
      <c r="W929" s="1234"/>
      <c r="X929" s="1234"/>
      <c r="Y929" s="1234"/>
      <c r="Z929" s="1234"/>
    </row>
    <row r="930" spans="1:26" ht="14.5">
      <c r="A930" s="1234"/>
      <c r="B930" s="1234"/>
      <c r="C930" s="1234"/>
      <c r="D930" s="1234"/>
      <c r="E930" s="1234"/>
      <c r="F930" s="1234"/>
      <c r="G930" s="1234"/>
      <c r="H930" s="1234"/>
      <c r="I930" s="1234"/>
      <c r="J930" s="1234"/>
      <c r="K930" s="1234"/>
      <c r="L930" s="1234"/>
      <c r="M930" s="1234"/>
      <c r="N930" s="1234"/>
      <c r="O930" s="1234"/>
      <c r="P930" s="1234"/>
      <c r="Q930" s="1234"/>
      <c r="R930" s="1234"/>
      <c r="S930" s="1234"/>
      <c r="T930" s="1234"/>
      <c r="U930" s="1234"/>
      <c r="V930" s="1234"/>
      <c r="W930" s="1234"/>
      <c r="X930" s="1234"/>
      <c r="Y930" s="1234"/>
      <c r="Z930" s="1234"/>
    </row>
    <row r="931" spans="1:26" ht="14.5">
      <c r="A931" s="1234"/>
      <c r="B931" s="1234"/>
      <c r="C931" s="1234"/>
      <c r="D931" s="1234"/>
      <c r="E931" s="1234"/>
      <c r="F931" s="1234"/>
      <c r="G931" s="1234"/>
      <c r="H931" s="1234"/>
      <c r="I931" s="1234"/>
      <c r="J931" s="1234"/>
      <c r="K931" s="1234"/>
      <c r="L931" s="1234"/>
      <c r="M931" s="1234"/>
      <c r="N931" s="1234"/>
      <c r="O931" s="1234"/>
      <c r="P931" s="1234"/>
      <c r="Q931" s="1234"/>
      <c r="R931" s="1234"/>
      <c r="S931" s="1234"/>
      <c r="T931" s="1234"/>
      <c r="U931" s="1234"/>
      <c r="V931" s="1234"/>
      <c r="W931" s="1234"/>
      <c r="X931" s="1234"/>
      <c r="Y931" s="1234"/>
      <c r="Z931" s="1234"/>
    </row>
    <row r="932" spans="1:26" ht="14.5">
      <c r="A932" s="1234"/>
      <c r="B932" s="1234"/>
      <c r="C932" s="1234"/>
      <c r="D932" s="1234"/>
      <c r="E932" s="1234"/>
      <c r="F932" s="1234"/>
      <c r="G932" s="1234"/>
      <c r="H932" s="1234"/>
      <c r="I932" s="1234"/>
      <c r="J932" s="1234"/>
      <c r="K932" s="1234"/>
      <c r="L932" s="1234"/>
      <c r="M932" s="1234"/>
      <c r="N932" s="1234"/>
      <c r="O932" s="1234"/>
      <c r="P932" s="1234"/>
      <c r="Q932" s="1234"/>
      <c r="R932" s="1234"/>
      <c r="S932" s="1234"/>
      <c r="T932" s="1234"/>
      <c r="U932" s="1234"/>
      <c r="V932" s="1234"/>
      <c r="W932" s="1234"/>
      <c r="X932" s="1234"/>
      <c r="Y932" s="1234"/>
      <c r="Z932" s="1234"/>
    </row>
    <row r="933" spans="1:26" ht="14.5">
      <c r="A933" s="1234"/>
      <c r="B933" s="1234"/>
      <c r="C933" s="1234"/>
      <c r="D933" s="1234"/>
      <c r="E933" s="1234"/>
      <c r="F933" s="1234"/>
      <c r="G933" s="1234"/>
      <c r="H933" s="1234"/>
      <c r="I933" s="1234"/>
      <c r="J933" s="1234"/>
      <c r="K933" s="1234"/>
      <c r="L933" s="1234"/>
      <c r="M933" s="1234"/>
      <c r="N933" s="1234"/>
      <c r="O933" s="1234"/>
      <c r="P933" s="1234"/>
      <c r="Q933" s="1234"/>
      <c r="R933" s="1234"/>
      <c r="S933" s="1234"/>
      <c r="T933" s="1234"/>
      <c r="U933" s="1234"/>
      <c r="V933" s="1234"/>
      <c r="W933" s="1234"/>
      <c r="X933" s="1234"/>
      <c r="Y933" s="1234"/>
      <c r="Z933" s="1234"/>
    </row>
    <row r="934" spans="1:26" ht="14.5">
      <c r="A934" s="1234"/>
      <c r="B934" s="1234"/>
      <c r="C934" s="1234"/>
      <c r="D934" s="1234"/>
      <c r="E934" s="1234"/>
      <c r="F934" s="1234"/>
      <c r="G934" s="1234"/>
      <c r="H934" s="1234"/>
      <c r="I934" s="1234"/>
      <c r="J934" s="1234"/>
      <c r="K934" s="1234"/>
      <c r="L934" s="1234"/>
      <c r="M934" s="1234"/>
      <c r="N934" s="1234"/>
      <c r="O934" s="1234"/>
      <c r="P934" s="1234"/>
      <c r="Q934" s="1234"/>
      <c r="R934" s="1234"/>
      <c r="S934" s="1234"/>
      <c r="T934" s="1234"/>
      <c r="U934" s="1234"/>
      <c r="V934" s="1234"/>
      <c r="W934" s="1234"/>
      <c r="X934" s="1234"/>
      <c r="Y934" s="1234"/>
      <c r="Z934" s="1234"/>
    </row>
    <row r="935" spans="1:26" ht="14.5">
      <c r="A935" s="1234"/>
      <c r="B935" s="1234"/>
      <c r="C935" s="1234"/>
      <c r="D935" s="1234"/>
      <c r="E935" s="1234"/>
      <c r="F935" s="1234"/>
      <c r="G935" s="1234"/>
      <c r="H935" s="1234"/>
      <c r="I935" s="1234"/>
      <c r="J935" s="1234"/>
      <c r="K935" s="1234"/>
      <c r="L935" s="1234"/>
      <c r="M935" s="1234"/>
      <c r="N935" s="1234"/>
      <c r="O935" s="1234"/>
      <c r="P935" s="1234"/>
      <c r="Q935" s="1234"/>
      <c r="R935" s="1234"/>
      <c r="S935" s="1234"/>
      <c r="T935" s="1234"/>
      <c r="U935" s="1234"/>
      <c r="V935" s="1234"/>
      <c r="W935" s="1234"/>
      <c r="X935" s="1234"/>
      <c r="Y935" s="1234"/>
      <c r="Z935" s="1234"/>
    </row>
    <row r="936" spans="1:26" ht="14.5">
      <c r="A936" s="1234"/>
      <c r="B936" s="1234"/>
      <c r="C936" s="1234"/>
      <c r="D936" s="1234"/>
      <c r="E936" s="1234"/>
      <c r="F936" s="1234"/>
      <c r="G936" s="1234"/>
      <c r="H936" s="1234"/>
      <c r="I936" s="1234"/>
      <c r="J936" s="1234"/>
      <c r="K936" s="1234"/>
      <c r="L936" s="1234"/>
      <c r="M936" s="1234"/>
      <c r="N936" s="1234"/>
      <c r="O936" s="1234"/>
      <c r="P936" s="1234"/>
      <c r="Q936" s="1234"/>
      <c r="R936" s="1234"/>
      <c r="S936" s="1234"/>
      <c r="T936" s="1234"/>
      <c r="U936" s="1234"/>
      <c r="V936" s="1234"/>
      <c r="W936" s="1234"/>
      <c r="X936" s="1234"/>
      <c r="Y936" s="1234"/>
      <c r="Z936" s="1234"/>
    </row>
    <row r="937" spans="1:26" ht="14.5">
      <c r="A937" s="1234"/>
      <c r="B937" s="1234"/>
      <c r="C937" s="1234"/>
      <c r="D937" s="1234"/>
      <c r="E937" s="1234"/>
      <c r="F937" s="1234"/>
      <c r="G937" s="1234"/>
      <c r="H937" s="1234"/>
      <c r="I937" s="1234"/>
      <c r="J937" s="1234"/>
      <c r="K937" s="1234"/>
      <c r="L937" s="1234"/>
      <c r="M937" s="1234"/>
      <c r="N937" s="1234"/>
      <c r="O937" s="1234"/>
      <c r="P937" s="1234"/>
      <c r="Q937" s="1234"/>
      <c r="R937" s="1234"/>
      <c r="S937" s="1234"/>
      <c r="T937" s="1234"/>
      <c r="U937" s="1234"/>
      <c r="V937" s="1234"/>
      <c r="W937" s="1234"/>
      <c r="X937" s="1234"/>
      <c r="Y937" s="1234"/>
      <c r="Z937" s="1234"/>
    </row>
    <row r="938" spans="1:26" ht="14.5">
      <c r="A938" s="1234"/>
      <c r="B938" s="1234"/>
      <c r="C938" s="1234"/>
      <c r="D938" s="1234"/>
      <c r="E938" s="1234"/>
      <c r="F938" s="1234"/>
      <c r="G938" s="1234"/>
      <c r="H938" s="1234"/>
      <c r="I938" s="1234"/>
      <c r="J938" s="1234"/>
      <c r="K938" s="1234"/>
      <c r="L938" s="1234"/>
      <c r="M938" s="1234"/>
      <c r="N938" s="1234"/>
      <c r="O938" s="1234"/>
      <c r="P938" s="1234"/>
      <c r="Q938" s="1234"/>
      <c r="R938" s="1234"/>
      <c r="S938" s="1234"/>
      <c r="T938" s="1234"/>
      <c r="U938" s="1234"/>
      <c r="V938" s="1234"/>
      <c r="W938" s="1234"/>
      <c r="X938" s="1234"/>
      <c r="Y938" s="1234"/>
      <c r="Z938" s="1234"/>
    </row>
    <row r="939" spans="1:26" ht="14.5">
      <c r="A939" s="1234"/>
      <c r="B939" s="1234"/>
      <c r="C939" s="1234"/>
      <c r="D939" s="1234"/>
      <c r="E939" s="1234"/>
      <c r="F939" s="1234"/>
      <c r="G939" s="1234"/>
      <c r="H939" s="1234"/>
      <c r="I939" s="1234"/>
      <c r="J939" s="1234"/>
      <c r="K939" s="1234"/>
      <c r="L939" s="1234"/>
      <c r="M939" s="1234"/>
      <c r="N939" s="1234"/>
      <c r="O939" s="1234"/>
      <c r="P939" s="1234"/>
      <c r="Q939" s="1234"/>
      <c r="R939" s="1234"/>
      <c r="S939" s="1234"/>
      <c r="T939" s="1234"/>
      <c r="U939" s="1234"/>
      <c r="V939" s="1234"/>
      <c r="W939" s="1234"/>
      <c r="X939" s="1234"/>
      <c r="Y939" s="1234"/>
      <c r="Z939" s="1234"/>
    </row>
    <row r="940" spans="1:26" ht="14.5">
      <c r="A940" s="1234"/>
      <c r="B940" s="1234"/>
      <c r="C940" s="1234"/>
      <c r="D940" s="1234"/>
      <c r="E940" s="1234"/>
      <c r="F940" s="1234"/>
      <c r="G940" s="1234"/>
      <c r="H940" s="1234"/>
      <c r="I940" s="1234"/>
      <c r="J940" s="1234"/>
      <c r="K940" s="1234"/>
      <c r="L940" s="1234"/>
      <c r="M940" s="1234"/>
      <c r="N940" s="1234"/>
      <c r="O940" s="1234"/>
      <c r="P940" s="1234"/>
      <c r="Q940" s="1234"/>
      <c r="R940" s="1234"/>
      <c r="S940" s="1234"/>
      <c r="T940" s="1234"/>
      <c r="U940" s="1234"/>
      <c r="V940" s="1234"/>
      <c r="W940" s="1234"/>
      <c r="X940" s="1234"/>
      <c r="Y940" s="1234"/>
      <c r="Z940" s="1234"/>
    </row>
    <row r="941" spans="1:26" ht="14.5">
      <c r="A941" s="1234"/>
      <c r="B941" s="1234"/>
      <c r="C941" s="1234"/>
      <c r="D941" s="1234"/>
      <c r="E941" s="1234"/>
      <c r="F941" s="1234"/>
      <c r="G941" s="1234"/>
      <c r="H941" s="1234"/>
      <c r="I941" s="1234"/>
      <c r="J941" s="1234"/>
      <c r="K941" s="1234"/>
      <c r="L941" s="1234"/>
      <c r="M941" s="1234"/>
      <c r="N941" s="1234"/>
      <c r="O941" s="1234"/>
      <c r="P941" s="1234"/>
      <c r="Q941" s="1234"/>
      <c r="R941" s="1234"/>
      <c r="S941" s="1234"/>
      <c r="T941" s="1234"/>
      <c r="U941" s="1234"/>
      <c r="V941" s="1234"/>
      <c r="W941" s="1234"/>
      <c r="X941" s="1234"/>
      <c r="Y941" s="1234"/>
      <c r="Z941" s="1234"/>
    </row>
    <row r="942" spans="1:26" ht="14.5">
      <c r="A942" s="1234"/>
      <c r="B942" s="1234"/>
      <c r="C942" s="1234"/>
      <c r="D942" s="1234"/>
      <c r="E942" s="1234"/>
      <c r="F942" s="1234"/>
      <c r="G942" s="1234"/>
      <c r="H942" s="1234"/>
      <c r="I942" s="1234"/>
      <c r="J942" s="1234"/>
      <c r="K942" s="1234"/>
      <c r="L942" s="1234"/>
      <c r="M942" s="1234"/>
      <c r="N942" s="1234"/>
      <c r="O942" s="1234"/>
      <c r="P942" s="1234"/>
      <c r="Q942" s="1234"/>
      <c r="R942" s="1234"/>
      <c r="S942" s="1234"/>
      <c r="T942" s="1234"/>
      <c r="U942" s="1234"/>
      <c r="V942" s="1234"/>
      <c r="W942" s="1234"/>
      <c r="X942" s="1234"/>
      <c r="Y942" s="1234"/>
      <c r="Z942" s="1234"/>
    </row>
    <row r="943" spans="1:26" ht="14.5">
      <c r="A943" s="1234"/>
      <c r="B943" s="1234"/>
      <c r="C943" s="1234"/>
      <c r="D943" s="1234"/>
      <c r="E943" s="1234"/>
      <c r="F943" s="1234"/>
      <c r="G943" s="1234"/>
      <c r="H943" s="1234"/>
      <c r="I943" s="1234"/>
      <c r="J943" s="1234"/>
      <c r="K943" s="1234"/>
      <c r="L943" s="1234"/>
      <c r="M943" s="1234"/>
      <c r="N943" s="1234"/>
      <c r="O943" s="1234"/>
      <c r="P943" s="1234"/>
      <c r="Q943" s="1234"/>
      <c r="R943" s="1234"/>
      <c r="S943" s="1234"/>
      <c r="T943" s="1234"/>
      <c r="U943" s="1234"/>
      <c r="V943" s="1234"/>
      <c r="W943" s="1234"/>
      <c r="X943" s="1234"/>
      <c r="Y943" s="1234"/>
      <c r="Z943" s="1234"/>
    </row>
    <row r="944" spans="1:26" ht="14.5">
      <c r="A944" s="1234"/>
      <c r="B944" s="1234"/>
      <c r="C944" s="1234"/>
      <c r="D944" s="1234"/>
      <c r="E944" s="1234"/>
      <c r="F944" s="1234"/>
      <c r="G944" s="1234"/>
      <c r="H944" s="1234"/>
      <c r="I944" s="1234"/>
      <c r="J944" s="1234"/>
      <c r="K944" s="1234"/>
      <c r="L944" s="1234"/>
      <c r="M944" s="1234"/>
      <c r="N944" s="1234"/>
      <c r="O944" s="1234"/>
      <c r="P944" s="1234"/>
      <c r="Q944" s="1234"/>
      <c r="R944" s="1234"/>
      <c r="S944" s="1234"/>
      <c r="T944" s="1234"/>
      <c r="U944" s="1234"/>
      <c r="V944" s="1234"/>
      <c r="W944" s="1234"/>
      <c r="X944" s="1234"/>
      <c r="Y944" s="1234"/>
      <c r="Z944" s="1234"/>
    </row>
    <row r="945" spans="1:26" ht="14.5">
      <c r="A945" s="1234"/>
      <c r="B945" s="1234"/>
      <c r="C945" s="1234"/>
      <c r="D945" s="1234"/>
      <c r="E945" s="1234"/>
      <c r="F945" s="1234"/>
      <c r="G945" s="1234"/>
      <c r="H945" s="1234"/>
      <c r="I945" s="1234"/>
      <c r="J945" s="1234"/>
      <c r="K945" s="1234"/>
      <c r="L945" s="1234"/>
      <c r="M945" s="1234"/>
      <c r="N945" s="1234"/>
      <c r="O945" s="1234"/>
      <c r="P945" s="1234"/>
      <c r="Q945" s="1234"/>
      <c r="R945" s="1234"/>
      <c r="S945" s="1234"/>
      <c r="T945" s="1234"/>
      <c r="U945" s="1234"/>
      <c r="V945" s="1234"/>
      <c r="W945" s="1234"/>
      <c r="X945" s="1234"/>
      <c r="Y945" s="1234"/>
      <c r="Z945" s="1234"/>
    </row>
    <row r="946" spans="1:26" ht="14.5">
      <c r="A946" s="1234"/>
      <c r="B946" s="1234"/>
      <c r="C946" s="1234"/>
      <c r="D946" s="1234"/>
      <c r="E946" s="1234"/>
      <c r="F946" s="1234"/>
      <c r="G946" s="1234"/>
      <c r="H946" s="1234"/>
      <c r="I946" s="1234"/>
      <c r="J946" s="1234"/>
      <c r="K946" s="1234"/>
      <c r="L946" s="1234"/>
      <c r="M946" s="1234"/>
      <c r="N946" s="1234"/>
      <c r="O946" s="1234"/>
      <c r="P946" s="1234"/>
      <c r="Q946" s="1234"/>
      <c r="R946" s="1234"/>
      <c r="S946" s="1234"/>
      <c r="T946" s="1234"/>
      <c r="U946" s="1234"/>
      <c r="V946" s="1234"/>
      <c r="W946" s="1234"/>
      <c r="X946" s="1234"/>
      <c r="Y946" s="1234"/>
      <c r="Z946" s="1234"/>
    </row>
    <row r="947" spans="1:26" ht="14.5">
      <c r="A947" s="1234"/>
      <c r="B947" s="1234"/>
      <c r="C947" s="1234"/>
      <c r="D947" s="1234"/>
      <c r="E947" s="1234"/>
      <c r="F947" s="1234"/>
      <c r="G947" s="1234"/>
      <c r="H947" s="1234"/>
      <c r="I947" s="1234"/>
      <c r="J947" s="1234"/>
      <c r="K947" s="1234"/>
      <c r="L947" s="1234"/>
      <c r="M947" s="1234"/>
      <c r="N947" s="1234"/>
      <c r="O947" s="1234"/>
      <c r="P947" s="1234"/>
      <c r="Q947" s="1234"/>
      <c r="R947" s="1234"/>
      <c r="S947" s="1234"/>
      <c r="T947" s="1234"/>
      <c r="U947" s="1234"/>
      <c r="V947" s="1234"/>
      <c r="W947" s="1234"/>
      <c r="X947" s="1234"/>
      <c r="Y947" s="1234"/>
      <c r="Z947" s="1234"/>
    </row>
    <row r="948" spans="1:26" ht="14.5">
      <c r="A948" s="1234"/>
      <c r="B948" s="1234"/>
      <c r="C948" s="1234"/>
      <c r="D948" s="1234"/>
      <c r="E948" s="1234"/>
      <c r="F948" s="1234"/>
      <c r="G948" s="1234"/>
      <c r="H948" s="1234"/>
      <c r="I948" s="1234"/>
      <c r="J948" s="1234"/>
      <c r="K948" s="1234"/>
      <c r="L948" s="1234"/>
      <c r="M948" s="1234"/>
      <c r="N948" s="1234"/>
      <c r="O948" s="1234"/>
      <c r="P948" s="1234"/>
      <c r="Q948" s="1234"/>
      <c r="R948" s="1234"/>
      <c r="S948" s="1234"/>
      <c r="T948" s="1234"/>
      <c r="U948" s="1234"/>
      <c r="V948" s="1234"/>
      <c r="W948" s="1234"/>
      <c r="X948" s="1234"/>
      <c r="Y948" s="1234"/>
      <c r="Z948" s="1234"/>
    </row>
    <row r="949" spans="1:26" ht="14.5">
      <c r="A949" s="1234"/>
      <c r="B949" s="1234"/>
      <c r="C949" s="1234"/>
      <c r="D949" s="1234"/>
      <c r="E949" s="1234"/>
      <c r="F949" s="1234"/>
      <c r="G949" s="1234"/>
      <c r="H949" s="1234"/>
      <c r="I949" s="1234"/>
      <c r="J949" s="1234"/>
      <c r="K949" s="1234"/>
      <c r="L949" s="1234"/>
      <c r="M949" s="1234"/>
      <c r="N949" s="1234"/>
      <c r="O949" s="1234"/>
      <c r="P949" s="1234"/>
      <c r="Q949" s="1234"/>
      <c r="R949" s="1234"/>
      <c r="S949" s="1234"/>
      <c r="T949" s="1234"/>
      <c r="U949" s="1234"/>
      <c r="V949" s="1234"/>
      <c r="W949" s="1234"/>
      <c r="X949" s="1234"/>
      <c r="Y949" s="1234"/>
      <c r="Z949" s="1234"/>
    </row>
    <row r="950" spans="1:26" ht="14.5">
      <c r="A950" s="1234"/>
      <c r="B950" s="1234"/>
      <c r="C950" s="1234"/>
      <c r="D950" s="1234"/>
      <c r="E950" s="1234"/>
      <c r="F950" s="1234"/>
      <c r="G950" s="1234"/>
      <c r="H950" s="1234"/>
      <c r="I950" s="1234"/>
      <c r="J950" s="1234"/>
      <c r="K950" s="1234"/>
      <c r="L950" s="1234"/>
      <c r="M950" s="1234"/>
      <c r="N950" s="1234"/>
      <c r="O950" s="1234"/>
      <c r="P950" s="1234"/>
      <c r="Q950" s="1234"/>
      <c r="R950" s="1234"/>
      <c r="S950" s="1234"/>
      <c r="T950" s="1234"/>
      <c r="U950" s="1234"/>
      <c r="V950" s="1234"/>
      <c r="W950" s="1234"/>
      <c r="X950" s="1234"/>
      <c r="Y950" s="1234"/>
      <c r="Z950" s="1234"/>
    </row>
    <row r="951" spans="1:26" ht="14.5">
      <c r="A951" s="1234"/>
      <c r="B951" s="1234"/>
      <c r="C951" s="1234"/>
      <c r="D951" s="1234"/>
      <c r="E951" s="1234"/>
      <c r="F951" s="1234"/>
      <c r="G951" s="1234"/>
      <c r="H951" s="1234"/>
      <c r="I951" s="1234"/>
      <c r="J951" s="1234"/>
      <c r="K951" s="1234"/>
      <c r="L951" s="1234"/>
      <c r="M951" s="1234"/>
      <c r="N951" s="1234"/>
      <c r="O951" s="1234"/>
      <c r="P951" s="1234"/>
      <c r="Q951" s="1234"/>
      <c r="R951" s="1234"/>
      <c r="S951" s="1234"/>
      <c r="T951" s="1234"/>
      <c r="U951" s="1234"/>
      <c r="V951" s="1234"/>
      <c r="W951" s="1234"/>
      <c r="X951" s="1234"/>
      <c r="Y951" s="1234"/>
      <c r="Z951" s="1234"/>
    </row>
    <row r="952" spans="1:26" ht="14.5">
      <c r="A952" s="1234"/>
      <c r="B952" s="1234"/>
      <c r="C952" s="1234"/>
      <c r="D952" s="1234"/>
      <c r="E952" s="1234"/>
      <c r="F952" s="1234"/>
      <c r="G952" s="1234"/>
      <c r="H952" s="1234"/>
      <c r="I952" s="1234"/>
      <c r="J952" s="1234"/>
      <c r="K952" s="1234"/>
      <c r="L952" s="1234"/>
      <c r="M952" s="1234"/>
      <c r="N952" s="1234"/>
      <c r="O952" s="1234"/>
      <c r="P952" s="1234"/>
      <c r="Q952" s="1234"/>
      <c r="R952" s="1234"/>
      <c r="S952" s="1234"/>
      <c r="T952" s="1234"/>
      <c r="U952" s="1234"/>
      <c r="V952" s="1234"/>
      <c r="W952" s="1234"/>
      <c r="X952" s="1234"/>
      <c r="Y952" s="1234"/>
      <c r="Z952" s="1234"/>
    </row>
    <row r="953" spans="1:26" ht="14.5">
      <c r="A953" s="1234"/>
      <c r="B953" s="1234"/>
      <c r="C953" s="1234"/>
      <c r="D953" s="1234"/>
      <c r="E953" s="1234"/>
      <c r="F953" s="1234"/>
      <c r="G953" s="1234"/>
      <c r="H953" s="1234"/>
      <c r="I953" s="1234"/>
      <c r="J953" s="1234"/>
      <c r="K953" s="1234"/>
      <c r="L953" s="1234"/>
      <c r="M953" s="1234"/>
      <c r="N953" s="1234"/>
      <c r="O953" s="1234"/>
      <c r="P953" s="1234"/>
      <c r="Q953" s="1234"/>
      <c r="R953" s="1234"/>
      <c r="S953" s="1234"/>
      <c r="T953" s="1234"/>
      <c r="U953" s="1234"/>
      <c r="V953" s="1234"/>
      <c r="W953" s="1234"/>
      <c r="X953" s="1234"/>
      <c r="Y953" s="1234"/>
      <c r="Z953" s="1234"/>
    </row>
    <row r="954" spans="1:26" ht="14.5">
      <c r="A954" s="1234"/>
      <c r="B954" s="1234"/>
      <c r="C954" s="1234"/>
      <c r="D954" s="1234"/>
      <c r="E954" s="1234"/>
      <c r="F954" s="1234"/>
      <c r="G954" s="1234"/>
      <c r="H954" s="1234"/>
      <c r="I954" s="1234"/>
      <c r="J954" s="1234"/>
      <c r="K954" s="1234"/>
      <c r="L954" s="1234"/>
      <c r="M954" s="1234"/>
      <c r="N954" s="1234"/>
      <c r="O954" s="1234"/>
      <c r="P954" s="1234"/>
      <c r="Q954" s="1234"/>
      <c r="R954" s="1234"/>
      <c r="S954" s="1234"/>
      <c r="T954" s="1234"/>
      <c r="U954" s="1234"/>
      <c r="V954" s="1234"/>
      <c r="W954" s="1234"/>
      <c r="X954" s="1234"/>
      <c r="Y954" s="1234"/>
      <c r="Z954" s="1234"/>
    </row>
    <row r="955" spans="1:26" ht="14.5">
      <c r="A955" s="1234"/>
      <c r="B955" s="1234"/>
      <c r="C955" s="1234"/>
      <c r="D955" s="1234"/>
      <c r="E955" s="1234"/>
      <c r="F955" s="1234"/>
      <c r="G955" s="1234"/>
      <c r="H955" s="1234"/>
      <c r="I955" s="1234"/>
      <c r="J955" s="1234"/>
      <c r="K955" s="1234"/>
      <c r="L955" s="1234"/>
      <c r="M955" s="1234"/>
      <c r="N955" s="1234"/>
      <c r="O955" s="1234"/>
      <c r="P955" s="1234"/>
      <c r="Q955" s="1234"/>
      <c r="R955" s="1234"/>
      <c r="S955" s="1234"/>
      <c r="T955" s="1234"/>
      <c r="U955" s="1234"/>
      <c r="V955" s="1234"/>
      <c r="W955" s="1234"/>
      <c r="X955" s="1234"/>
      <c r="Y955" s="1234"/>
      <c r="Z955" s="1234"/>
    </row>
    <row r="956" spans="1:26" ht="14.5">
      <c r="A956" s="1234"/>
      <c r="B956" s="1234"/>
      <c r="C956" s="1234"/>
      <c r="D956" s="1234"/>
      <c r="E956" s="1234"/>
      <c r="F956" s="1234"/>
      <c r="G956" s="1234"/>
      <c r="H956" s="1234"/>
      <c r="I956" s="1234"/>
      <c r="J956" s="1234"/>
      <c r="K956" s="1234"/>
      <c r="L956" s="1234"/>
      <c r="M956" s="1234"/>
      <c r="N956" s="1234"/>
      <c r="O956" s="1234"/>
      <c r="P956" s="1234"/>
      <c r="Q956" s="1234"/>
      <c r="R956" s="1234"/>
      <c r="S956" s="1234"/>
      <c r="T956" s="1234"/>
      <c r="U956" s="1234"/>
      <c r="V956" s="1234"/>
      <c r="W956" s="1234"/>
      <c r="X956" s="1234"/>
      <c r="Y956" s="1234"/>
      <c r="Z956" s="1234"/>
    </row>
    <row r="957" spans="1:26" ht="14.5">
      <c r="A957" s="1234"/>
      <c r="B957" s="1234"/>
      <c r="C957" s="1234"/>
      <c r="D957" s="1234"/>
      <c r="E957" s="1234"/>
      <c r="F957" s="1234"/>
      <c r="G957" s="1234"/>
      <c r="H957" s="1234"/>
      <c r="I957" s="1234"/>
      <c r="J957" s="1234"/>
      <c r="K957" s="1234"/>
      <c r="L957" s="1234"/>
      <c r="M957" s="1234"/>
      <c r="N957" s="1234"/>
      <c r="O957" s="1234"/>
      <c r="P957" s="1234"/>
      <c r="Q957" s="1234"/>
      <c r="R957" s="1234"/>
      <c r="S957" s="1234"/>
      <c r="T957" s="1234"/>
      <c r="U957" s="1234"/>
      <c r="V957" s="1234"/>
      <c r="W957" s="1234"/>
      <c r="X957" s="1234"/>
      <c r="Y957" s="1234"/>
      <c r="Z957" s="1234"/>
    </row>
    <row r="958" spans="1:26" ht="14.5">
      <c r="A958" s="1234"/>
      <c r="B958" s="1234"/>
      <c r="C958" s="1234"/>
      <c r="D958" s="1234"/>
      <c r="E958" s="1234"/>
      <c r="F958" s="1234"/>
      <c r="G958" s="1234"/>
      <c r="H958" s="1234"/>
      <c r="I958" s="1234"/>
      <c r="J958" s="1234"/>
      <c r="K958" s="1234"/>
      <c r="L958" s="1234"/>
      <c r="M958" s="1234"/>
      <c r="N958" s="1234"/>
      <c r="O958" s="1234"/>
      <c r="P958" s="1234"/>
      <c r="Q958" s="1234"/>
      <c r="R958" s="1234"/>
      <c r="S958" s="1234"/>
      <c r="T958" s="1234"/>
      <c r="U958" s="1234"/>
      <c r="V958" s="1234"/>
      <c r="W958" s="1234"/>
      <c r="X958" s="1234"/>
      <c r="Y958" s="1234"/>
      <c r="Z958" s="1234"/>
    </row>
    <row r="959" spans="1:26" ht="14.5">
      <c r="A959" s="1234"/>
      <c r="B959" s="1234"/>
      <c r="C959" s="1234"/>
      <c r="D959" s="1234"/>
      <c r="E959" s="1234"/>
      <c r="F959" s="1234"/>
      <c r="G959" s="1234"/>
      <c r="H959" s="1234"/>
      <c r="I959" s="1234"/>
      <c r="J959" s="1234"/>
      <c r="K959" s="1234"/>
      <c r="L959" s="1234"/>
      <c r="M959" s="1234"/>
      <c r="N959" s="1234"/>
      <c r="O959" s="1234"/>
      <c r="P959" s="1234"/>
      <c r="Q959" s="1234"/>
      <c r="R959" s="1234"/>
      <c r="S959" s="1234"/>
      <c r="T959" s="1234"/>
      <c r="U959" s="1234"/>
      <c r="V959" s="1234"/>
      <c r="W959" s="1234"/>
      <c r="X959" s="1234"/>
      <c r="Y959" s="1234"/>
      <c r="Z959" s="1234"/>
    </row>
    <row r="960" spans="1:26" ht="14.5">
      <c r="A960" s="1234"/>
      <c r="B960" s="1234"/>
      <c r="C960" s="1234"/>
      <c r="D960" s="1234"/>
      <c r="E960" s="1234"/>
      <c r="F960" s="1234"/>
      <c r="G960" s="1234"/>
      <c r="H960" s="1234"/>
      <c r="I960" s="1234"/>
      <c r="J960" s="1234"/>
      <c r="K960" s="1234"/>
      <c r="L960" s="1234"/>
      <c r="M960" s="1234"/>
      <c r="N960" s="1234"/>
      <c r="O960" s="1234"/>
      <c r="P960" s="1234"/>
      <c r="Q960" s="1234"/>
      <c r="R960" s="1234"/>
      <c r="S960" s="1234"/>
      <c r="T960" s="1234"/>
      <c r="U960" s="1234"/>
      <c r="V960" s="1234"/>
      <c r="W960" s="1234"/>
      <c r="X960" s="1234"/>
      <c r="Y960" s="1234"/>
      <c r="Z960" s="1234"/>
    </row>
    <row r="961" spans="1:26" ht="14.5">
      <c r="A961" s="1234"/>
      <c r="B961" s="1234"/>
      <c r="C961" s="1234"/>
      <c r="D961" s="1234"/>
      <c r="E961" s="1234"/>
      <c r="F961" s="1234"/>
      <c r="G961" s="1234"/>
      <c r="H961" s="1234"/>
      <c r="I961" s="1234"/>
      <c r="J961" s="1234"/>
      <c r="K961" s="1234"/>
      <c r="L961" s="1234"/>
      <c r="M961" s="1234"/>
      <c r="N961" s="1234"/>
      <c r="O961" s="1234"/>
      <c r="P961" s="1234"/>
      <c r="Q961" s="1234"/>
      <c r="R961" s="1234"/>
      <c r="S961" s="1234"/>
      <c r="T961" s="1234"/>
      <c r="U961" s="1234"/>
      <c r="V961" s="1234"/>
      <c r="W961" s="1234"/>
      <c r="X961" s="1234"/>
      <c r="Y961" s="1234"/>
      <c r="Z961" s="1234"/>
    </row>
    <row r="962" spans="1:26" ht="14.5">
      <c r="A962" s="1234"/>
      <c r="B962" s="1234"/>
      <c r="C962" s="1234"/>
      <c r="D962" s="1234"/>
      <c r="E962" s="1234"/>
      <c r="F962" s="1234"/>
      <c r="G962" s="1234"/>
      <c r="H962" s="1234"/>
      <c r="I962" s="1234"/>
      <c r="J962" s="1234"/>
      <c r="K962" s="1234"/>
      <c r="L962" s="1234"/>
      <c r="M962" s="1234"/>
      <c r="N962" s="1234"/>
      <c r="O962" s="1234"/>
      <c r="P962" s="1234"/>
      <c r="Q962" s="1234"/>
      <c r="R962" s="1234"/>
      <c r="S962" s="1234"/>
      <c r="T962" s="1234"/>
      <c r="U962" s="1234"/>
      <c r="V962" s="1234"/>
      <c r="W962" s="1234"/>
      <c r="X962" s="1234"/>
      <c r="Y962" s="1234"/>
      <c r="Z962" s="1234"/>
    </row>
    <row r="963" spans="1:26" ht="14.5">
      <c r="A963" s="1234"/>
      <c r="B963" s="1234"/>
      <c r="C963" s="1234"/>
      <c r="D963" s="1234"/>
      <c r="E963" s="1234"/>
      <c r="F963" s="1234"/>
      <c r="G963" s="1234"/>
      <c r="H963" s="1234"/>
      <c r="I963" s="1234"/>
      <c r="J963" s="1234"/>
      <c r="K963" s="1234"/>
      <c r="L963" s="1234"/>
      <c r="M963" s="1234"/>
      <c r="N963" s="1234"/>
      <c r="O963" s="1234"/>
      <c r="P963" s="1234"/>
      <c r="Q963" s="1234"/>
      <c r="R963" s="1234"/>
      <c r="S963" s="1234"/>
      <c r="T963" s="1234"/>
      <c r="U963" s="1234"/>
      <c r="V963" s="1234"/>
      <c r="W963" s="1234"/>
      <c r="X963" s="1234"/>
      <c r="Y963" s="1234"/>
      <c r="Z963" s="1234"/>
    </row>
    <row r="964" spans="1:26" ht="14.5">
      <c r="A964" s="1234"/>
      <c r="B964" s="1234"/>
      <c r="C964" s="1234"/>
      <c r="D964" s="1234"/>
      <c r="E964" s="1234"/>
      <c r="F964" s="1234"/>
      <c r="G964" s="1234"/>
      <c r="H964" s="1234"/>
      <c r="I964" s="1234"/>
      <c r="J964" s="1234"/>
      <c r="K964" s="1234"/>
      <c r="L964" s="1234"/>
      <c r="M964" s="1234"/>
      <c r="N964" s="1234"/>
      <c r="O964" s="1234"/>
      <c r="P964" s="1234"/>
      <c r="Q964" s="1234"/>
      <c r="R964" s="1234"/>
      <c r="S964" s="1234"/>
      <c r="T964" s="1234"/>
      <c r="U964" s="1234"/>
      <c r="V964" s="1234"/>
      <c r="W964" s="1234"/>
      <c r="X964" s="1234"/>
      <c r="Y964" s="1234"/>
      <c r="Z964" s="1234"/>
    </row>
    <row r="965" spans="1:26" ht="14.5">
      <c r="A965" s="1234"/>
      <c r="B965" s="1234"/>
      <c r="C965" s="1234"/>
      <c r="D965" s="1234"/>
      <c r="E965" s="1234"/>
      <c r="F965" s="1234"/>
      <c r="G965" s="1234"/>
      <c r="H965" s="1234"/>
      <c r="I965" s="1234"/>
      <c r="J965" s="1234"/>
      <c r="K965" s="1234"/>
      <c r="L965" s="1234"/>
      <c r="M965" s="1234"/>
      <c r="N965" s="1234"/>
      <c r="O965" s="1234"/>
      <c r="P965" s="1234"/>
      <c r="Q965" s="1234"/>
      <c r="R965" s="1234"/>
      <c r="S965" s="1234"/>
      <c r="T965" s="1234"/>
      <c r="U965" s="1234"/>
      <c r="V965" s="1234"/>
      <c r="W965" s="1234"/>
      <c r="X965" s="1234"/>
      <c r="Y965" s="1234"/>
      <c r="Z965" s="1234"/>
    </row>
    <row r="966" spans="1:26" ht="14.5">
      <c r="A966" s="1234"/>
      <c r="B966" s="1234"/>
      <c r="C966" s="1234"/>
      <c r="D966" s="1234"/>
      <c r="E966" s="1234"/>
      <c r="F966" s="1234"/>
      <c r="G966" s="1234"/>
      <c r="H966" s="1234"/>
      <c r="I966" s="1234"/>
      <c r="J966" s="1234"/>
      <c r="K966" s="1234"/>
      <c r="L966" s="1234"/>
      <c r="M966" s="1234"/>
      <c r="N966" s="1234"/>
      <c r="O966" s="1234"/>
      <c r="P966" s="1234"/>
      <c r="Q966" s="1234"/>
      <c r="R966" s="1234"/>
      <c r="S966" s="1234"/>
      <c r="T966" s="1234"/>
      <c r="U966" s="1234"/>
      <c r="V966" s="1234"/>
      <c r="W966" s="1234"/>
      <c r="X966" s="1234"/>
      <c r="Y966" s="1234"/>
      <c r="Z966" s="1234"/>
    </row>
    <row r="967" spans="1:26" ht="14.5">
      <c r="A967" s="1234"/>
      <c r="B967" s="1234"/>
      <c r="C967" s="1234"/>
      <c r="D967" s="1234"/>
      <c r="E967" s="1234"/>
      <c r="F967" s="1234"/>
      <c r="G967" s="1234"/>
      <c r="H967" s="1234"/>
      <c r="I967" s="1234"/>
      <c r="J967" s="1234"/>
      <c r="K967" s="1234"/>
      <c r="L967" s="1234"/>
      <c r="M967" s="1234"/>
      <c r="N967" s="1234"/>
      <c r="O967" s="1234"/>
      <c r="P967" s="1234"/>
      <c r="Q967" s="1234"/>
      <c r="R967" s="1234"/>
      <c r="S967" s="1234"/>
      <c r="T967" s="1234"/>
      <c r="U967" s="1234"/>
      <c r="V967" s="1234"/>
      <c r="W967" s="1234"/>
      <c r="X967" s="1234"/>
      <c r="Y967" s="1234"/>
      <c r="Z967" s="1234"/>
    </row>
    <row r="968" spans="1:26" ht="14.5">
      <c r="A968" s="1234"/>
      <c r="B968" s="1234"/>
      <c r="C968" s="1234"/>
      <c r="D968" s="1234"/>
      <c r="E968" s="1234"/>
      <c r="F968" s="1234"/>
      <c r="G968" s="1234"/>
      <c r="H968" s="1234"/>
      <c r="I968" s="1234"/>
      <c r="J968" s="1234"/>
      <c r="K968" s="1234"/>
      <c r="L968" s="1234"/>
      <c r="M968" s="1234"/>
      <c r="N968" s="1234"/>
      <c r="O968" s="1234"/>
      <c r="P968" s="1234"/>
      <c r="Q968" s="1234"/>
      <c r="R968" s="1234"/>
      <c r="S968" s="1234"/>
      <c r="T968" s="1234"/>
      <c r="U968" s="1234"/>
      <c r="V968" s="1234"/>
      <c r="W968" s="1234"/>
      <c r="X968" s="1234"/>
      <c r="Y968" s="1234"/>
      <c r="Z968" s="1234"/>
    </row>
    <row r="969" spans="1:26" ht="14.5">
      <c r="A969" s="1234"/>
      <c r="B969" s="1234"/>
      <c r="C969" s="1234"/>
      <c r="D969" s="1234"/>
      <c r="E969" s="1234"/>
      <c r="F969" s="1234"/>
      <c r="G969" s="1234"/>
      <c r="H969" s="1234"/>
      <c r="I969" s="1234"/>
      <c r="J969" s="1234"/>
      <c r="K969" s="1234"/>
      <c r="L969" s="1234"/>
      <c r="M969" s="1234"/>
      <c r="N969" s="1234"/>
      <c r="O969" s="1234"/>
      <c r="P969" s="1234"/>
      <c r="Q969" s="1234"/>
      <c r="R969" s="1234"/>
      <c r="S969" s="1234"/>
      <c r="T969" s="1234"/>
      <c r="U969" s="1234"/>
      <c r="V969" s="1234"/>
      <c r="W969" s="1234"/>
      <c r="X969" s="1234"/>
      <c r="Y969" s="1234"/>
      <c r="Z969" s="1234"/>
    </row>
    <row r="970" spans="1:26" ht="14.5">
      <c r="A970" s="1234"/>
      <c r="B970" s="1234"/>
      <c r="C970" s="1234"/>
      <c r="D970" s="1234"/>
      <c r="E970" s="1234"/>
      <c r="F970" s="1234"/>
      <c r="G970" s="1234"/>
      <c r="H970" s="1234"/>
      <c r="I970" s="1234"/>
      <c r="J970" s="1234"/>
      <c r="K970" s="1234"/>
      <c r="L970" s="1234"/>
      <c r="M970" s="1234"/>
      <c r="N970" s="1234"/>
      <c r="O970" s="1234"/>
      <c r="P970" s="1234"/>
      <c r="Q970" s="1234"/>
      <c r="R970" s="1234"/>
      <c r="S970" s="1234"/>
      <c r="T970" s="1234"/>
      <c r="U970" s="1234"/>
      <c r="V970" s="1234"/>
      <c r="W970" s="1234"/>
      <c r="X970" s="1234"/>
      <c r="Y970" s="1234"/>
      <c r="Z970" s="1234"/>
    </row>
    <row r="971" spans="1:26" ht="14.5">
      <c r="A971" s="1234"/>
      <c r="B971" s="1234"/>
      <c r="C971" s="1234"/>
      <c r="D971" s="1234"/>
      <c r="E971" s="1234"/>
      <c r="F971" s="1234"/>
      <c r="G971" s="1234"/>
      <c r="H971" s="1234"/>
      <c r="I971" s="1234"/>
      <c r="J971" s="1234"/>
      <c r="K971" s="1234"/>
      <c r="L971" s="1234"/>
      <c r="M971" s="1234"/>
      <c r="N971" s="1234"/>
      <c r="O971" s="1234"/>
      <c r="P971" s="1234"/>
      <c r="Q971" s="1234"/>
      <c r="R971" s="1234"/>
      <c r="S971" s="1234"/>
      <c r="T971" s="1234"/>
      <c r="U971" s="1234"/>
      <c r="V971" s="1234"/>
      <c r="W971" s="1234"/>
      <c r="X971" s="1234"/>
      <c r="Y971" s="1234"/>
      <c r="Z971" s="1234"/>
    </row>
    <row r="972" spans="1:26" ht="14.5">
      <c r="A972" s="1234"/>
      <c r="B972" s="1234"/>
      <c r="C972" s="1234"/>
      <c r="D972" s="1234"/>
      <c r="E972" s="1234"/>
      <c r="F972" s="1234"/>
      <c r="G972" s="1234"/>
      <c r="H972" s="1234"/>
      <c r="I972" s="1234"/>
      <c r="J972" s="1234"/>
      <c r="K972" s="1234"/>
      <c r="L972" s="1234"/>
      <c r="M972" s="1234"/>
      <c r="N972" s="1234"/>
      <c r="O972" s="1234"/>
      <c r="P972" s="1234"/>
      <c r="Q972" s="1234"/>
      <c r="R972" s="1234"/>
      <c r="S972" s="1234"/>
      <c r="T972" s="1234"/>
      <c r="U972" s="1234"/>
      <c r="V972" s="1234"/>
      <c r="W972" s="1234"/>
      <c r="X972" s="1234"/>
      <c r="Y972" s="1234"/>
      <c r="Z972" s="1234"/>
    </row>
    <row r="973" spans="1:26" ht="14.5">
      <c r="A973" s="1234"/>
      <c r="B973" s="1234"/>
      <c r="C973" s="1234"/>
      <c r="D973" s="1234"/>
      <c r="E973" s="1234"/>
      <c r="F973" s="1234"/>
      <c r="G973" s="1234"/>
      <c r="H973" s="1234"/>
      <c r="I973" s="1234"/>
      <c r="J973" s="1234"/>
      <c r="K973" s="1234"/>
      <c r="L973" s="1234"/>
      <c r="M973" s="1234"/>
      <c r="N973" s="1234"/>
      <c r="O973" s="1234"/>
      <c r="P973" s="1234"/>
      <c r="Q973" s="1234"/>
      <c r="R973" s="1234"/>
      <c r="S973" s="1234"/>
      <c r="T973" s="1234"/>
      <c r="U973" s="1234"/>
      <c r="V973" s="1234"/>
      <c r="W973" s="1234"/>
      <c r="X973" s="1234"/>
      <c r="Y973" s="1234"/>
      <c r="Z973" s="1234"/>
    </row>
    <row r="974" spans="1:26" ht="14.5">
      <c r="A974" s="1234"/>
      <c r="B974" s="1234"/>
      <c r="C974" s="1234"/>
      <c r="D974" s="1234"/>
      <c r="E974" s="1234"/>
      <c r="F974" s="1234"/>
      <c r="G974" s="1234"/>
      <c r="H974" s="1234"/>
      <c r="I974" s="1234"/>
      <c r="J974" s="1234"/>
      <c r="K974" s="1234"/>
      <c r="L974" s="1234"/>
      <c r="M974" s="1234"/>
      <c r="N974" s="1234"/>
      <c r="O974" s="1234"/>
      <c r="P974" s="1234"/>
      <c r="Q974" s="1234"/>
      <c r="R974" s="1234"/>
      <c r="S974" s="1234"/>
      <c r="T974" s="1234"/>
      <c r="U974" s="1234"/>
      <c r="V974" s="1234"/>
      <c r="W974" s="1234"/>
      <c r="X974" s="1234"/>
      <c r="Y974" s="1234"/>
      <c r="Z974" s="1234"/>
    </row>
    <row r="975" spans="1:26" ht="14.5">
      <c r="A975" s="1234"/>
      <c r="B975" s="1234"/>
      <c r="C975" s="1234"/>
      <c r="D975" s="1234"/>
      <c r="E975" s="1234"/>
      <c r="F975" s="1234"/>
      <c r="G975" s="1234"/>
      <c r="H975" s="1234"/>
      <c r="I975" s="1234"/>
      <c r="J975" s="1234"/>
      <c r="K975" s="1234"/>
      <c r="L975" s="1234"/>
      <c r="M975" s="1234"/>
      <c r="N975" s="1234"/>
      <c r="O975" s="1234"/>
      <c r="P975" s="1234"/>
      <c r="Q975" s="1234"/>
      <c r="R975" s="1234"/>
      <c r="S975" s="1234"/>
      <c r="T975" s="1234"/>
      <c r="U975" s="1234"/>
      <c r="V975" s="1234"/>
      <c r="W975" s="1234"/>
      <c r="X975" s="1234"/>
      <c r="Y975" s="1234"/>
      <c r="Z975" s="1234"/>
    </row>
    <row r="976" spans="1:26" ht="14.5">
      <c r="A976" s="1234"/>
      <c r="B976" s="1234"/>
      <c r="C976" s="1234"/>
      <c r="D976" s="1234"/>
      <c r="E976" s="1234"/>
      <c r="F976" s="1234"/>
      <c r="G976" s="1234"/>
      <c r="H976" s="1234"/>
      <c r="I976" s="1234"/>
      <c r="J976" s="1234"/>
      <c r="K976" s="1234"/>
      <c r="L976" s="1234"/>
      <c r="M976" s="1234"/>
      <c r="N976" s="1234"/>
      <c r="O976" s="1234"/>
      <c r="P976" s="1234"/>
      <c r="Q976" s="1234"/>
      <c r="R976" s="1234"/>
      <c r="S976" s="1234"/>
      <c r="T976" s="1234"/>
      <c r="U976" s="1234"/>
      <c r="V976" s="1234"/>
      <c r="W976" s="1234"/>
      <c r="X976" s="1234"/>
      <c r="Y976" s="1234"/>
      <c r="Z976" s="1234"/>
    </row>
    <row r="977" spans="1:26" ht="14.5">
      <c r="A977" s="1234"/>
      <c r="B977" s="1234"/>
      <c r="C977" s="1234"/>
      <c r="D977" s="1234"/>
      <c r="E977" s="1234"/>
      <c r="F977" s="1234"/>
      <c r="G977" s="1234"/>
      <c r="H977" s="1234"/>
      <c r="I977" s="1234"/>
      <c r="J977" s="1234"/>
      <c r="K977" s="1234"/>
      <c r="L977" s="1234"/>
      <c r="M977" s="1234"/>
      <c r="N977" s="1234"/>
      <c r="O977" s="1234"/>
      <c r="P977" s="1234"/>
      <c r="Q977" s="1234"/>
      <c r="R977" s="1234"/>
      <c r="S977" s="1234"/>
      <c r="T977" s="1234"/>
      <c r="U977" s="1234"/>
      <c r="V977" s="1234"/>
      <c r="W977" s="1234"/>
      <c r="X977" s="1234"/>
      <c r="Y977" s="1234"/>
      <c r="Z977" s="1234"/>
    </row>
    <row r="978" spans="1:26" ht="14.5">
      <c r="A978" s="1234"/>
      <c r="B978" s="1234"/>
      <c r="C978" s="1234"/>
      <c r="D978" s="1234"/>
      <c r="E978" s="1234"/>
      <c r="F978" s="1234"/>
      <c r="G978" s="1234"/>
      <c r="H978" s="1234"/>
      <c r="I978" s="1234"/>
      <c r="J978" s="1234"/>
      <c r="K978" s="1234"/>
      <c r="L978" s="1234"/>
      <c r="M978" s="1234"/>
      <c r="N978" s="1234"/>
      <c r="O978" s="1234"/>
      <c r="P978" s="1234"/>
      <c r="Q978" s="1234"/>
      <c r="R978" s="1234"/>
      <c r="S978" s="1234"/>
      <c r="T978" s="1234"/>
      <c r="U978" s="1234"/>
      <c r="V978" s="1234"/>
      <c r="W978" s="1234"/>
      <c r="X978" s="1234"/>
      <c r="Y978" s="1234"/>
      <c r="Z978" s="1234"/>
    </row>
    <row r="979" spans="1:26" ht="14.5">
      <c r="A979" s="1234"/>
      <c r="B979" s="1234"/>
      <c r="C979" s="1234"/>
      <c r="D979" s="1234"/>
      <c r="E979" s="1234"/>
      <c r="F979" s="1234"/>
      <c r="G979" s="1234"/>
      <c r="H979" s="1234"/>
      <c r="I979" s="1234"/>
      <c r="J979" s="1234"/>
      <c r="K979" s="1234"/>
      <c r="L979" s="1234"/>
      <c r="M979" s="1234"/>
      <c r="N979" s="1234"/>
      <c r="O979" s="1234"/>
      <c r="P979" s="1234"/>
      <c r="Q979" s="1234"/>
      <c r="R979" s="1234"/>
      <c r="S979" s="1234"/>
      <c r="T979" s="1234"/>
      <c r="U979" s="1234"/>
      <c r="V979" s="1234"/>
      <c r="W979" s="1234"/>
      <c r="X979" s="1234"/>
      <c r="Y979" s="1234"/>
      <c r="Z979" s="1234"/>
    </row>
    <row r="980" spans="1:26" ht="14.5">
      <c r="A980" s="1234"/>
      <c r="B980" s="1234"/>
      <c r="C980" s="1234"/>
      <c r="D980" s="1234"/>
      <c r="E980" s="1234"/>
      <c r="F980" s="1234"/>
      <c r="G980" s="1234"/>
      <c r="H980" s="1234"/>
      <c r="I980" s="1234"/>
      <c r="J980" s="1234"/>
      <c r="K980" s="1234"/>
      <c r="L980" s="1234"/>
      <c r="M980" s="1234"/>
      <c r="N980" s="1234"/>
      <c r="O980" s="1234"/>
      <c r="P980" s="1234"/>
      <c r="Q980" s="1234"/>
      <c r="R980" s="1234"/>
      <c r="S980" s="1234"/>
      <c r="T980" s="1234"/>
      <c r="U980" s="1234"/>
      <c r="V980" s="1234"/>
      <c r="W980" s="1234"/>
      <c r="X980" s="1234"/>
      <c r="Y980" s="1234"/>
      <c r="Z980" s="1234"/>
    </row>
    <row r="981" spans="1:26" ht="14.5">
      <c r="A981" s="1234"/>
      <c r="B981" s="1234"/>
      <c r="C981" s="1234"/>
      <c r="D981" s="1234"/>
      <c r="E981" s="1234"/>
      <c r="F981" s="1234"/>
      <c r="G981" s="1234"/>
      <c r="H981" s="1234"/>
      <c r="I981" s="1234"/>
      <c r="J981" s="1234"/>
      <c r="K981" s="1234"/>
      <c r="L981" s="1234"/>
      <c r="M981" s="1234"/>
      <c r="N981" s="1234"/>
      <c r="O981" s="1234"/>
      <c r="P981" s="1234"/>
      <c r="Q981" s="1234"/>
      <c r="R981" s="1234"/>
      <c r="S981" s="1234"/>
      <c r="T981" s="1234"/>
      <c r="U981" s="1234"/>
      <c r="V981" s="1234"/>
      <c r="W981" s="1234"/>
      <c r="X981" s="1234"/>
      <c r="Y981" s="1234"/>
      <c r="Z981" s="1234"/>
    </row>
    <row r="982" spans="1:26" ht="14.5">
      <c r="A982" s="1234"/>
      <c r="B982" s="1234"/>
      <c r="C982" s="1234"/>
      <c r="D982" s="1234"/>
      <c r="E982" s="1234"/>
      <c r="F982" s="1234"/>
      <c r="G982" s="1234"/>
      <c r="H982" s="1234"/>
      <c r="I982" s="1234"/>
      <c r="J982" s="1234"/>
      <c r="K982" s="1234"/>
      <c r="L982" s="1234"/>
      <c r="M982" s="1234"/>
      <c r="N982" s="1234"/>
      <c r="O982" s="1234"/>
      <c r="P982" s="1234"/>
      <c r="Q982" s="1234"/>
      <c r="R982" s="1234"/>
      <c r="S982" s="1234"/>
      <c r="T982" s="1234"/>
      <c r="U982" s="1234"/>
      <c r="V982" s="1234"/>
      <c r="W982" s="1234"/>
      <c r="X982" s="1234"/>
      <c r="Y982" s="1234"/>
      <c r="Z982" s="1234"/>
    </row>
    <row r="983" spans="1:26" ht="14.5">
      <c r="A983" s="1234"/>
      <c r="B983" s="1234"/>
      <c r="C983" s="1234"/>
      <c r="D983" s="1234"/>
      <c r="E983" s="1234"/>
      <c r="F983" s="1234"/>
      <c r="G983" s="1234"/>
      <c r="H983" s="1234"/>
      <c r="I983" s="1234"/>
      <c r="J983" s="1234"/>
      <c r="K983" s="1234"/>
      <c r="L983" s="1234"/>
      <c r="M983" s="1234"/>
      <c r="N983" s="1234"/>
      <c r="O983" s="1234"/>
      <c r="P983" s="1234"/>
      <c r="Q983" s="1234"/>
      <c r="R983" s="1234"/>
      <c r="S983" s="1234"/>
      <c r="T983" s="1234"/>
      <c r="U983" s="1234"/>
      <c r="V983" s="1234"/>
      <c r="W983" s="1234"/>
      <c r="X983" s="1234"/>
      <c r="Y983" s="1234"/>
      <c r="Z983" s="1234"/>
    </row>
    <row r="984" spans="1:26" ht="14.5">
      <c r="A984" s="1234"/>
      <c r="B984" s="1234"/>
      <c r="C984" s="1234"/>
      <c r="D984" s="1234"/>
      <c r="E984" s="1234"/>
      <c r="F984" s="1234"/>
      <c r="G984" s="1234"/>
      <c r="H984" s="1234"/>
      <c r="I984" s="1234"/>
      <c r="J984" s="1234"/>
      <c r="K984" s="1234"/>
      <c r="L984" s="1234"/>
      <c r="M984" s="1234"/>
      <c r="N984" s="1234"/>
      <c r="O984" s="1234"/>
      <c r="P984" s="1234"/>
      <c r="Q984" s="1234"/>
      <c r="R984" s="1234"/>
      <c r="S984" s="1234"/>
      <c r="T984" s="1234"/>
      <c r="U984" s="1234"/>
      <c r="V984" s="1234"/>
      <c r="W984" s="1234"/>
      <c r="X984" s="1234"/>
      <c r="Y984" s="1234"/>
      <c r="Z984" s="1234"/>
    </row>
    <row r="985" spans="1:26" ht="14.5">
      <c r="A985" s="1234"/>
      <c r="B985" s="1234"/>
      <c r="C985" s="1234"/>
      <c r="D985" s="1234"/>
      <c r="E985" s="1234"/>
      <c r="F985" s="1234"/>
      <c r="G985" s="1234"/>
      <c r="H985" s="1234"/>
      <c r="I985" s="1234"/>
      <c r="J985" s="1234"/>
      <c r="K985" s="1234"/>
      <c r="L985" s="1234"/>
      <c r="M985" s="1234"/>
      <c r="N985" s="1234"/>
      <c r="O985" s="1234"/>
      <c r="P985" s="1234"/>
      <c r="Q985" s="1234"/>
      <c r="R985" s="1234"/>
      <c r="S985" s="1234"/>
      <c r="T985" s="1234"/>
      <c r="U985" s="1234"/>
      <c r="V985" s="1234"/>
      <c r="W985" s="1234"/>
      <c r="X985" s="1234"/>
      <c r="Y985" s="1234"/>
      <c r="Z985" s="1234"/>
    </row>
    <row r="986" spans="1:26" ht="14.5">
      <c r="A986" s="1234"/>
      <c r="B986" s="1234"/>
      <c r="C986" s="1234"/>
      <c r="D986" s="1234"/>
      <c r="E986" s="1234"/>
      <c r="F986" s="1234"/>
      <c r="G986" s="1234"/>
      <c r="H986" s="1234"/>
      <c r="I986" s="1234"/>
      <c r="J986" s="1234"/>
      <c r="K986" s="1234"/>
      <c r="L986" s="1234"/>
      <c r="M986" s="1234"/>
      <c r="N986" s="1234"/>
      <c r="O986" s="1234"/>
      <c r="P986" s="1234"/>
      <c r="Q986" s="1234"/>
      <c r="R986" s="1234"/>
      <c r="S986" s="1234"/>
      <c r="T986" s="1234"/>
      <c r="U986" s="1234"/>
      <c r="V986" s="1234"/>
      <c r="W986" s="1234"/>
      <c r="X986" s="1234"/>
      <c r="Y986" s="1234"/>
      <c r="Z986" s="1234"/>
    </row>
    <row r="987" spans="1:26" ht="14.5">
      <c r="A987" s="1234"/>
      <c r="B987" s="1234"/>
      <c r="C987" s="1234"/>
      <c r="D987" s="1234"/>
      <c r="E987" s="1234"/>
      <c r="F987" s="1234"/>
      <c r="G987" s="1234"/>
      <c r="H987" s="1234"/>
      <c r="I987" s="1234"/>
      <c r="J987" s="1234"/>
      <c r="K987" s="1234"/>
      <c r="L987" s="1234"/>
      <c r="M987" s="1234"/>
      <c r="N987" s="1234"/>
      <c r="O987" s="1234"/>
      <c r="P987" s="1234"/>
      <c r="Q987" s="1234"/>
      <c r="R987" s="1234"/>
      <c r="S987" s="1234"/>
      <c r="T987" s="1234"/>
      <c r="U987" s="1234"/>
      <c r="V987" s="1234"/>
      <c r="W987" s="1234"/>
      <c r="X987" s="1234"/>
      <c r="Y987" s="1234"/>
      <c r="Z987" s="1234"/>
    </row>
    <row r="988" spans="1:26" ht="14.5">
      <c r="A988" s="1234"/>
      <c r="B988" s="1234"/>
      <c r="C988" s="1234"/>
      <c r="D988" s="1234"/>
      <c r="E988" s="1234"/>
      <c r="F988" s="1234"/>
      <c r="G988" s="1234"/>
      <c r="H988" s="1234"/>
      <c r="I988" s="1234"/>
      <c r="J988" s="1234"/>
      <c r="K988" s="1234"/>
      <c r="L988" s="1234"/>
      <c r="M988" s="1234"/>
      <c r="N988" s="1234"/>
      <c r="O988" s="1234"/>
      <c r="P988" s="1234"/>
      <c r="Q988" s="1234"/>
      <c r="R988" s="1234"/>
      <c r="S988" s="1234"/>
      <c r="T988" s="1234"/>
      <c r="U988" s="1234"/>
      <c r="V988" s="1234"/>
      <c r="W988" s="1234"/>
      <c r="X988" s="1234"/>
      <c r="Y988" s="1234"/>
      <c r="Z988" s="1234"/>
    </row>
    <row r="989" spans="1:26" ht="14.5">
      <c r="A989" s="1234"/>
      <c r="B989" s="1234"/>
      <c r="C989" s="1234"/>
      <c r="D989" s="1234"/>
      <c r="E989" s="1234"/>
      <c r="F989" s="1234"/>
      <c r="G989" s="1234"/>
      <c r="H989" s="1234"/>
      <c r="I989" s="1234"/>
      <c r="J989" s="1234"/>
      <c r="K989" s="1234"/>
      <c r="L989" s="1234"/>
      <c r="M989" s="1234"/>
      <c r="N989" s="1234"/>
      <c r="O989" s="1234"/>
      <c r="P989" s="1234"/>
      <c r="Q989" s="1234"/>
      <c r="R989" s="1234"/>
      <c r="S989" s="1234"/>
      <c r="T989" s="1234"/>
      <c r="U989" s="1234"/>
      <c r="V989" s="1234"/>
      <c r="W989" s="1234"/>
      <c r="X989" s="1234"/>
      <c r="Y989" s="1234"/>
      <c r="Z989" s="1234"/>
    </row>
    <row r="990" spans="1:26" ht="14.5">
      <c r="A990" s="1234"/>
      <c r="B990" s="1234"/>
      <c r="C990" s="1234"/>
      <c r="D990" s="1234"/>
      <c r="E990" s="1234"/>
      <c r="F990" s="1234"/>
      <c r="G990" s="1234"/>
      <c r="H990" s="1234"/>
      <c r="I990" s="1234"/>
      <c r="J990" s="1234"/>
      <c r="K990" s="1234"/>
      <c r="L990" s="1234"/>
      <c r="M990" s="1234"/>
      <c r="N990" s="1234"/>
      <c r="O990" s="1234"/>
      <c r="P990" s="1234"/>
      <c r="Q990" s="1234"/>
      <c r="R990" s="1234"/>
      <c r="S990" s="1234"/>
      <c r="T990" s="1234"/>
      <c r="U990" s="1234"/>
      <c r="V990" s="1234"/>
      <c r="W990" s="1234"/>
      <c r="X990" s="1234"/>
      <c r="Y990" s="1234"/>
      <c r="Z990" s="1234"/>
    </row>
    <row r="991" spans="1:26" ht="14.5">
      <c r="A991" s="1234"/>
      <c r="B991" s="1234"/>
      <c r="C991" s="1234"/>
      <c r="D991" s="1234"/>
      <c r="E991" s="1234"/>
      <c r="F991" s="1234"/>
      <c r="G991" s="1234"/>
      <c r="H991" s="1234"/>
      <c r="I991" s="1234"/>
      <c r="J991" s="1234"/>
      <c r="K991" s="1234"/>
      <c r="L991" s="1234"/>
      <c r="M991" s="1234"/>
      <c r="N991" s="1234"/>
      <c r="O991" s="1234"/>
      <c r="P991" s="1234"/>
      <c r="Q991" s="1234"/>
      <c r="R991" s="1234"/>
      <c r="S991" s="1234"/>
      <c r="T991" s="1234"/>
      <c r="U991" s="1234"/>
      <c r="V991" s="1234"/>
      <c r="W991" s="1234"/>
      <c r="X991" s="1234"/>
      <c r="Y991" s="1234"/>
      <c r="Z991" s="1234"/>
    </row>
    <row r="992" spans="1:26" ht="14.5">
      <c r="A992" s="1234"/>
      <c r="B992" s="1234"/>
      <c r="C992" s="1234"/>
      <c r="D992" s="1234"/>
      <c r="E992" s="1234"/>
      <c r="F992" s="1234"/>
      <c r="G992" s="1234"/>
      <c r="H992" s="1234"/>
      <c r="I992" s="1234"/>
      <c r="J992" s="1234"/>
      <c r="K992" s="1234"/>
      <c r="L992" s="1234"/>
      <c r="M992" s="1234"/>
      <c r="N992" s="1234"/>
      <c r="O992" s="1234"/>
      <c r="P992" s="1234"/>
      <c r="Q992" s="1234"/>
      <c r="R992" s="1234"/>
      <c r="S992" s="1234"/>
      <c r="T992" s="1234"/>
      <c r="U992" s="1234"/>
      <c r="V992" s="1234"/>
      <c r="W992" s="1234"/>
      <c r="X992" s="1234"/>
      <c r="Y992" s="1234"/>
      <c r="Z992" s="1234"/>
    </row>
    <row r="993" spans="1:26" ht="14.5">
      <c r="A993" s="1234"/>
      <c r="B993" s="1234"/>
      <c r="C993" s="1234"/>
      <c r="D993" s="1234"/>
      <c r="E993" s="1234"/>
      <c r="F993" s="1234"/>
      <c r="G993" s="1234"/>
      <c r="H993" s="1234"/>
      <c r="I993" s="1234"/>
      <c r="J993" s="1234"/>
      <c r="K993" s="1234"/>
      <c r="L993" s="1234"/>
      <c r="M993" s="1234"/>
      <c r="N993" s="1234"/>
      <c r="O993" s="1234"/>
      <c r="P993" s="1234"/>
      <c r="Q993" s="1234"/>
      <c r="R993" s="1234"/>
      <c r="S993" s="1234"/>
      <c r="T993" s="1234"/>
      <c r="U993" s="1234"/>
      <c r="V993" s="1234"/>
      <c r="W993" s="1234"/>
      <c r="X993" s="1234"/>
      <c r="Y993" s="1234"/>
      <c r="Z993" s="1234"/>
    </row>
    <row r="994" spans="1:26" ht="14.5">
      <c r="A994" s="1234"/>
      <c r="B994" s="1234"/>
      <c r="C994" s="1234"/>
      <c r="D994" s="1234"/>
      <c r="E994" s="1234"/>
      <c r="F994" s="1234"/>
      <c r="G994" s="1234"/>
      <c r="H994" s="1234"/>
      <c r="I994" s="1234"/>
      <c r="J994" s="1234"/>
      <c r="K994" s="1234"/>
      <c r="L994" s="1234"/>
      <c r="M994" s="1234"/>
      <c r="N994" s="1234"/>
      <c r="O994" s="1234"/>
      <c r="P994" s="1234"/>
      <c r="Q994" s="1234"/>
      <c r="R994" s="1234"/>
      <c r="S994" s="1234"/>
      <c r="T994" s="1234"/>
      <c r="U994" s="1234"/>
      <c r="V994" s="1234"/>
      <c r="W994" s="1234"/>
      <c r="X994" s="1234"/>
      <c r="Y994" s="1234"/>
      <c r="Z994" s="1234"/>
    </row>
    <row r="995" spans="1:26" ht="14.5">
      <c r="A995" s="1234"/>
      <c r="B995" s="1234"/>
      <c r="C995" s="1234"/>
      <c r="D995" s="1234"/>
      <c r="E995" s="1234"/>
      <c r="F995" s="1234"/>
      <c r="G995" s="1234"/>
      <c r="H995" s="1234"/>
      <c r="I995" s="1234"/>
      <c r="J995" s="1234"/>
      <c r="K995" s="1234"/>
      <c r="L995" s="1234"/>
      <c r="M995" s="1234"/>
      <c r="N995" s="1234"/>
      <c r="O995" s="1234"/>
      <c r="P995" s="1234"/>
      <c r="Q995" s="1234"/>
      <c r="R995" s="1234"/>
      <c r="S995" s="1234"/>
      <c r="T995" s="1234"/>
      <c r="U995" s="1234"/>
      <c r="V995" s="1234"/>
      <c r="W995" s="1234"/>
      <c r="X995" s="1234"/>
      <c r="Y995" s="1234"/>
      <c r="Z995" s="1234"/>
    </row>
    <row r="996" spans="1:26" ht="14.5">
      <c r="A996" s="1234"/>
      <c r="B996" s="1234"/>
      <c r="C996" s="1234"/>
      <c r="D996" s="1234"/>
      <c r="E996" s="1234"/>
      <c r="F996" s="1234"/>
      <c r="G996" s="1234"/>
      <c r="H996" s="1234"/>
      <c r="I996" s="1234"/>
      <c r="J996" s="1234"/>
      <c r="K996" s="1234"/>
      <c r="L996" s="1234"/>
      <c r="M996" s="1234"/>
      <c r="N996" s="1234"/>
      <c r="O996" s="1234"/>
      <c r="P996" s="1234"/>
      <c r="Q996" s="1234"/>
      <c r="R996" s="1234"/>
      <c r="S996" s="1234"/>
      <c r="T996" s="1234"/>
      <c r="U996" s="1234"/>
      <c r="V996" s="1234"/>
      <c r="W996" s="1234"/>
      <c r="X996" s="1234"/>
      <c r="Y996" s="1234"/>
      <c r="Z996" s="1234"/>
    </row>
    <row r="997" spans="1:26" ht="14.5">
      <c r="A997" s="1234"/>
      <c r="B997" s="1234"/>
      <c r="C997" s="1234"/>
      <c r="D997" s="1234"/>
      <c r="E997" s="1234"/>
      <c r="F997" s="1234"/>
      <c r="G997" s="1234"/>
      <c r="H997" s="1234"/>
      <c r="I997" s="1234"/>
      <c r="J997" s="1234"/>
      <c r="K997" s="1234"/>
      <c r="L997" s="1234"/>
      <c r="M997" s="1234"/>
      <c r="N997" s="1234"/>
      <c r="O997" s="1234"/>
      <c r="P997" s="1234"/>
      <c r="Q997" s="1234"/>
      <c r="R997" s="1234"/>
      <c r="S997" s="1234"/>
      <c r="T997" s="1234"/>
      <c r="U997" s="1234"/>
      <c r="V997" s="1234"/>
      <c r="W997" s="1234"/>
      <c r="X997" s="1234"/>
      <c r="Y997" s="1234"/>
      <c r="Z997" s="1234"/>
    </row>
    <row r="998" spans="1:26" ht="14.5">
      <c r="A998" s="1234"/>
      <c r="B998" s="1234"/>
      <c r="C998" s="1234"/>
      <c r="D998" s="1234"/>
      <c r="E998" s="1234"/>
      <c r="F998" s="1234"/>
      <c r="G998" s="1234"/>
      <c r="H998" s="1234"/>
      <c r="I998" s="1234"/>
      <c r="J998" s="1234"/>
      <c r="K998" s="1234"/>
      <c r="L998" s="1234"/>
      <c r="M998" s="1234"/>
      <c r="N998" s="1234"/>
      <c r="O998" s="1234"/>
      <c r="P998" s="1234"/>
      <c r="Q998" s="1234"/>
      <c r="R998" s="1234"/>
      <c r="S998" s="1234"/>
      <c r="T998" s="1234"/>
      <c r="U998" s="1234"/>
      <c r="V998" s="1234"/>
      <c r="W998" s="1234"/>
      <c r="X998" s="1234"/>
      <c r="Y998" s="1234"/>
      <c r="Z998" s="1234"/>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E2E2E2"/>
    <outlinePr summaryBelow="0" summaryRight="0"/>
  </sheetPr>
  <dimension ref="A1:BA1000"/>
  <sheetViews>
    <sheetView workbookViewId="0"/>
  </sheetViews>
  <sheetFormatPr defaultColWidth="12.6328125" defaultRowHeight="15" customHeight="1"/>
  <cols>
    <col min="1" max="6" width="12.6328125" customWidth="1"/>
  </cols>
  <sheetData>
    <row r="1" spans="1:53" ht="15" customHeight="1">
      <c r="A1" s="3"/>
      <c r="B1" s="1248" t="s">
        <v>275</v>
      </c>
      <c r="C1" s="1249"/>
      <c r="D1" s="1249"/>
      <c r="E1" s="1249"/>
      <c r="F1" s="1249"/>
      <c r="G1" s="1249"/>
      <c r="H1" s="1249"/>
      <c r="I1" s="1249"/>
      <c r="J1" s="1249"/>
      <c r="K1" s="1249"/>
      <c r="L1" s="1249"/>
      <c r="M1" s="1249"/>
      <c r="N1" s="1249"/>
      <c r="O1" s="1249"/>
      <c r="P1" s="1249"/>
      <c r="Q1" s="1249"/>
      <c r="R1" s="1249"/>
      <c r="S1" s="1249"/>
      <c r="T1" s="1249"/>
      <c r="U1" s="1249"/>
      <c r="V1" s="1249"/>
      <c r="W1" s="1249"/>
      <c r="X1" s="1249"/>
      <c r="Y1" s="1249"/>
      <c r="Z1" s="1249"/>
      <c r="AA1" s="1249"/>
      <c r="AB1" s="1249"/>
      <c r="AC1" s="1249"/>
      <c r="AD1" s="1249"/>
      <c r="AE1" s="1249"/>
      <c r="AF1" s="1249"/>
      <c r="AG1" s="1249"/>
      <c r="AH1" s="1249"/>
      <c r="AI1" s="1249"/>
      <c r="AJ1" s="1249"/>
      <c r="AK1" s="1249"/>
      <c r="AL1" s="1249"/>
      <c r="AM1" s="3"/>
      <c r="AN1" s="3"/>
      <c r="AO1" s="3"/>
      <c r="AP1" s="3"/>
      <c r="AQ1" s="3"/>
      <c r="AR1" s="3"/>
      <c r="AS1" s="3"/>
      <c r="AT1" s="3"/>
      <c r="AU1" s="3"/>
      <c r="AV1" s="3"/>
      <c r="AW1" s="3"/>
      <c r="AX1" s="3"/>
      <c r="AY1" s="3"/>
      <c r="AZ1" s="3"/>
      <c r="BA1" s="3"/>
    </row>
    <row r="2" spans="1:53" ht="14.5">
      <c r="A2" s="3"/>
      <c r="B2" s="1250" t="s">
        <v>2294</v>
      </c>
      <c r="C2" s="1250" t="s">
        <v>2295</v>
      </c>
      <c r="D2" s="1250" t="s">
        <v>2296</v>
      </c>
      <c r="E2" s="1250" t="s">
        <v>300</v>
      </c>
      <c r="F2" s="1250" t="s">
        <v>2297</v>
      </c>
      <c r="G2" s="1251"/>
      <c r="H2" s="1252" t="s">
        <v>2298</v>
      </c>
      <c r="I2" s="1252" t="s">
        <v>2299</v>
      </c>
      <c r="J2" s="1252" t="s">
        <v>2300</v>
      </c>
      <c r="K2" s="1252" t="s">
        <v>2301</v>
      </c>
      <c r="L2" s="1252" t="s">
        <v>2302</v>
      </c>
      <c r="M2" s="1252" t="s">
        <v>2303</v>
      </c>
      <c r="N2" s="1252" t="s">
        <v>2304</v>
      </c>
      <c r="O2" s="1252" t="s">
        <v>2305</v>
      </c>
      <c r="P2" s="1252" t="s">
        <v>2306</v>
      </c>
      <c r="Q2" s="1252" t="s">
        <v>2307</v>
      </c>
      <c r="R2" s="1252" t="s">
        <v>2308</v>
      </c>
      <c r="S2" s="1252" t="s">
        <v>2309</v>
      </c>
      <c r="T2" s="1252" t="s">
        <v>2310</v>
      </c>
      <c r="U2" s="1252" t="s">
        <v>2299</v>
      </c>
      <c r="V2" s="1252" t="s">
        <v>2300</v>
      </c>
      <c r="W2" s="1252" t="s">
        <v>2301</v>
      </c>
      <c r="X2" s="1252" t="s">
        <v>2302</v>
      </c>
      <c r="Y2" s="1252" t="s">
        <v>2303</v>
      </c>
      <c r="Z2" s="1252" t="s">
        <v>2304</v>
      </c>
      <c r="AA2" s="1252" t="s">
        <v>2305</v>
      </c>
      <c r="AB2" s="1252" t="s">
        <v>2306</v>
      </c>
      <c r="AC2" s="1252" t="s">
        <v>2307</v>
      </c>
      <c r="AD2" s="1252" t="s">
        <v>2308</v>
      </c>
      <c r="AE2" s="1252" t="s">
        <v>2311</v>
      </c>
      <c r="AF2" s="1252" t="s">
        <v>2310</v>
      </c>
      <c r="AG2" s="1252" t="s">
        <v>2299</v>
      </c>
      <c r="AH2" s="1252" t="s">
        <v>2300</v>
      </c>
      <c r="AI2" s="1252" t="s">
        <v>2301</v>
      </c>
      <c r="AJ2" s="1252" t="s">
        <v>2302</v>
      </c>
      <c r="AK2" s="1252" t="s">
        <v>2303</v>
      </c>
      <c r="AL2" s="1253" t="s">
        <v>2304</v>
      </c>
      <c r="AM2" s="3"/>
      <c r="AN2" s="3"/>
      <c r="AO2" s="3"/>
      <c r="AP2" s="3"/>
      <c r="AQ2" s="3"/>
      <c r="AR2" s="3"/>
      <c r="AS2" s="3"/>
      <c r="AT2" s="3"/>
      <c r="AU2" s="3"/>
      <c r="AV2" s="3"/>
      <c r="AW2" s="3"/>
      <c r="AX2" s="3"/>
      <c r="AY2" s="3"/>
      <c r="AZ2" s="3"/>
      <c r="BA2" s="3"/>
    </row>
    <row r="3" spans="1:53" ht="14.5">
      <c r="A3" s="3"/>
      <c r="B3" s="1254" t="s">
        <v>280</v>
      </c>
      <c r="C3" s="1255">
        <v>45689</v>
      </c>
      <c r="D3" s="1255">
        <v>45689</v>
      </c>
      <c r="E3" s="1256">
        <v>1</v>
      </c>
      <c r="F3" s="1257" t="s">
        <v>2312</v>
      </c>
      <c r="G3" s="1258"/>
      <c r="H3" s="1259" t="s">
        <v>2313</v>
      </c>
      <c r="I3" s="1260"/>
      <c r="J3" s="1260"/>
      <c r="K3" s="1260"/>
      <c r="L3" s="1260"/>
      <c r="M3" s="1260"/>
      <c r="N3" s="1260"/>
      <c r="O3" s="1260"/>
      <c r="P3" s="1260"/>
      <c r="Q3" s="1260"/>
      <c r="R3" s="1260"/>
      <c r="S3" s="1260"/>
      <c r="T3" s="1260"/>
      <c r="U3" s="1260"/>
      <c r="V3" s="1260"/>
      <c r="W3" s="1260"/>
      <c r="X3" s="1260"/>
      <c r="Y3" s="1260"/>
      <c r="Z3" s="1260"/>
      <c r="AA3" s="1260"/>
      <c r="AB3" s="1260"/>
      <c r="AC3" s="1260"/>
      <c r="AD3" s="1260"/>
      <c r="AE3" s="1260"/>
      <c r="AF3" s="1260"/>
      <c r="AG3" s="1260"/>
      <c r="AH3" s="1260"/>
      <c r="AI3" s="1260"/>
      <c r="AJ3" s="1260"/>
      <c r="AK3" s="1260"/>
      <c r="AL3" s="1261"/>
      <c r="AM3" s="3"/>
      <c r="AN3" s="3"/>
      <c r="AO3" s="3"/>
      <c r="AP3" s="3"/>
      <c r="AQ3" s="3"/>
      <c r="AR3" s="3"/>
      <c r="AS3" s="3"/>
      <c r="AT3" s="3"/>
      <c r="AU3" s="3"/>
      <c r="AV3" s="3"/>
      <c r="AW3" s="3"/>
      <c r="AX3" s="3"/>
      <c r="AY3" s="3"/>
      <c r="AZ3" s="3"/>
      <c r="BA3" s="3"/>
    </row>
    <row r="4" spans="1:53" ht="14.5">
      <c r="A4" s="3"/>
      <c r="B4" s="1262" t="s">
        <v>2314</v>
      </c>
      <c r="C4" s="1263">
        <v>45689</v>
      </c>
      <c r="D4" s="1263">
        <v>45747</v>
      </c>
      <c r="E4" s="1264">
        <v>59</v>
      </c>
      <c r="F4" s="1265" t="s">
        <v>2312</v>
      </c>
      <c r="G4" s="1266"/>
      <c r="H4" s="1267" t="s">
        <v>2313</v>
      </c>
      <c r="I4" s="1268" t="s">
        <v>2313</v>
      </c>
      <c r="J4" s="1269"/>
      <c r="K4" s="1269"/>
      <c r="L4" s="1269"/>
      <c r="M4" s="1269"/>
      <c r="N4" s="1269"/>
      <c r="O4" s="1269"/>
      <c r="P4" s="1269"/>
      <c r="Q4" s="1269"/>
      <c r="R4" s="1269"/>
      <c r="S4" s="1269"/>
      <c r="T4" s="1269"/>
      <c r="U4" s="1269"/>
      <c r="V4" s="1269"/>
      <c r="W4" s="1269"/>
      <c r="X4" s="1269"/>
      <c r="Y4" s="1269"/>
      <c r="Z4" s="1269"/>
      <c r="AA4" s="1269"/>
      <c r="AB4" s="1269"/>
      <c r="AC4" s="1269"/>
      <c r="AD4" s="1269"/>
      <c r="AE4" s="1269"/>
      <c r="AF4" s="1269"/>
      <c r="AG4" s="1269"/>
      <c r="AH4" s="1269"/>
      <c r="AI4" s="1269"/>
      <c r="AJ4" s="1269"/>
      <c r="AK4" s="1269"/>
      <c r="AL4" s="1270"/>
      <c r="AM4" s="3"/>
      <c r="AN4" s="3"/>
      <c r="AO4" s="3"/>
      <c r="AP4" s="3"/>
      <c r="AQ4" s="3"/>
      <c r="AR4" s="3"/>
      <c r="AS4" s="3"/>
      <c r="AT4" s="3"/>
      <c r="AU4" s="3"/>
      <c r="AV4" s="3"/>
      <c r="AW4" s="3"/>
      <c r="AX4" s="3"/>
      <c r="AY4" s="3"/>
      <c r="AZ4" s="3"/>
      <c r="BA4" s="3"/>
    </row>
    <row r="5" spans="1:53" ht="14.5">
      <c r="A5" s="3"/>
      <c r="B5" s="1254" t="s">
        <v>282</v>
      </c>
      <c r="C5" s="1255">
        <v>46357</v>
      </c>
      <c r="D5" s="1255">
        <v>46357</v>
      </c>
      <c r="E5" s="1256">
        <v>1</v>
      </c>
      <c r="F5" s="1257" t="s">
        <v>2315</v>
      </c>
      <c r="G5" s="1258"/>
      <c r="H5" s="1260"/>
      <c r="I5" s="1271"/>
      <c r="J5" s="1271"/>
      <c r="K5" s="1271"/>
      <c r="L5" s="1271"/>
      <c r="M5" s="1271"/>
      <c r="N5" s="1271"/>
      <c r="O5" s="1271"/>
      <c r="P5" s="1271"/>
      <c r="Q5" s="1271"/>
      <c r="R5" s="1271"/>
      <c r="S5" s="1271"/>
      <c r="T5" s="1271"/>
      <c r="U5" s="1271"/>
      <c r="V5" s="1271"/>
      <c r="W5" s="1271"/>
      <c r="X5" s="1271"/>
      <c r="Y5" s="1271"/>
      <c r="Z5" s="1271"/>
      <c r="AA5" s="1271"/>
      <c r="AB5" s="1271"/>
      <c r="AC5" s="1272" t="s">
        <v>2313</v>
      </c>
      <c r="AD5" s="1271"/>
      <c r="AE5" s="1271"/>
      <c r="AF5" s="1271"/>
      <c r="AG5" s="1271"/>
      <c r="AH5" s="1271"/>
      <c r="AI5" s="1271"/>
      <c r="AJ5" s="1271"/>
      <c r="AK5" s="1271"/>
      <c r="AL5" s="1261"/>
      <c r="AM5" s="3"/>
      <c r="AN5" s="3"/>
      <c r="AO5" s="3"/>
      <c r="AP5" s="3"/>
      <c r="AQ5" s="3"/>
      <c r="AR5" s="3"/>
      <c r="AS5" s="3"/>
      <c r="AT5" s="3"/>
      <c r="AU5" s="3"/>
      <c r="AV5" s="3"/>
      <c r="AW5" s="3"/>
      <c r="AX5" s="3"/>
      <c r="AY5" s="3"/>
      <c r="AZ5" s="3"/>
      <c r="BA5" s="3"/>
    </row>
    <row r="6" spans="1:53" ht="14.5">
      <c r="A6" s="3"/>
      <c r="B6" s="1262" t="s">
        <v>2316</v>
      </c>
      <c r="C6" s="1263">
        <v>46419</v>
      </c>
      <c r="D6" s="1263">
        <v>46265</v>
      </c>
      <c r="E6" s="1264">
        <v>-153</v>
      </c>
      <c r="F6" s="1265" t="s">
        <v>2317</v>
      </c>
      <c r="G6" s="1266"/>
      <c r="H6" s="1273"/>
      <c r="I6" s="1269"/>
      <c r="J6" s="1269"/>
      <c r="K6" s="1269"/>
      <c r="L6" s="1269"/>
      <c r="M6" s="1269"/>
      <c r="N6" s="1269"/>
      <c r="O6" s="1269"/>
      <c r="P6" s="1269"/>
      <c r="Q6" s="1269"/>
      <c r="R6" s="1269"/>
      <c r="S6" s="1269"/>
      <c r="T6" s="1269"/>
      <c r="U6" s="1269"/>
      <c r="V6" s="1269"/>
      <c r="W6" s="1269"/>
      <c r="X6" s="1269"/>
      <c r="Y6" s="1269"/>
      <c r="Z6" s="1269"/>
      <c r="AA6" s="1269"/>
      <c r="AB6" s="1269"/>
      <c r="AC6" s="1269"/>
      <c r="AD6" s="1269"/>
      <c r="AE6" s="1269"/>
      <c r="AF6" s="1269"/>
      <c r="AG6" s="1269"/>
      <c r="AH6" s="1269"/>
      <c r="AI6" s="1269"/>
      <c r="AJ6" s="1269"/>
      <c r="AK6" s="1269"/>
      <c r="AL6" s="1270"/>
      <c r="AM6" s="3"/>
      <c r="AN6" s="3"/>
      <c r="AO6" s="3"/>
      <c r="AP6" s="3"/>
      <c r="AQ6" s="3"/>
      <c r="AR6" s="3"/>
      <c r="AS6" s="3"/>
      <c r="AT6" s="3"/>
      <c r="AU6" s="3"/>
      <c r="AV6" s="3"/>
      <c r="AW6" s="3"/>
      <c r="AX6" s="3"/>
      <c r="AY6" s="3"/>
      <c r="AZ6" s="3"/>
      <c r="BA6" s="3"/>
    </row>
    <row r="7" spans="1:53" ht="14.5">
      <c r="A7" s="3"/>
      <c r="B7" s="1254" t="s">
        <v>2318</v>
      </c>
      <c r="C7" s="1255">
        <v>46539</v>
      </c>
      <c r="D7" s="1255">
        <v>46539</v>
      </c>
      <c r="E7" s="1256">
        <v>1</v>
      </c>
      <c r="F7" s="1257" t="s">
        <v>2317</v>
      </c>
      <c r="G7" s="1258"/>
      <c r="H7" s="1260"/>
      <c r="I7" s="1271"/>
      <c r="J7" s="1271"/>
      <c r="K7" s="1271"/>
      <c r="L7" s="1271"/>
      <c r="M7" s="1271"/>
      <c r="N7" s="1271"/>
      <c r="O7" s="1271"/>
      <c r="P7" s="1271"/>
      <c r="Q7" s="1271"/>
      <c r="R7" s="1271"/>
      <c r="S7" s="1271"/>
      <c r="T7" s="1271"/>
      <c r="U7" s="1271"/>
      <c r="V7" s="1271"/>
      <c r="W7" s="1271"/>
      <c r="X7" s="1271"/>
      <c r="Y7" s="1271"/>
      <c r="Z7" s="1271"/>
      <c r="AA7" s="1271"/>
      <c r="AB7" s="1271"/>
      <c r="AC7" s="1271"/>
      <c r="AD7" s="1271"/>
      <c r="AE7" s="1271"/>
      <c r="AF7" s="1271"/>
      <c r="AG7" s="1271"/>
      <c r="AH7" s="1271"/>
      <c r="AI7" s="1274" t="s">
        <v>2313</v>
      </c>
      <c r="AJ7" s="1271"/>
      <c r="AK7" s="1271"/>
      <c r="AL7" s="1261"/>
      <c r="AM7" s="3"/>
      <c r="AN7" s="3"/>
      <c r="AO7" s="3"/>
      <c r="AP7" s="3"/>
      <c r="AQ7" s="3"/>
      <c r="AR7" s="3"/>
      <c r="AS7" s="3"/>
      <c r="AT7" s="3"/>
      <c r="AU7" s="3"/>
      <c r="AV7" s="3"/>
      <c r="AW7" s="3"/>
      <c r="AX7" s="3"/>
      <c r="AY7" s="3"/>
      <c r="AZ7" s="3"/>
      <c r="BA7" s="3"/>
    </row>
    <row r="8" spans="1:53" ht="14.5">
      <c r="A8" s="3"/>
      <c r="B8" s="1262" t="s">
        <v>2317</v>
      </c>
      <c r="C8" s="1263">
        <v>46420</v>
      </c>
      <c r="D8" s="1263">
        <v>46568</v>
      </c>
      <c r="E8" s="1264">
        <v>149</v>
      </c>
      <c r="F8" s="1265" t="s">
        <v>2317</v>
      </c>
      <c r="G8" s="1266"/>
      <c r="H8" s="1273"/>
      <c r="I8" s="1269"/>
      <c r="J8" s="1269"/>
      <c r="K8" s="1269"/>
      <c r="L8" s="1269"/>
      <c r="M8" s="1269"/>
      <c r="N8" s="1269"/>
      <c r="O8" s="1269"/>
      <c r="P8" s="1269"/>
      <c r="Q8" s="1269"/>
      <c r="R8" s="1269"/>
      <c r="S8" s="1269"/>
      <c r="T8" s="1269"/>
      <c r="U8" s="1269"/>
      <c r="V8" s="1269"/>
      <c r="W8" s="1269"/>
      <c r="X8" s="1269"/>
      <c r="Y8" s="1269"/>
      <c r="Z8" s="1269"/>
      <c r="AA8" s="1269"/>
      <c r="AB8" s="1269"/>
      <c r="AC8" s="1269"/>
      <c r="AD8" s="1269"/>
      <c r="AE8" s="1275" t="s">
        <v>2313</v>
      </c>
      <c r="AF8" s="1275" t="s">
        <v>2313</v>
      </c>
      <c r="AG8" s="1275" t="s">
        <v>2313</v>
      </c>
      <c r="AH8" s="1275" t="s">
        <v>2313</v>
      </c>
      <c r="AI8" s="1275" t="s">
        <v>2313</v>
      </c>
      <c r="AJ8" s="1269"/>
      <c r="AK8" s="1269"/>
      <c r="AL8" s="1270"/>
      <c r="AM8" s="3"/>
      <c r="AN8" s="3"/>
      <c r="AO8" s="3"/>
      <c r="AP8" s="3"/>
      <c r="AQ8" s="3"/>
      <c r="AR8" s="3"/>
      <c r="AS8" s="3"/>
      <c r="AT8" s="3"/>
      <c r="AU8" s="3"/>
      <c r="AV8" s="3"/>
      <c r="AW8" s="3"/>
      <c r="AX8" s="3"/>
      <c r="AY8" s="3"/>
      <c r="AZ8" s="3"/>
      <c r="BA8" s="3"/>
    </row>
    <row r="9" spans="1:53" ht="14.5">
      <c r="A9" s="3"/>
      <c r="B9" s="1276" t="s">
        <v>2319</v>
      </c>
      <c r="C9" s="1277">
        <v>46508</v>
      </c>
      <c r="D9" s="1278">
        <v>46568</v>
      </c>
      <c r="E9" s="1279">
        <v>61</v>
      </c>
      <c r="F9" s="1280" t="s">
        <v>2319</v>
      </c>
      <c r="G9" s="1249"/>
      <c r="H9" s="1281"/>
      <c r="I9" s="1281"/>
      <c r="J9" s="1281"/>
      <c r="K9" s="1281"/>
      <c r="L9" s="1281"/>
      <c r="M9" s="1281"/>
      <c r="N9" s="1281"/>
      <c r="O9" s="1281"/>
      <c r="P9" s="1281"/>
      <c r="Q9" s="1281"/>
      <c r="R9" s="1281"/>
      <c r="S9" s="1281"/>
      <c r="T9" s="1281"/>
      <c r="U9" s="1281"/>
      <c r="V9" s="1281"/>
      <c r="W9" s="1281"/>
      <c r="X9" s="1281"/>
      <c r="Y9" s="1281"/>
      <c r="Z9" s="1281"/>
      <c r="AA9" s="1281"/>
      <c r="AB9" s="1281"/>
      <c r="AC9" s="1281"/>
      <c r="AD9" s="1281"/>
      <c r="AE9" s="1281"/>
      <c r="AF9" s="1281"/>
      <c r="AG9" s="1281"/>
      <c r="AH9" s="1282" t="s">
        <v>2313</v>
      </c>
      <c r="AI9" s="1282" t="s">
        <v>2313</v>
      </c>
      <c r="AJ9" s="1281"/>
      <c r="AK9" s="1281"/>
      <c r="AL9" s="1283"/>
      <c r="AM9" s="3"/>
      <c r="AN9" s="3"/>
      <c r="AO9" s="3"/>
      <c r="AP9" s="3"/>
      <c r="AQ9" s="3"/>
      <c r="AR9" s="3"/>
      <c r="AS9" s="3"/>
      <c r="AT9" s="3"/>
      <c r="AU9" s="3"/>
      <c r="AV9" s="3"/>
      <c r="AW9" s="3"/>
      <c r="AX9" s="3"/>
      <c r="AY9" s="3"/>
      <c r="AZ9" s="3"/>
      <c r="BA9" s="3"/>
    </row>
    <row r="10" spans="1:53" ht="14.5">
      <c r="A10" s="3"/>
      <c r="B10" s="1284" t="s">
        <v>288</v>
      </c>
      <c r="C10" s="1285">
        <v>46569</v>
      </c>
      <c r="D10" s="1285">
        <v>46569</v>
      </c>
      <c r="E10" s="1286">
        <v>1</v>
      </c>
      <c r="F10" s="1287" t="s">
        <v>2084</v>
      </c>
      <c r="G10" s="1288"/>
      <c r="H10" s="1289"/>
      <c r="I10" s="1289"/>
      <c r="J10" s="1289"/>
      <c r="K10" s="1289"/>
      <c r="L10" s="1289"/>
      <c r="M10" s="1289"/>
      <c r="N10" s="1289"/>
      <c r="O10" s="1289"/>
      <c r="P10" s="1289"/>
      <c r="Q10" s="1289"/>
      <c r="R10" s="1289"/>
      <c r="S10" s="1289"/>
      <c r="T10" s="1289"/>
      <c r="U10" s="1289"/>
      <c r="V10" s="1289"/>
      <c r="W10" s="1289"/>
      <c r="X10" s="1289"/>
      <c r="Y10" s="1289"/>
      <c r="Z10" s="1289"/>
      <c r="AA10" s="1289"/>
      <c r="AB10" s="1289"/>
      <c r="AC10" s="1289"/>
      <c r="AD10" s="1289"/>
      <c r="AE10" s="1289"/>
      <c r="AF10" s="1289"/>
      <c r="AG10" s="1289"/>
      <c r="AH10" s="1289"/>
      <c r="AI10" s="1289"/>
      <c r="AJ10" s="1290" t="s">
        <v>2313</v>
      </c>
      <c r="AK10" s="1289"/>
      <c r="AL10" s="1291"/>
      <c r="AM10" s="3"/>
      <c r="AN10" s="3"/>
      <c r="AO10" s="3"/>
      <c r="AP10" s="3"/>
      <c r="AQ10" s="3"/>
      <c r="AR10" s="3"/>
      <c r="AS10" s="3"/>
      <c r="AT10" s="3"/>
      <c r="AU10" s="3"/>
      <c r="AV10" s="3"/>
      <c r="AW10" s="3"/>
      <c r="AX10" s="3"/>
      <c r="AY10" s="3"/>
      <c r="AZ10" s="3"/>
      <c r="BA10" s="3"/>
    </row>
    <row r="11" spans="1:53" ht="14.5">
      <c r="A11" s="3"/>
      <c r="B11" s="1292" t="s">
        <v>2320</v>
      </c>
      <c r="C11" s="1249"/>
      <c r="D11" s="1249"/>
      <c r="E11" s="1249"/>
      <c r="F11" s="1249"/>
      <c r="G11" s="1249"/>
      <c r="H11" s="1293"/>
      <c r="I11" s="1293"/>
      <c r="J11" s="1293"/>
      <c r="K11" s="1293"/>
      <c r="L11" s="1293"/>
      <c r="M11" s="1293"/>
      <c r="N11" s="1293"/>
      <c r="O11" s="1293"/>
      <c r="P11" s="1293"/>
      <c r="Q11" s="1293"/>
      <c r="R11" s="1293"/>
      <c r="S11" s="1293"/>
      <c r="T11" s="1293"/>
      <c r="U11" s="1293"/>
      <c r="V11" s="1293"/>
      <c r="W11" s="1293" t="s">
        <v>2321</v>
      </c>
      <c r="X11" s="1293"/>
      <c r="Y11" s="1293"/>
      <c r="Z11" s="1293"/>
      <c r="AA11" s="1293"/>
      <c r="AB11" s="1293"/>
      <c r="AC11" s="1293"/>
      <c r="AD11" s="1293"/>
      <c r="AE11" s="1293"/>
      <c r="AF11" s="1293"/>
      <c r="AG11" s="1293"/>
      <c r="AH11" s="1293"/>
      <c r="AI11" s="1293"/>
      <c r="AJ11" s="1293"/>
      <c r="AK11" s="1293"/>
      <c r="AL11" s="1293"/>
      <c r="AM11" s="3"/>
      <c r="AN11" s="3"/>
      <c r="AO11" s="3"/>
      <c r="AP11" s="3"/>
      <c r="AQ11" s="3"/>
      <c r="AR11" s="3"/>
      <c r="AS11" s="3"/>
      <c r="AT11" s="3"/>
      <c r="AU11" s="3"/>
      <c r="AV11" s="3"/>
      <c r="AW11" s="3"/>
      <c r="AX11" s="3"/>
      <c r="AY11" s="3"/>
      <c r="AZ11" s="3"/>
      <c r="BA11" s="3"/>
    </row>
    <row r="12" spans="1:53" ht="14.5">
      <c r="A12" s="3"/>
      <c r="B12" s="1249"/>
      <c r="C12" s="1249"/>
      <c r="D12" s="1249"/>
      <c r="E12" s="1249"/>
      <c r="F12" s="1249"/>
      <c r="G12" s="1249"/>
      <c r="H12" s="1249"/>
      <c r="I12" s="1249"/>
      <c r="J12" s="1249"/>
      <c r="K12" s="1249"/>
      <c r="L12" s="1249"/>
      <c r="M12" s="1249"/>
      <c r="N12" s="1249"/>
      <c r="O12" s="1249"/>
      <c r="P12" s="1249"/>
      <c r="Q12" s="1249"/>
      <c r="R12" s="1249"/>
      <c r="S12" s="1249"/>
      <c r="T12" s="1249"/>
      <c r="U12" s="1249"/>
      <c r="V12" s="1249"/>
      <c r="W12" s="1249"/>
      <c r="X12" s="1249"/>
      <c r="Y12" s="1249"/>
      <c r="Z12" s="1249"/>
      <c r="AA12" s="1249"/>
      <c r="AB12" s="1249"/>
      <c r="AC12" s="1249"/>
      <c r="AD12" s="1249"/>
      <c r="AE12" s="1249"/>
      <c r="AF12" s="1249"/>
      <c r="AG12" s="1249"/>
      <c r="AH12" s="1249"/>
      <c r="AI12" s="1249"/>
      <c r="AJ12" s="1249"/>
      <c r="AK12" s="1249"/>
      <c r="AL12" s="1249"/>
      <c r="AM12" s="3"/>
      <c r="AN12" s="3"/>
      <c r="AO12" s="3"/>
      <c r="AP12" s="3"/>
      <c r="AQ12" s="3"/>
      <c r="AR12" s="3"/>
      <c r="AS12" s="3"/>
      <c r="AT12" s="3"/>
      <c r="AU12" s="3"/>
      <c r="AV12" s="3"/>
      <c r="AW12" s="3"/>
      <c r="AX12" s="3"/>
      <c r="AY12" s="3"/>
      <c r="AZ12" s="3"/>
      <c r="BA12" s="3"/>
    </row>
    <row r="13" spans="1:53" ht="14.5">
      <c r="A13" s="3"/>
      <c r="B13" s="1294" t="s">
        <v>2322</v>
      </c>
      <c r="C13" s="1249"/>
      <c r="D13" s="1249"/>
      <c r="E13" s="1249"/>
      <c r="F13" s="1249"/>
      <c r="G13" s="1249"/>
      <c r="H13" s="1249"/>
      <c r="I13" s="1249"/>
      <c r="J13" s="1249"/>
      <c r="K13" s="1249"/>
      <c r="L13" s="1249"/>
      <c r="M13" s="1249"/>
      <c r="N13" s="1249"/>
      <c r="O13" s="1249"/>
      <c r="P13" s="1249"/>
      <c r="Q13" s="1249"/>
      <c r="R13" s="1249"/>
      <c r="S13" s="1249"/>
      <c r="T13" s="1249"/>
      <c r="U13" s="1249"/>
      <c r="V13" s="1249"/>
      <c r="W13" s="1249"/>
      <c r="X13" s="1249"/>
      <c r="Y13" s="1249"/>
      <c r="Z13" s="1249"/>
      <c r="AA13" s="1249"/>
      <c r="AB13" s="1249"/>
      <c r="AC13" s="1249"/>
      <c r="AD13" s="1249"/>
      <c r="AE13" s="1249"/>
      <c r="AF13" s="1249"/>
      <c r="AG13" s="1249"/>
      <c r="AH13" s="1249"/>
      <c r="AI13" s="1249"/>
      <c r="AJ13" s="1249"/>
      <c r="AK13" s="1249"/>
      <c r="AL13" s="1249"/>
      <c r="AM13" s="3"/>
      <c r="AN13" s="3"/>
      <c r="AO13" s="3"/>
      <c r="AP13" s="3"/>
      <c r="AQ13" s="3"/>
      <c r="AR13" s="3"/>
      <c r="AS13" s="3"/>
      <c r="AT13" s="3"/>
      <c r="AU13" s="3"/>
      <c r="AV13" s="3"/>
      <c r="AW13" s="3"/>
      <c r="AX13" s="3"/>
      <c r="AY13" s="3"/>
      <c r="AZ13" s="3"/>
      <c r="BA13" s="3"/>
    </row>
    <row r="14" spans="1:53" ht="14.5">
      <c r="A14" s="3"/>
      <c r="B14" s="1295" t="s">
        <v>2323</v>
      </c>
      <c r="C14" s="1296" t="s">
        <v>2324</v>
      </c>
      <c r="D14" s="1297" t="s">
        <v>2325</v>
      </c>
      <c r="E14" s="1298" t="s">
        <v>2326</v>
      </c>
      <c r="F14" s="1299" t="s">
        <v>2327</v>
      </c>
      <c r="G14" s="1249"/>
      <c r="H14" s="1249"/>
      <c r="I14" s="1249"/>
      <c r="J14" s="1249"/>
      <c r="K14" s="1249"/>
      <c r="L14" s="1249"/>
      <c r="M14" s="1249"/>
      <c r="N14" s="1249"/>
      <c r="O14" s="1249"/>
      <c r="P14" s="1249"/>
      <c r="Q14" s="1249"/>
      <c r="R14" s="1249"/>
      <c r="S14" s="1249"/>
      <c r="T14" s="1249"/>
      <c r="U14" s="1249"/>
      <c r="V14" s="1249"/>
      <c r="W14" s="1249"/>
      <c r="X14" s="1249"/>
      <c r="Y14" s="1249"/>
      <c r="Z14" s="1249"/>
      <c r="AA14" s="1249"/>
      <c r="AB14" s="1249"/>
      <c r="AC14" s="1249"/>
      <c r="AD14" s="1249"/>
      <c r="AE14" s="1249"/>
      <c r="AF14" s="1249"/>
      <c r="AG14" s="1249"/>
      <c r="AH14" s="1249"/>
      <c r="AI14" s="1249"/>
      <c r="AJ14" s="1249"/>
      <c r="AK14" s="1249"/>
      <c r="AL14" s="1249"/>
      <c r="AM14" s="3"/>
      <c r="AN14" s="3"/>
      <c r="AO14" s="3"/>
      <c r="AP14" s="3"/>
      <c r="AQ14" s="3"/>
      <c r="AR14" s="3"/>
      <c r="AS14" s="3"/>
      <c r="AT14" s="3"/>
      <c r="AU14" s="3"/>
      <c r="AV14" s="3"/>
      <c r="AW14" s="3"/>
      <c r="AX14" s="3"/>
      <c r="AY14" s="3"/>
      <c r="AZ14" s="3"/>
      <c r="BA14" s="3"/>
    </row>
    <row r="15" spans="1:53" ht="14.5">
      <c r="A15" s="3"/>
      <c r="B15" s="1249"/>
      <c r="C15" s="1249"/>
      <c r="D15" s="1249"/>
      <c r="E15" s="1249"/>
      <c r="F15" s="1249"/>
      <c r="G15" s="1249"/>
      <c r="H15" s="1249"/>
      <c r="I15" s="1249"/>
      <c r="J15" s="1249"/>
      <c r="K15" s="1249"/>
      <c r="L15" s="1249"/>
      <c r="M15" s="1249"/>
      <c r="N15" s="1249"/>
      <c r="O15" s="1249"/>
      <c r="P15" s="1249"/>
      <c r="Q15" s="1249"/>
      <c r="R15" s="1249"/>
      <c r="S15" s="1249"/>
      <c r="T15" s="1249"/>
      <c r="U15" s="1249"/>
      <c r="V15" s="1249"/>
      <c r="W15" s="1249"/>
      <c r="X15" s="1249"/>
      <c r="Y15" s="1249"/>
      <c r="Z15" s="1249"/>
      <c r="AA15" s="1249"/>
      <c r="AB15" s="1249"/>
      <c r="AC15" s="1249"/>
      <c r="AD15" s="1249"/>
      <c r="AE15" s="1249"/>
      <c r="AF15" s="1249"/>
      <c r="AG15" s="1249"/>
      <c r="AH15" s="1249"/>
      <c r="AI15" s="1249"/>
      <c r="AJ15" s="1249"/>
      <c r="AK15" s="1249"/>
      <c r="AL15" s="1249"/>
      <c r="AM15" s="3"/>
      <c r="AN15" s="3"/>
      <c r="AO15" s="3"/>
      <c r="AP15" s="3"/>
      <c r="AQ15" s="3"/>
      <c r="AR15" s="3"/>
      <c r="AS15" s="3"/>
      <c r="AT15" s="3"/>
      <c r="AU15" s="3"/>
      <c r="AV15" s="3"/>
      <c r="AW15" s="3"/>
      <c r="AX15" s="3"/>
      <c r="AY15" s="3"/>
      <c r="AZ15" s="3"/>
      <c r="BA15" s="3"/>
    </row>
    <row r="16" spans="1:53" ht="14.5">
      <c r="A16" s="3"/>
      <c r="B16" s="1294" t="s">
        <v>2328</v>
      </c>
      <c r="C16" s="1249"/>
      <c r="D16" s="1249"/>
      <c r="E16" s="1249"/>
      <c r="F16" s="1249"/>
      <c r="G16" s="1249"/>
      <c r="H16" s="1249"/>
      <c r="I16" s="1249"/>
      <c r="J16" s="1249"/>
      <c r="K16" s="1249"/>
      <c r="L16" s="1249"/>
      <c r="M16" s="1249"/>
      <c r="N16" s="1249"/>
      <c r="O16" s="1249"/>
      <c r="P16" s="1249"/>
      <c r="Q16" s="1249"/>
      <c r="R16" s="1249"/>
      <c r="S16" s="1249"/>
      <c r="T16" s="1249"/>
      <c r="U16" s="1249"/>
      <c r="V16" s="1249"/>
      <c r="W16" s="1249"/>
      <c r="X16" s="1249"/>
      <c r="Y16" s="1249"/>
      <c r="Z16" s="1249"/>
      <c r="AA16" s="1249"/>
      <c r="AB16" s="1249"/>
      <c r="AC16" s="1249"/>
      <c r="AD16" s="1249"/>
      <c r="AE16" s="1249"/>
      <c r="AF16" s="1249"/>
      <c r="AG16" s="1249"/>
      <c r="AH16" s="1249"/>
      <c r="AI16" s="1249"/>
      <c r="AJ16" s="1249"/>
      <c r="AK16" s="1249"/>
      <c r="AL16" s="1249"/>
      <c r="AM16" s="3"/>
      <c r="AN16" s="3"/>
      <c r="AO16" s="3"/>
      <c r="AP16" s="3"/>
      <c r="AQ16" s="3"/>
      <c r="AR16" s="3"/>
      <c r="AS16" s="3"/>
      <c r="AT16" s="3"/>
      <c r="AU16" s="3"/>
      <c r="AV16" s="3"/>
      <c r="AW16" s="3"/>
      <c r="AX16" s="3"/>
      <c r="AY16" s="3"/>
      <c r="AZ16" s="3"/>
      <c r="BA16" s="3"/>
    </row>
    <row r="17" spans="1:53" ht="14.5">
      <c r="A17" s="3"/>
      <c r="B17" s="1300" t="s">
        <v>2329</v>
      </c>
      <c r="C17" s="1301">
        <v>206</v>
      </c>
      <c r="D17" s="1249"/>
      <c r="E17" s="1300" t="s">
        <v>2330</v>
      </c>
      <c r="F17" s="1301">
        <v>418</v>
      </c>
      <c r="G17" s="1249"/>
      <c r="H17" s="1249"/>
      <c r="I17" s="1249"/>
      <c r="J17" s="1249"/>
      <c r="K17" s="1249"/>
      <c r="L17" s="1249"/>
      <c r="M17" s="1249"/>
      <c r="N17" s="1249"/>
      <c r="O17" s="1249"/>
      <c r="P17" s="1249"/>
      <c r="Q17" s="1249"/>
      <c r="R17" s="1249"/>
      <c r="S17" s="1249"/>
      <c r="T17" s="1249"/>
      <c r="U17" s="1249"/>
      <c r="V17" s="1249"/>
      <c r="W17" s="1249"/>
      <c r="X17" s="1249"/>
      <c r="Y17" s="1249"/>
      <c r="Z17" s="1249"/>
      <c r="AA17" s="1249"/>
      <c r="AB17" s="1249"/>
      <c r="AC17" s="1249"/>
      <c r="AD17" s="1249"/>
      <c r="AE17" s="1249"/>
      <c r="AF17" s="1249"/>
      <c r="AG17" s="1249"/>
      <c r="AH17" s="1249"/>
      <c r="AI17" s="1249"/>
      <c r="AJ17" s="1249"/>
      <c r="AK17" s="1249"/>
      <c r="AL17" s="1249"/>
      <c r="AM17" s="3"/>
      <c r="AN17" s="3"/>
      <c r="AO17" s="3"/>
      <c r="AP17" s="3"/>
      <c r="AQ17" s="3"/>
      <c r="AR17" s="3"/>
      <c r="AS17" s="3"/>
      <c r="AT17" s="3"/>
      <c r="AU17" s="3"/>
      <c r="AV17" s="3"/>
      <c r="AW17" s="3"/>
      <c r="AX17" s="3"/>
      <c r="AY17" s="3"/>
      <c r="AZ17" s="3"/>
      <c r="BA17" s="3"/>
    </row>
    <row r="18" spans="1:53" ht="14.5">
      <c r="A18" s="3"/>
      <c r="B18" s="1249"/>
      <c r="C18" s="1249"/>
      <c r="D18" s="1249"/>
      <c r="E18" s="1249"/>
      <c r="F18" s="1249"/>
      <c r="G18" s="1249"/>
      <c r="H18" s="1249"/>
      <c r="I18" s="1249"/>
      <c r="J18" s="1249"/>
      <c r="K18" s="1249"/>
      <c r="L18" s="1249"/>
      <c r="M18" s="1249"/>
      <c r="N18" s="1249"/>
      <c r="O18" s="1249"/>
      <c r="P18" s="1249"/>
      <c r="Q18" s="1249"/>
      <c r="R18" s="1249"/>
      <c r="S18" s="1249"/>
      <c r="T18" s="1249"/>
      <c r="U18" s="1249"/>
      <c r="V18" s="1249"/>
      <c r="W18" s="1249"/>
      <c r="X18" s="1249"/>
      <c r="Y18" s="1249"/>
      <c r="Z18" s="1249"/>
      <c r="AA18" s="1249"/>
      <c r="AB18" s="1249"/>
      <c r="AC18" s="1249"/>
      <c r="AD18" s="1249"/>
      <c r="AE18" s="1249"/>
      <c r="AF18" s="1249"/>
      <c r="AG18" s="1249"/>
      <c r="AH18" s="1249"/>
      <c r="AI18" s="1249"/>
      <c r="AJ18" s="1249"/>
      <c r="AK18" s="1249"/>
      <c r="AL18" s="1249"/>
      <c r="AM18" s="3"/>
      <c r="AN18" s="3"/>
      <c r="AO18" s="3"/>
      <c r="AP18" s="3"/>
      <c r="AQ18" s="3"/>
      <c r="AR18" s="3"/>
      <c r="AS18" s="3"/>
      <c r="AT18" s="3"/>
      <c r="AU18" s="3"/>
      <c r="AV18" s="3"/>
      <c r="AW18" s="3"/>
      <c r="AX18" s="3"/>
      <c r="AY18" s="3"/>
      <c r="AZ18" s="3"/>
      <c r="BA18" s="3"/>
    </row>
    <row r="19" spans="1:53" ht="14.5">
      <c r="A19" s="3"/>
      <c r="B19" s="1249"/>
      <c r="C19" s="1249"/>
      <c r="D19" s="1249"/>
      <c r="E19" s="1249"/>
      <c r="F19" s="1249"/>
      <c r="G19" s="1249"/>
      <c r="H19" s="1249"/>
      <c r="I19" s="1249"/>
      <c r="J19" s="1249"/>
      <c r="K19" s="1249"/>
      <c r="L19" s="1249"/>
      <c r="M19" s="1249"/>
      <c r="N19" s="1249"/>
      <c r="O19" s="1249"/>
      <c r="P19" s="1249"/>
      <c r="Q19" s="1249"/>
      <c r="R19" s="1249"/>
      <c r="S19" s="1249"/>
      <c r="T19" s="1249"/>
      <c r="U19" s="1249"/>
      <c r="V19" s="1249"/>
      <c r="W19" s="1249"/>
      <c r="X19" s="1249"/>
      <c r="Y19" s="1249"/>
      <c r="Z19" s="1249"/>
      <c r="AA19" s="1249"/>
      <c r="AB19" s="1249"/>
      <c r="AC19" s="1249"/>
      <c r="AD19" s="1249"/>
      <c r="AE19" s="1249"/>
      <c r="AF19" s="1249"/>
      <c r="AG19" s="1249"/>
      <c r="AH19" s="1249"/>
      <c r="AI19" s="1249"/>
      <c r="AJ19" s="1249"/>
      <c r="AK19" s="1249"/>
      <c r="AL19" s="1249"/>
      <c r="AM19" s="3"/>
      <c r="AN19" s="3"/>
      <c r="AO19" s="3"/>
      <c r="AP19" s="3"/>
      <c r="AQ19" s="3"/>
      <c r="AR19" s="3"/>
      <c r="AS19" s="3"/>
      <c r="AT19" s="3"/>
      <c r="AU19" s="3"/>
      <c r="AV19" s="3"/>
      <c r="AW19" s="3"/>
      <c r="AX19" s="3"/>
      <c r="AY19" s="3"/>
      <c r="AZ19" s="3"/>
      <c r="BA19" s="3"/>
    </row>
    <row r="20" spans="1:53" ht="14.5">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row>
    <row r="21" spans="1:53"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row>
    <row r="22" spans="1:53"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row>
    <row r="23" spans="1:5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row>
    <row r="24" spans="1:53"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row>
    <row r="25" spans="1:53"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row>
    <row r="26" spans="1:53"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row>
    <row r="27" spans="1:53"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row>
    <row r="28" spans="1:53"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row>
    <row r="29" spans="1:53"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row>
    <row r="30" spans="1:53"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row>
    <row r="31" spans="1:53"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row>
    <row r="32" spans="1:53"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row>
    <row r="33" spans="1:5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row>
    <row r="34" spans="1:53"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row>
    <row r="35" spans="1:53"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row>
    <row r="36" spans="1:53"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row>
    <row r="37" spans="1:53"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row>
    <row r="38" spans="1:53"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row>
    <row r="39" spans="1:53"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row>
    <row r="40" spans="1:53"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row>
    <row r="41" spans="1:53"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row>
    <row r="42" spans="1:53"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row>
    <row r="43" spans="1:5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row>
    <row r="44" spans="1:53"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row>
    <row r="45" spans="1:53"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row>
    <row r="46" spans="1:53"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row>
    <row r="47" spans="1:53"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row>
    <row r="48" spans="1:53"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row>
    <row r="49" spans="1:53"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row>
    <row r="50" spans="1:53"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row>
    <row r="51" spans="1:53"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row>
    <row r="52" spans="1:53"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row>
    <row r="53" spans="1: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row>
    <row r="54" spans="1:53"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row>
    <row r="55" spans="1:53"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row>
    <row r="56" spans="1:53"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row>
    <row r="57" spans="1:53"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row>
    <row r="58" spans="1:53"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row>
    <row r="59" spans="1:53"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row>
    <row r="60" spans="1:53" ht="15.75" customHeight="1"/>
    <row r="61" spans="1:53" ht="15.75" customHeight="1"/>
    <row r="62" spans="1:53" ht="15.75" customHeight="1"/>
    <row r="63" spans="1:53" ht="15.75" customHeight="1"/>
    <row r="64" spans="1:53"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18</vt:i4>
      </vt:variant>
    </vt:vector>
  </HeadingPairs>
  <TitlesOfParts>
    <vt:vector size="49" baseType="lpstr">
      <vt:lpstr>Readme</vt:lpstr>
      <vt:lpstr>KEY OUTPUT &gt;&gt;</vt:lpstr>
      <vt:lpstr>General Information</vt:lpstr>
      <vt:lpstr>Dynamic Dashboard</vt:lpstr>
      <vt:lpstr>Dashboard</vt:lpstr>
      <vt:lpstr>Dashboard (backup)</vt:lpstr>
      <vt:lpstr>Cashflow</vt:lpstr>
      <vt:lpstr>P&amp;L</vt:lpstr>
      <vt:lpstr>Balance Sheet</vt:lpstr>
      <vt:lpstr>Valuations</vt:lpstr>
      <vt:lpstr>INPUTS  WORKINGS DETAILS ------</vt:lpstr>
      <vt:lpstr>Inputs</vt:lpstr>
      <vt:lpstr>Revenue Assumptions</vt:lpstr>
      <vt:lpstr>Expense Assumptions</vt:lpstr>
      <vt:lpstr>Construction Timeline</vt:lpstr>
      <vt:lpstr>Scenarios</vt:lpstr>
      <vt:lpstr>Financial Summary</vt:lpstr>
      <vt:lpstr>Financial Summary (backup)</vt:lpstr>
      <vt:lpstr>Debt</vt:lpstr>
      <vt:lpstr>VBA</vt:lpstr>
      <vt:lpstr>GST Calculation</vt:lpstr>
      <vt:lpstr>Calendar Assumptions</vt:lpstr>
      <vt:lpstr>Partnership Assumptions</vt:lpstr>
      <vt:lpstr>Legend</vt:lpstr>
      <vt:lpstr>Timing</vt:lpstr>
      <vt:lpstr>Original Capex</vt:lpstr>
      <vt:lpstr>Disclaimer</vt:lpstr>
      <vt:lpstr>Inputs for Dashboard</vt:lpstr>
      <vt:lpstr>For Deck</vt:lpstr>
      <vt:lpstr>For Teaser Deck</vt:lpstr>
      <vt:lpstr>GANTT - MASTER OPTION</vt:lpstr>
      <vt:lpstr>Construction_End_Date</vt:lpstr>
      <vt:lpstr>Construction_Start_Date</vt:lpstr>
      <vt:lpstr>Legend!Model_Start</vt:lpstr>
      <vt:lpstr>Model_start</vt:lpstr>
      <vt:lpstr>Operations_Start_Date</vt:lpstr>
      <vt:lpstr>RM_BaseEventDays</vt:lpstr>
      <vt:lpstr>RM_EventDaysScale</vt:lpstr>
      <vt:lpstr>RM_ExitMultiple</vt:lpstr>
      <vt:lpstr>RM_HourlyRate</vt:lpstr>
      <vt:lpstr>RM_IO_Months</vt:lpstr>
      <vt:lpstr>RM_OutgoingsPct</vt:lpstr>
      <vt:lpstr>RM_ShiftHours</vt:lpstr>
      <vt:lpstr>RM_StaffPerEvent</vt:lpstr>
      <vt:lpstr>RM_SustCapexPct</vt:lpstr>
      <vt:lpstr>RM_TerminalGrowth</vt:lpstr>
      <vt:lpstr>RM_VHA_Cap</vt:lpstr>
      <vt:lpstr>RM_VHA_GBO_Fee</vt:lpstr>
      <vt:lpstr>Total_Initial_Capex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Guy M.</cp:lastModifiedBy>
  <dcterms:created xsi:type="dcterms:W3CDTF">2026-07-08T11:09:34Z</dcterms:created>
  <dcterms:modified xsi:type="dcterms:W3CDTF">2026-07-08T11:09:43Z</dcterms:modified>
</cp:coreProperties>
</file>